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ustomProperty11.bin" ContentType="application/vnd.openxmlformats-officedocument.spreadsheetml.customProperty"/>
  <Override PartName="/xl/comments1.xml" ContentType="application/vnd.openxmlformats-officedocument.spreadsheetml.comments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saveExternalLinkValues="0" codeName="ThisWorkbook" defaultThemeVersion="124226"/>
  <xr:revisionPtr revIDLastSave="11" documentId="13_ncr:1_{A0EFF690-C8C4-4D90-9453-4036A34AFE1D}" xr6:coauthVersionLast="47" xr6:coauthVersionMax="47" xr10:uidLastSave="{02218471-CBDD-4022-BE96-ED94D45BD34E}"/>
  <bookViews>
    <workbookView xWindow="28680" yWindow="-120" windowWidth="29040" windowHeight="15840" firstSheet="20" activeTab="30" xr2:uid="{00000000-000D-0000-FFFF-FFFF00000000}"/>
  </bookViews>
  <sheets>
    <sheet name="Labor--&gt;" sheetId="36" state="hidden" r:id="rId1"/>
    <sheet name="Labor Calculation" sheetId="37" state="hidden" r:id="rId2"/>
    <sheet name="Materials--&gt;" sheetId="32" state="hidden" r:id="rId3"/>
    <sheet name="Materials Calculation" sheetId="33" state="hidden" r:id="rId4"/>
    <sheet name="Calendar Year Conversions" sheetId="31" state="hidden" r:id="rId5"/>
    <sheet name="1. EGI" sheetId="75" r:id="rId6"/>
    <sheet name="2. EGD" sheetId="2" r:id="rId7"/>
    <sheet name="3. UG" sheetId="74" r:id="rId8"/>
    <sheet name="Bad debt" sheetId="67" r:id="rId9"/>
    <sheet name="DSM" sheetId="66" r:id="rId10"/>
    <sheet name="LUG allocations" sheetId="73" r:id="rId11"/>
    <sheet name="EGD allocations" sheetId="72" r:id="rId12"/>
    <sheet name="GDP Price Index Data--&gt;" sheetId="1" state="hidden" r:id="rId13"/>
    <sheet name="Canadian GDP Price Index" sheetId="34" state="hidden" r:id="rId14"/>
    <sheet name="Backup--&gt;" sheetId="35" r:id="rId15"/>
    <sheet name="2000" sheetId="49" r:id="rId16"/>
    <sheet name="2002" sheetId="51" r:id="rId17"/>
    <sheet name="2003" sheetId="52" r:id="rId18"/>
    <sheet name="2004" sheetId="53" r:id="rId19"/>
    <sheet name="2005" sheetId="54" r:id="rId20"/>
    <sheet name="2006" sheetId="55" r:id="rId21"/>
    <sheet name="2007" sheetId="56" r:id="rId22"/>
    <sheet name="2001" sheetId="50" r:id="rId23"/>
    <sheet name="2008" sheetId="57" r:id="rId24"/>
    <sheet name="2009" sheetId="58" r:id="rId25"/>
    <sheet name="2010" sheetId="59" r:id="rId26"/>
    <sheet name="2011" sheetId="60" r:id="rId27"/>
    <sheet name="2012" sheetId="61" r:id="rId28"/>
    <sheet name="2013" sheetId="62" r:id="rId29"/>
    <sheet name="2014" sheetId="63" r:id="rId30"/>
    <sheet name="2015" sheetId="64" r:id="rId31"/>
    <sheet name="2016" sheetId="65" r:id="rId32"/>
    <sheet name="2012-2022 labor" sheetId="70" r:id="rId33"/>
  </sheets>
  <externalReferences>
    <externalReference r:id="rId34"/>
  </externalReferences>
  <definedNames>
    <definedName name="Age">#REF!</definedName>
    <definedName name="AgeGroup">#REF!</definedName>
    <definedName name="AgeMin">'[1]For Formulas'!$A$4:$A$8</definedName>
    <definedName name="_xlnm.Print_Area" localSheetId="5">'1. EGI'!$A$1:$Q$18</definedName>
    <definedName name="_xlnm.Print_Area" localSheetId="6">'2. EGD'!$A$1:$O$41</definedName>
    <definedName name="_xlnm.Print_Area" localSheetId="7">'3. UG'!$A$1:$Q$33</definedName>
    <definedName name="_xlnm.Print_Titles" localSheetId="5">'1. EGI'!$B:$Q,'1. EGI'!$6:$7</definedName>
    <definedName name="_xlnm.Print_Titles" localSheetId="6">'2. EGD'!$B:$O,'2. EGD'!$6:$7</definedName>
    <definedName name="_xlnm.Print_Titles" localSheetId="7">'3. UG'!$B:$Q,'3. UG'!$6:$7</definedName>
    <definedName name="She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75" l="1"/>
  <c r="G12" i="75"/>
  <c r="N46" i="70"/>
  <c r="M46" i="70"/>
  <c r="G11" i="75" l="1"/>
  <c r="I14" i="75"/>
  <c r="O13" i="74"/>
  <c r="P13" i="74"/>
  <c r="Q13" i="74"/>
  <c r="O14" i="74"/>
  <c r="P14" i="74"/>
  <c r="Q14" i="74"/>
  <c r="O15" i="74"/>
  <c r="P15" i="74"/>
  <c r="Q15" i="74"/>
  <c r="Q12" i="74"/>
  <c r="P12" i="74"/>
  <c r="O11" i="74"/>
  <c r="P11" i="74"/>
  <c r="Q11" i="74"/>
  <c r="Q10" i="74"/>
  <c r="P10" i="74"/>
  <c r="O10" i="74"/>
  <c r="O12" i="74"/>
  <c r="L13" i="74"/>
  <c r="M13" i="74"/>
  <c r="N13" i="74"/>
  <c r="L14" i="74"/>
  <c r="M14" i="74"/>
  <c r="N14" i="74"/>
  <c r="L15" i="74"/>
  <c r="M15" i="74"/>
  <c r="N15" i="74"/>
  <c r="N12" i="74"/>
  <c r="M12" i="74"/>
  <c r="L12" i="74"/>
  <c r="L11" i="74"/>
  <c r="M11" i="74"/>
  <c r="N11" i="74"/>
  <c r="N10" i="74"/>
  <c r="M10" i="74"/>
  <c r="L10" i="74"/>
  <c r="O52" i="73"/>
  <c r="O53" i="73"/>
  <c r="O54" i="73"/>
  <c r="S53" i="73"/>
  <c r="S54" i="73"/>
  <c r="S52" i="73"/>
  <c r="S51" i="73"/>
  <c r="O51" i="73"/>
  <c r="S40" i="73"/>
  <c r="S41" i="73"/>
  <c r="S42" i="73"/>
  <c r="S39" i="73"/>
  <c r="F40" i="73"/>
  <c r="F41" i="73"/>
  <c r="F42" i="73"/>
  <c r="F39" i="73"/>
  <c r="K40" i="73"/>
  <c r="K41" i="73"/>
  <c r="K42" i="73"/>
  <c r="K39" i="73"/>
  <c r="O42" i="73"/>
  <c r="O41" i="73"/>
  <c r="O40" i="73"/>
  <c r="O39" i="73"/>
  <c r="S27" i="73"/>
  <c r="S28" i="73"/>
  <c r="S29" i="73"/>
  <c r="S26" i="73"/>
  <c r="T54" i="73" l="1"/>
  <c r="T53" i="73"/>
  <c r="T52" i="73"/>
  <c r="P53" i="73"/>
  <c r="P52" i="73"/>
  <c r="Q52" i="73" l="1"/>
  <c r="Q53" i="73"/>
  <c r="Q54" i="73"/>
  <c r="Q51" i="73"/>
  <c r="Q55" i="73" s="1"/>
  <c r="M52" i="73"/>
  <c r="M53" i="73"/>
  <c r="M54" i="73"/>
  <c r="M51" i="73"/>
  <c r="M55" i="73" s="1"/>
  <c r="Q42" i="73"/>
  <c r="Q40" i="73"/>
  <c r="Q43" i="73" s="1"/>
  <c r="Q39" i="73"/>
  <c r="Q28" i="73"/>
  <c r="Q27" i="73"/>
  <c r="Q30" i="73" s="1"/>
  <c r="M29" i="73"/>
  <c r="M30" i="73"/>
  <c r="O26" i="73" s="1"/>
  <c r="M39" i="73"/>
  <c r="M40" i="73"/>
  <c r="M42" i="73"/>
  <c r="M43" i="73"/>
  <c r="K26" i="73"/>
  <c r="I29" i="73"/>
  <c r="K29" i="73"/>
  <c r="I30" i="73"/>
  <c r="K27" i="73" s="1"/>
  <c r="I39" i="73"/>
  <c r="I40" i="73"/>
  <c r="I42" i="73"/>
  <c r="I43" i="73"/>
  <c r="D29" i="73"/>
  <c r="D30" i="73"/>
  <c r="F26" i="73" s="1"/>
  <c r="D39" i="73"/>
  <c r="D40" i="73"/>
  <c r="D42" i="73"/>
  <c r="D43" i="73"/>
  <c r="P54" i="73" l="1"/>
  <c r="O55" i="73"/>
  <c r="S55" i="73"/>
  <c r="S30" i="73"/>
  <c r="S43" i="73"/>
  <c r="O28" i="73"/>
  <c r="O27" i="73"/>
  <c r="O30" i="73" s="1"/>
  <c r="O43" i="73"/>
  <c r="O29" i="73"/>
  <c r="K43" i="73"/>
  <c r="K28" i="73"/>
  <c r="K30" i="73" s="1"/>
  <c r="F27" i="73"/>
  <c r="F30" i="73" s="1"/>
  <c r="F28" i="73"/>
  <c r="F43" i="73"/>
  <c r="F29" i="73"/>
  <c r="AC18" i="72" l="1"/>
  <c r="AC20" i="72" s="1"/>
  <c r="AD20" i="72" s="1"/>
  <c r="Y16" i="72"/>
  <c r="Y18" i="72" s="1"/>
  <c r="AE18" i="72"/>
  <c r="AA18" i="72"/>
  <c r="AD19" i="72" l="1"/>
  <c r="Y20" i="72"/>
  <c r="Z20" i="72" s="1"/>
  <c r="Z19" i="72"/>
  <c r="AE20" i="72"/>
  <c r="AF20" i="72" s="1"/>
  <c r="AF19" i="72"/>
  <c r="AA20" i="72"/>
  <c r="AB20" i="72" s="1"/>
  <c r="AB19" i="72"/>
  <c r="G10" i="75"/>
  <c r="G9" i="75"/>
  <c r="I30" i="66"/>
  <c r="I29" i="66" l="1"/>
  <c r="F5" i="66" l="1"/>
  <c r="D5" i="66"/>
  <c r="E6" i="66"/>
  <c r="E7" i="66"/>
  <c r="E8" i="66"/>
  <c r="E9" i="66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5" i="66"/>
  <c r="E31" i="66"/>
  <c r="E28" i="66"/>
  <c r="E27" i="66"/>
  <c r="E26" i="66"/>
  <c r="D28" i="66"/>
  <c r="D27" i="66"/>
  <c r="D26" i="66"/>
  <c r="E25" i="66"/>
  <c r="D25" i="66"/>
  <c r="O10" i="75"/>
  <c r="O9" i="75"/>
  <c r="P10" i="75"/>
  <c r="P9" i="75"/>
  <c r="Q10" i="75"/>
  <c r="Q9" i="75"/>
  <c r="R10" i="75" l="1"/>
  <c r="R9" i="75"/>
  <c r="B10" i="75"/>
  <c r="Q23" i="74"/>
  <c r="P23" i="74"/>
  <c r="Q22" i="74"/>
  <c r="P22" i="74"/>
  <c r="Q21" i="74"/>
  <c r="P21" i="74"/>
  <c r="Q20" i="74"/>
  <c r="P20" i="74"/>
  <c r="Q31" i="74"/>
  <c r="Q30" i="74"/>
  <c r="Q29" i="74"/>
  <c r="Q28" i="74"/>
  <c r="Q27" i="74"/>
  <c r="Q26" i="74"/>
  <c r="Q25" i="74"/>
  <c r="Q24" i="74"/>
  <c r="Q19" i="74"/>
  <c r="Q18" i="74"/>
  <c r="Q17" i="74"/>
  <c r="Q16" i="74"/>
  <c r="P31" i="74"/>
  <c r="P30" i="74"/>
  <c r="P29" i="74"/>
  <c r="P28" i="74"/>
  <c r="P27" i="74"/>
  <c r="P26" i="74"/>
  <c r="P25" i="74"/>
  <c r="P24" i="74"/>
  <c r="P19" i="74"/>
  <c r="P18" i="74"/>
  <c r="P17" i="74"/>
  <c r="P16" i="74"/>
  <c r="O31" i="74"/>
  <c r="O30" i="74"/>
  <c r="O29" i="74"/>
  <c r="O28" i="74"/>
  <c r="O27" i="74"/>
  <c r="O26" i="74"/>
  <c r="O25" i="74"/>
  <c r="O24" i="74"/>
  <c r="O23" i="74"/>
  <c r="O22" i="74"/>
  <c r="O21" i="74"/>
  <c r="O20" i="74"/>
  <c r="O19" i="74"/>
  <c r="O18" i="74"/>
  <c r="O17" i="74"/>
  <c r="O16" i="74"/>
  <c r="L23" i="74"/>
  <c r="N22" i="74"/>
  <c r="L22" i="74"/>
  <c r="M20" i="74"/>
  <c r="L20" i="74"/>
  <c r="N31" i="74"/>
  <c r="N25" i="74"/>
  <c r="M28" i="74"/>
  <c r="M25" i="74"/>
  <c r="M24" i="74"/>
  <c r="M16" i="74"/>
  <c r="L31" i="74"/>
  <c r="L30" i="74"/>
  <c r="L28" i="74"/>
  <c r="L25" i="74"/>
  <c r="L17" i="74"/>
  <c r="K10" i="74"/>
  <c r="K11" i="74"/>
  <c r="K12" i="74"/>
  <c r="K13" i="74"/>
  <c r="K14" i="74"/>
  <c r="K15" i="74"/>
  <c r="K16" i="74"/>
  <c r="N16" i="74" s="1"/>
  <c r="K17" i="74"/>
  <c r="N17" i="74" s="1"/>
  <c r="K18" i="74"/>
  <c r="N18" i="74" s="1"/>
  <c r="K19" i="74"/>
  <c r="M19" i="74" s="1"/>
  <c r="K20" i="74"/>
  <c r="N20" i="74" s="1"/>
  <c r="K21" i="74"/>
  <c r="N21" i="74" s="1"/>
  <c r="K22" i="74"/>
  <c r="M22" i="74" s="1"/>
  <c r="K23" i="74"/>
  <c r="N23" i="74" s="1"/>
  <c r="K24" i="74"/>
  <c r="L24" i="74" s="1"/>
  <c r="K25" i="74"/>
  <c r="K26" i="74"/>
  <c r="L26" i="74" s="1"/>
  <c r="K27" i="74"/>
  <c r="L27" i="74" s="1"/>
  <c r="K28" i="74"/>
  <c r="N28" i="74" s="1"/>
  <c r="K29" i="74"/>
  <c r="N29" i="74" s="1"/>
  <c r="K30" i="74"/>
  <c r="N30" i="74" s="1"/>
  <c r="K31" i="74"/>
  <c r="M31" i="74" s="1"/>
  <c r="B10" i="74"/>
  <c r="D20" i="66"/>
  <c r="N19" i="74" l="1"/>
  <c r="L16" i="74"/>
  <c r="L29" i="74"/>
  <c r="M26" i="74"/>
  <c r="N24" i="74"/>
  <c r="M27" i="74"/>
  <c r="L19" i="74"/>
  <c r="M17" i="74"/>
  <c r="M29" i="74"/>
  <c r="N27" i="74"/>
  <c r="M23" i="74"/>
  <c r="L18" i="74"/>
  <c r="N26" i="74"/>
  <c r="M18" i="74"/>
  <c r="M30" i="74"/>
  <c r="L21" i="74"/>
  <c r="M21" i="74"/>
  <c r="B11" i="74"/>
  <c r="B12" i="74" s="1"/>
  <c r="B13" i="74" s="1"/>
  <c r="B14" i="74" s="1"/>
  <c r="B15" i="74" s="1"/>
  <c r="B16" i="74" s="1"/>
  <c r="B17" i="74" s="1"/>
  <c r="B18" i="74" s="1"/>
  <c r="B19" i="74" s="1"/>
  <c r="B20" i="74" s="1"/>
  <c r="B21" i="74" s="1"/>
  <c r="B22" i="74" s="1"/>
  <c r="B23" i="74" s="1"/>
  <c r="B24" i="74" s="1"/>
  <c r="B25" i="74" s="1"/>
  <c r="B26" i="74" s="1"/>
  <c r="B27" i="74" s="1"/>
  <c r="B28" i="74" s="1"/>
  <c r="B29" i="74" s="1"/>
  <c r="B30" i="74" s="1"/>
  <c r="B31" i="74" s="1"/>
  <c r="N35" i="2" l="1"/>
  <c r="O35" i="2"/>
  <c r="O34" i="2"/>
  <c r="N34" i="2"/>
  <c r="N10" i="2"/>
  <c r="O10" i="2"/>
  <c r="N11" i="2"/>
  <c r="O11" i="2"/>
  <c r="N12" i="2"/>
  <c r="O12" i="2"/>
  <c r="N13" i="2"/>
  <c r="O13" i="2"/>
  <c r="N14" i="2"/>
  <c r="O14" i="2"/>
  <c r="O9" i="2"/>
  <c r="N9" i="2"/>
  <c r="H22" i="2"/>
  <c r="H20" i="2"/>
  <c r="H10" i="2"/>
  <c r="H11" i="2"/>
  <c r="H12" i="2"/>
  <c r="H13" i="2"/>
  <c r="H14" i="2"/>
  <c r="H9" i="2"/>
  <c r="K9" i="2" s="1"/>
  <c r="F6" i="66"/>
  <c r="G13" i="2" s="1"/>
  <c r="F7" i="66"/>
  <c r="G14" i="2" s="1"/>
  <c r="F8" i="66"/>
  <c r="G15" i="2" s="1"/>
  <c r="F9" i="66"/>
  <c r="G16" i="2" s="1"/>
  <c r="F10" i="66"/>
  <c r="G17" i="2" s="1"/>
  <c r="F11" i="66"/>
  <c r="G18" i="2" s="1"/>
  <c r="F12" i="66"/>
  <c r="G19" i="2" s="1"/>
  <c r="F13" i="66"/>
  <c r="G20" i="2" s="1"/>
  <c r="F14" i="66"/>
  <c r="G21" i="2" s="1"/>
  <c r="F15" i="66"/>
  <c r="G22" i="2" s="1"/>
  <c r="F16" i="66"/>
  <c r="G23" i="2" s="1"/>
  <c r="F17" i="66"/>
  <c r="G24" i="2" s="1"/>
  <c r="F18" i="66"/>
  <c r="G25" i="2" s="1"/>
  <c r="F19" i="66"/>
  <c r="G26" i="2" s="1"/>
  <c r="F20" i="66"/>
  <c r="G27" i="2" s="1"/>
  <c r="F21" i="66"/>
  <c r="G28" i="2" s="1"/>
  <c r="F22" i="66"/>
  <c r="G29" i="2" s="1"/>
  <c r="F23" i="66"/>
  <c r="G30" i="2" s="1"/>
  <c r="F24" i="66"/>
  <c r="G31" i="2" s="1"/>
  <c r="G12" i="2"/>
  <c r="P15" i="73"/>
  <c r="L15" i="73"/>
  <c r="G15" i="73"/>
  <c r="P12" i="73"/>
  <c r="L12" i="73"/>
  <c r="G12" i="73"/>
  <c r="G11" i="73"/>
  <c r="P11" i="73"/>
  <c r="L11" i="73"/>
  <c r="F32" i="67" l="1"/>
  <c r="H9" i="75" s="1"/>
  <c r="K9" i="75" s="1"/>
  <c r="F33" i="67"/>
  <c r="H10" i="75" s="1"/>
  <c r="K10" i="75" s="1"/>
  <c r="L10" i="75" l="1"/>
  <c r="N10" i="75"/>
  <c r="M10" i="75"/>
  <c r="L9" i="75"/>
  <c r="N9" i="75"/>
  <c r="M9" i="75"/>
  <c r="D16" i="73"/>
  <c r="M16" i="73" l="1"/>
  <c r="F11" i="73"/>
  <c r="O10" i="73"/>
  <c r="O14" i="73"/>
  <c r="O12" i="73"/>
  <c r="F15" i="73"/>
  <c r="O13" i="73"/>
  <c r="F12" i="73"/>
  <c r="F14" i="73"/>
  <c r="F10" i="73"/>
  <c r="O11" i="73"/>
  <c r="F13" i="73"/>
  <c r="O15" i="73"/>
  <c r="I16" i="73"/>
  <c r="K12" i="73" s="1"/>
  <c r="D6" i="66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1" i="66"/>
  <c r="D22" i="66"/>
  <c r="D23" i="66"/>
  <c r="D24" i="66"/>
  <c r="F25" i="66"/>
  <c r="F26" i="66"/>
  <c r="G33" i="2" s="1"/>
  <c r="F27" i="66"/>
  <c r="G34" i="2" s="1"/>
  <c r="X20" i="72"/>
  <c r="X19" i="72"/>
  <c r="W20" i="72"/>
  <c r="W18" i="72"/>
  <c r="V20" i="72"/>
  <c r="V19" i="72"/>
  <c r="U20" i="72"/>
  <c r="U18" i="72"/>
  <c r="T20" i="72"/>
  <c r="T19" i="72"/>
  <c r="S20" i="72"/>
  <c r="S18" i="72"/>
  <c r="Q18" i="72"/>
  <c r="R19" i="72" s="1"/>
  <c r="Q20" i="72" l="1"/>
  <c r="R20" i="72" s="1"/>
  <c r="F28" i="66"/>
  <c r="G35" i="2" s="1"/>
  <c r="G32" i="2"/>
  <c r="K15" i="73"/>
  <c r="K13" i="73"/>
  <c r="K11" i="73"/>
  <c r="K10" i="73"/>
  <c r="K16" i="73" s="1"/>
  <c r="K14" i="73"/>
  <c r="F16" i="73"/>
  <c r="O16" i="73"/>
  <c r="P20" i="72"/>
  <c r="P19" i="72"/>
  <c r="O20" i="72"/>
  <c r="O18" i="72"/>
  <c r="M20" i="72"/>
  <c r="M19" i="72"/>
  <c r="L20" i="72"/>
  <c r="L18" i="72"/>
  <c r="J20" i="72"/>
  <c r="J19" i="72"/>
  <c r="I20" i="72"/>
  <c r="I18" i="72"/>
  <c r="E18" i="72"/>
  <c r="F19" i="72" s="1"/>
  <c r="E20" i="72" l="1"/>
  <c r="F20" i="72" s="1"/>
  <c r="L34" i="70" l="1"/>
  <c r="P35" i="2"/>
  <c r="P34" i="2"/>
  <c r="L38" i="70"/>
  <c r="K38" i="70"/>
  <c r="J38" i="70"/>
  <c r="K34" i="70"/>
  <c r="J34" i="70"/>
  <c r="M34" i="70" s="1"/>
  <c r="L30" i="70"/>
  <c r="K30" i="70"/>
  <c r="J30" i="70"/>
  <c r="L26" i="70"/>
  <c r="K26" i="70"/>
  <c r="J26" i="70"/>
  <c r="L22" i="70"/>
  <c r="K22" i="70"/>
  <c r="J22" i="70"/>
  <c r="L18" i="70"/>
  <c r="K18" i="70"/>
  <c r="J18" i="70"/>
  <c r="L14" i="70"/>
  <c r="K14" i="70"/>
  <c r="J14" i="70"/>
  <c r="M14" i="70" s="1"/>
  <c r="L10" i="70"/>
  <c r="K10" i="70"/>
  <c r="J10" i="70"/>
  <c r="L6" i="70"/>
  <c r="K6" i="70"/>
  <c r="J6" i="70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 s="1"/>
  <c r="I17" i="2"/>
  <c r="I16" i="2" s="1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K10" i="2"/>
  <c r="K11" i="2"/>
  <c r="K12" i="2"/>
  <c r="K13" i="2"/>
  <c r="K14" i="2"/>
  <c r="K34" i="2"/>
  <c r="K35" i="2"/>
  <c r="M26" i="70" l="1"/>
  <c r="M38" i="70"/>
  <c r="M30" i="70"/>
  <c r="M10" i="70"/>
  <c r="M6" i="70"/>
  <c r="M22" i="70"/>
  <c r="M18" i="70"/>
  <c r="M9" i="2"/>
  <c r="L9" i="2"/>
  <c r="K25" i="2"/>
  <c r="N25" i="2"/>
  <c r="O25" i="2"/>
  <c r="K33" i="2"/>
  <c r="N33" i="2"/>
  <c r="O33" i="2"/>
  <c r="K22" i="2"/>
  <c r="N22" i="2"/>
  <c r="O22" i="2"/>
  <c r="K16" i="2"/>
  <c r="N16" i="2"/>
  <c r="O16" i="2"/>
  <c r="L11" i="2"/>
  <c r="M11" i="2"/>
  <c r="K19" i="2"/>
  <c r="N19" i="2"/>
  <c r="O19" i="2"/>
  <c r="N23" i="2"/>
  <c r="O23" i="2"/>
  <c r="K27" i="2"/>
  <c r="N27" i="2"/>
  <c r="O27" i="2"/>
  <c r="K31" i="2"/>
  <c r="N31" i="2"/>
  <c r="O31" i="2"/>
  <c r="I15" i="2"/>
  <c r="N17" i="2"/>
  <c r="O17" i="2"/>
  <c r="L13" i="2"/>
  <c r="M13" i="2"/>
  <c r="K21" i="2"/>
  <c r="N21" i="2"/>
  <c r="O21" i="2"/>
  <c r="K29" i="2"/>
  <c r="N29" i="2"/>
  <c r="O29" i="2"/>
  <c r="M35" i="2"/>
  <c r="L35" i="2"/>
  <c r="L12" i="2"/>
  <c r="M12" i="2"/>
  <c r="K18" i="2"/>
  <c r="N18" i="2"/>
  <c r="O18" i="2"/>
  <c r="K26" i="2"/>
  <c r="N26" i="2"/>
  <c r="O26" i="2"/>
  <c r="K30" i="2"/>
  <c r="N30" i="2"/>
  <c r="O30" i="2"/>
  <c r="M34" i="2"/>
  <c r="L34" i="2"/>
  <c r="L14" i="2"/>
  <c r="M14" i="2"/>
  <c r="L10" i="2"/>
  <c r="M10" i="2"/>
  <c r="K20" i="2"/>
  <c r="N20" i="2"/>
  <c r="O20" i="2"/>
  <c r="K24" i="2"/>
  <c r="N24" i="2"/>
  <c r="O24" i="2"/>
  <c r="K28" i="2"/>
  <c r="N28" i="2"/>
  <c r="O28" i="2"/>
  <c r="K32" i="2"/>
  <c r="N32" i="2"/>
  <c r="O32" i="2"/>
  <c r="K17" i="2"/>
  <c r="L29" i="2" l="1"/>
  <c r="M29" i="2"/>
  <c r="L16" i="2"/>
  <c r="M16" i="2"/>
  <c r="L25" i="2"/>
  <c r="M25" i="2"/>
  <c r="L17" i="2"/>
  <c r="M17" i="2"/>
  <c r="L20" i="2"/>
  <c r="M20" i="2"/>
  <c r="L26" i="2"/>
  <c r="M26" i="2"/>
  <c r="L27" i="2"/>
  <c r="M27" i="2"/>
  <c r="L33" i="2"/>
  <c r="M33" i="2"/>
  <c r="L28" i="2"/>
  <c r="M28" i="2"/>
  <c r="K15" i="2"/>
  <c r="N15" i="2"/>
  <c r="O15" i="2"/>
  <c r="L32" i="2"/>
  <c r="M32" i="2"/>
  <c r="L18" i="2"/>
  <c r="M18" i="2"/>
  <c r="L24" i="2"/>
  <c r="M24" i="2"/>
  <c r="L30" i="2"/>
  <c r="M30" i="2"/>
  <c r="L21" i="2"/>
  <c r="M21" i="2"/>
  <c r="L31" i="2"/>
  <c r="M31" i="2"/>
  <c r="L19" i="2"/>
  <c r="M19" i="2"/>
  <c r="L22" i="2"/>
  <c r="M22" i="2"/>
  <c r="E8" i="65"/>
  <c r="D8" i="65"/>
  <c r="L15" i="2" l="1"/>
  <c r="M15" i="2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13" i="33"/>
  <c r="P15" i="2" l="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8" i="31"/>
  <c r="G29" i="31"/>
  <c r="G30" i="31"/>
  <c r="G31" i="31"/>
  <c r="G32" i="31"/>
  <c r="G33" i="31"/>
  <c r="G34" i="31"/>
  <c r="G35" i="31"/>
  <c r="G36" i="31"/>
  <c r="G37" i="31"/>
  <c r="F13" i="31"/>
  <c r="E13" i="37" s="1"/>
  <c r="F14" i="31"/>
  <c r="E14" i="37" s="1"/>
  <c r="F15" i="31"/>
  <c r="E15" i="37" s="1"/>
  <c r="F16" i="31"/>
  <c r="E16" i="37" s="1"/>
  <c r="F17" i="31"/>
  <c r="E17" i="37" s="1"/>
  <c r="F21" i="31"/>
  <c r="E21" i="37" s="1"/>
  <c r="F22" i="31"/>
  <c r="E22" i="37" s="1"/>
  <c r="F23" i="31"/>
  <c r="E23" i="37" s="1"/>
  <c r="F24" i="31"/>
  <c r="E24" i="37" s="1"/>
  <c r="F25" i="31"/>
  <c r="E25" i="37" s="1"/>
  <c r="F26" i="31"/>
  <c r="E26" i="37" s="1"/>
  <c r="F27" i="31"/>
  <c r="E27" i="37" s="1"/>
  <c r="F28" i="31"/>
  <c r="E28" i="37" s="1"/>
  <c r="F29" i="31"/>
  <c r="E29" i="37" s="1"/>
  <c r="F30" i="31"/>
  <c r="E30" i="37" s="1"/>
  <c r="F31" i="31"/>
  <c r="E31" i="37" s="1"/>
  <c r="F32" i="31"/>
  <c r="E32" i="37" s="1"/>
  <c r="E13" i="31"/>
  <c r="D13" i="37" s="1"/>
  <c r="E14" i="31"/>
  <c r="D14" i="37" s="1"/>
  <c r="E15" i="31"/>
  <c r="D15" i="37" s="1"/>
  <c r="E16" i="31"/>
  <c r="D16" i="37" s="1"/>
  <c r="E17" i="31"/>
  <c r="D17" i="37" s="1"/>
  <c r="B2" i="37"/>
  <c r="B7" i="37" s="1"/>
  <c r="F14" i="37" l="1"/>
  <c r="F17" i="37"/>
  <c r="F16" i="37"/>
  <c r="F15" i="37"/>
  <c r="F13" i="37"/>
  <c r="E14" i="33" l="1"/>
  <c r="E15" i="33"/>
  <c r="E16" i="33"/>
  <c r="E17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8" i="33"/>
  <c r="D29" i="33"/>
  <c r="D30" i="33"/>
  <c r="D31" i="33"/>
  <c r="D32" i="33"/>
  <c r="D33" i="33"/>
  <c r="D34" i="33"/>
  <c r="D35" i="33"/>
  <c r="D36" i="33"/>
  <c r="D37" i="33"/>
  <c r="D13" i="33"/>
  <c r="B2" i="33"/>
  <c r="B7" i="33" s="1"/>
  <c r="F25" i="33" l="1"/>
  <c r="H25" i="33" s="1"/>
  <c r="F17" i="33"/>
  <c r="H17" i="33" s="1"/>
  <c r="F21" i="33"/>
  <c r="H21" i="33" s="1"/>
  <c r="F29" i="33"/>
  <c r="H29" i="33" s="1"/>
  <c r="F31" i="33"/>
  <c r="H31" i="33" s="1"/>
  <c r="F23" i="33"/>
  <c r="H23" i="33" s="1"/>
  <c r="F15" i="33"/>
  <c r="H15" i="33" s="1"/>
  <c r="F28" i="33"/>
  <c r="H28" i="33" s="1"/>
  <c r="F13" i="33"/>
  <c r="H13" i="33" s="1"/>
  <c r="F30" i="33"/>
  <c r="H30" i="33" s="1"/>
  <c r="F22" i="33"/>
  <c r="H22" i="33" s="1"/>
  <c r="F14" i="33"/>
  <c r="H14" i="33" s="1"/>
  <c r="F26" i="33"/>
  <c r="H26" i="33" s="1"/>
  <c r="F32" i="33"/>
  <c r="H32" i="33" s="1"/>
  <c r="F24" i="33"/>
  <c r="H24" i="33" s="1"/>
  <c r="F16" i="33"/>
  <c r="H16" i="33" s="1"/>
  <c r="E23" i="2" l="1"/>
  <c r="F20" i="31"/>
  <c r="B14" i="3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2" i="31"/>
  <c r="G27" i="31" l="1"/>
  <c r="D27" i="33" s="1"/>
  <c r="F27" i="33" s="1"/>
  <c r="H27" i="33" s="1"/>
  <c r="K23" i="2"/>
  <c r="F18" i="31"/>
  <c r="F19" i="31"/>
  <c r="E20" i="37"/>
  <c r="E20" i="33"/>
  <c r="F20" i="33" s="1"/>
  <c r="H20" i="33" s="1"/>
  <c r="L23" i="2" l="1"/>
  <c r="M23" i="2"/>
  <c r="E19" i="37"/>
  <c r="E19" i="33"/>
  <c r="F19" i="33" s="1"/>
  <c r="H19" i="33" s="1"/>
  <c r="E18" i="37"/>
  <c r="E18" i="33"/>
  <c r="F18" i="33" s="1"/>
  <c r="H18" i="33" s="1"/>
  <c r="E23" i="31"/>
  <c r="D23" i="37" s="1"/>
  <c r="F23" i="37" s="1"/>
  <c r="E26" i="31"/>
  <c r="D26" i="37" s="1"/>
  <c r="F26" i="37" s="1"/>
  <c r="E27" i="31"/>
  <c r="D27" i="37" s="1"/>
  <c r="F27" i="37" s="1"/>
  <c r="E28" i="31"/>
  <c r="D28" i="37" s="1"/>
  <c r="F28" i="37" s="1"/>
  <c r="E29" i="31"/>
  <c r="D29" i="37" s="1"/>
  <c r="F29" i="37" s="1"/>
  <c r="E30" i="31"/>
  <c r="D30" i="37" s="1"/>
  <c r="F30" i="37" s="1"/>
  <c r="E31" i="31"/>
  <c r="D31" i="37" s="1"/>
  <c r="F31" i="37" s="1"/>
  <c r="E32" i="31"/>
  <c r="D32" i="37" s="1"/>
  <c r="F32" i="37" s="1"/>
  <c r="E35" i="31"/>
  <c r="D35" i="37" s="1"/>
  <c r="E36" i="31"/>
  <c r="D36" i="37" s="1"/>
  <c r="E37" i="31"/>
  <c r="D37" i="37" s="1"/>
  <c r="E34" i="31" l="1"/>
  <c r="D34" i="37" s="1"/>
  <c r="E33" i="31"/>
  <c r="D33" i="37" s="1"/>
  <c r="F33" i="31"/>
  <c r="E24" i="31"/>
  <c r="D24" i="37" s="1"/>
  <c r="F24" i="37" s="1"/>
  <c r="E21" i="31"/>
  <c r="D21" i="37" s="1"/>
  <c r="F21" i="37" s="1"/>
  <c r="E20" i="31"/>
  <c r="D20" i="37" s="1"/>
  <c r="F20" i="37" s="1"/>
  <c r="E25" i="31"/>
  <c r="D25" i="37" s="1"/>
  <c r="F25" i="37" s="1"/>
  <c r="E22" i="31"/>
  <c r="D22" i="37" s="1"/>
  <c r="F22" i="37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E18" i="31" l="1"/>
  <c r="D18" i="37" s="1"/>
  <c r="F18" i="37" s="1"/>
  <c r="E19" i="31"/>
  <c r="D19" i="37" s="1"/>
  <c r="F19" i="37" s="1"/>
  <c r="E33" i="37"/>
  <c r="F33" i="37" s="1"/>
  <c r="E33" i="33"/>
  <c r="F33" i="33" s="1"/>
  <c r="H33" i="33" s="1"/>
  <c r="F34" i="31" l="1"/>
  <c r="F35" i="31" l="1"/>
  <c r="E34" i="37"/>
  <c r="F34" i="37" s="1"/>
  <c r="E34" i="33"/>
  <c r="F34" i="33" s="1"/>
  <c r="H34" i="33" s="1"/>
  <c r="E35" i="33" l="1"/>
  <c r="F35" i="33" s="1"/>
  <c r="H35" i="33" s="1"/>
  <c r="E35" i="37"/>
  <c r="F35" i="37" s="1"/>
  <c r="F37" i="31"/>
  <c r="F36" i="31"/>
  <c r="E37" i="33" l="1"/>
  <c r="F37" i="33" s="1"/>
  <c r="H37" i="33" s="1"/>
  <c r="E37" i="37"/>
  <c r="F37" i="37" s="1"/>
  <c r="E36" i="33"/>
  <c r="F36" i="33" s="1"/>
  <c r="H36" i="33" s="1"/>
  <c r="E36" i="37"/>
  <c r="F36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21" authorId="0" shapeId="0" xr:uid="{FD485851-3D7D-424F-A049-AA2D3EE97E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476-03, Exhibit G3, Tab 3, Schedule 4.
● Fiscal Year Ending March 31, 1994
</t>
        </r>
      </text>
    </comment>
    <comment ref="I21" authorId="0" shapeId="0" xr:uid="{4D1FCAF3-C508-486C-B6CC-7827118670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486, Exhibit G3, Tab 3, Schedule 4.
● Fiscal Year Ending March 31, 1996
</t>
        </r>
      </text>
    </comment>
    <comment ref="M21" authorId="0" shapeId="0" xr:uid="{C1A18BE9-4043-40C7-8083-616C380CF8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493/494, Exhibit G3, Tab 3, Schedule 4.
● Fiscal Year Ending December 31, 1997
</t>
        </r>
      </text>
    </comment>
    <comment ref="Q21" authorId="0" shapeId="0" xr:uid="{DA00FB03-486F-41B1-89ED-5C4D1C26522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499, Exhibit G4, Tab 3, Schedule 1, UPDATED.
● Cost of Service Study for Calendar year 1999
</t>
        </r>
      </text>
    </comment>
    <comment ref="D34" authorId="0" shapeId="0" xr:uid="{94A7D8D3-9ECF-457F-A563-0B4FA4B1B3C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483/484, Exhibit G3, Tab 3, Schedule 1. Includes Total O&amp;M including Gas Costs &amp; Other plus Total A&amp;G Expenses
● Test Year Ending December 31, 1994
</t>
        </r>
      </text>
    </comment>
    <comment ref="I34" authorId="0" shapeId="0" xr:uid="{B475F474-0D2E-4E0D-B247-A67C8346CB4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489, Exhibit G3, Tab 3, Schedule 1. Includes Total O&amp;M including Gas Costs &amp; Other plus Total A&amp;G Expenses
● Test Year Ending December 31, 1995
</t>
        </r>
      </text>
    </comment>
    <comment ref="M34" authorId="0" shapeId="0" xr:uid="{E88E2005-5EFD-4067-BE47-B7725FC496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493/494, Exhibit G3, Tab 3, Schedule 7, Page 2 (O&amp;M Expense) &amp; E.B.R.O. 493/494, Exhibit G3, Tab 3, Schedule 8 (A&amp;G Expense)
● Test Year Ending December 31, 1997
</t>
        </r>
      </text>
    </comment>
    <comment ref="Q34" authorId="0" shapeId="0" xr:uid="{029AD56C-4355-414D-A522-D4CB3397A5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499, Exhibit G3, Tab 3, Schedule 1, UPDATED.
● Cost of Service Study for Calendar year 1999
</t>
        </r>
      </text>
    </comment>
    <comment ref="M46" authorId="0" shapeId="0" xr:uid="{C235A32D-6332-4D6B-ABEE-10AF88BEB9F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493/494, Exhibit G3, Tab 3, Schedule 7, Page 2 (O&amp;M Expense) &amp; E.B.R.O. 493/494, Exhibit G3, Tab 3, Schedule 8 (A&amp;G Expense)
● Test Year Ending December 31, 1997
</t>
        </r>
      </text>
    </comment>
    <comment ref="Q46" authorId="0" shapeId="0" xr:uid="{128F4A62-3045-475C-AA85-74437BDB0FB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● Sourced from E.B.R.O. 499, Exhibit G3, Tab 3, Schedule 1, UPDATED.
● Cost of Service Study for Calendar year 1999
</t>
        </r>
      </text>
    </comment>
  </commentList>
</comments>
</file>

<file path=xl/sharedStrings.xml><?xml version="1.0" encoding="utf-8"?>
<sst xmlns="http://schemas.openxmlformats.org/spreadsheetml/2006/main" count="1128" uniqueCount="295">
  <si>
    <t>Description</t>
  </si>
  <si>
    <t>Calculates Labor Price for Enbridge for each year</t>
  </si>
  <si>
    <t xml:space="preserve">Sources </t>
  </si>
  <si>
    <t>Calendar Year Conversions tab</t>
  </si>
  <si>
    <t>Year</t>
  </si>
  <si>
    <t>Company</t>
  </si>
  <si>
    <t>Distirbution FTEs</t>
  </si>
  <si>
    <t>Distribution Wages and Salaries</t>
  </si>
  <si>
    <t>Labor Price</t>
  </si>
  <si>
    <t>(a)</t>
  </si>
  <si>
    <t>(b)</t>
  </si>
  <si>
    <t>(c) = (b)/(a)</t>
  </si>
  <si>
    <t>Enbridge Gas Distribution</t>
  </si>
  <si>
    <t>Calculates Materials stock and cost for Enbridge for each year</t>
  </si>
  <si>
    <t>O&amp;M Expense: Distribution ($ Millions)</t>
  </si>
  <si>
    <t>Wages and Salaries: Distribution (DWGSAL) ($ Millions)</t>
  </si>
  <si>
    <t>Cost of Materials ($ Millions)</t>
  </si>
  <si>
    <t>GDP Price Index</t>
  </si>
  <si>
    <t>Materials Stock ($ Millions)</t>
  </si>
  <si>
    <t>(c) = (a) - (b)</t>
  </si>
  <si>
    <t>(d)</t>
  </si>
  <si>
    <t>(e) = (c) / (e)</t>
  </si>
  <si>
    <t>Converts fiscal year values into calendar year</t>
  </si>
  <si>
    <t>Calendar Year Conversion</t>
  </si>
  <si>
    <t>Enbridge O&amp;M and Labor Data</t>
  </si>
  <si>
    <t>Materials</t>
  </si>
  <si>
    <t>Distribution Full Time Equivalents</t>
  </si>
  <si>
    <t>Wages &amp; Salaries: Distribution ($, millions)</t>
  </si>
  <si>
    <t>Operations &amp; Maintenance Expense ($ millions)</t>
  </si>
  <si>
    <t>O&amp;M Inputs</t>
  </si>
  <si>
    <t>Enbridge Gas Inc  (2019-2022)</t>
  </si>
  <si>
    <t>(in $ millions except for FTE count)</t>
  </si>
  <si>
    <t xml:space="preserve">Total O&amp;M Expense </t>
  </si>
  <si>
    <t>O&amp;M Source</t>
  </si>
  <si>
    <t>DSM
(non-labor)</t>
  </si>
  <si>
    <t>Bad debt expense</t>
  </si>
  <si>
    <t>Total Salaries &amp; wages</t>
  </si>
  <si>
    <t>Salaries &amp; wages Source</t>
  </si>
  <si>
    <t>Other O&amp;M (including A&amp;G)</t>
  </si>
  <si>
    <t>Other O&amp;M - distribution</t>
  </si>
  <si>
    <t>Other O&amp;M - storage</t>
  </si>
  <si>
    <t>Other O&amp;M - transmission</t>
  </si>
  <si>
    <t>Salaries &amp; wages - distribution</t>
  </si>
  <si>
    <t>Salaries &amp; wages - storage</t>
  </si>
  <si>
    <t>Salaries &amp; wages - transmission</t>
  </si>
  <si>
    <t>Distribution FTEs</t>
  </si>
  <si>
    <t>FTE Source</t>
  </si>
  <si>
    <t>a</t>
  </si>
  <si>
    <t>b</t>
  </si>
  <si>
    <t>c</t>
  </si>
  <si>
    <t>d</t>
  </si>
  <si>
    <t>e = a-b-c-d</t>
  </si>
  <si>
    <t xml:space="preserve">Breakdown of Other O&amp;M (e) </t>
  </si>
  <si>
    <t xml:space="preserve">Breakdown of Total salaries &amp; wages (d) </t>
  </si>
  <si>
    <t>Note 2</t>
  </si>
  <si>
    <t>Enbridge Gas Inc</t>
  </si>
  <si>
    <t>EB2021-0149 Exhibit B Tab 3 schedule 1</t>
  </si>
  <si>
    <t>Note 1</t>
  </si>
  <si>
    <t>2012-2021 labor tab</t>
  </si>
  <si>
    <t>2012-2022 labor tab</t>
  </si>
  <si>
    <t>Pro-rated based on 2018 EGD/UG Total O&amp;M split</t>
  </si>
  <si>
    <t>NOTES</t>
  </si>
  <si>
    <t>EGD and UG reported Salary &amp; wages info differently -- see Note 1 in respective tabs.</t>
  </si>
  <si>
    <r>
      <rPr>
        <b/>
        <sz val="11"/>
        <color theme="1"/>
        <rFont val="Calibri"/>
        <family val="2"/>
      </rPr>
      <t>Method 1</t>
    </r>
    <r>
      <rPr>
        <sz val="11"/>
        <color theme="1"/>
        <rFont val="Calibri"/>
        <family val="2"/>
        <scheme val="minor"/>
      </rPr>
      <t>:  EGD reported Salaries &amp; wages as per employment contracts, without consideration of overtime pay, leaves of absence, partial year employment, etc.</t>
    </r>
  </si>
  <si>
    <r>
      <rPr>
        <b/>
        <sz val="11"/>
        <color theme="1"/>
        <rFont val="Calibri"/>
        <family val="2"/>
      </rPr>
      <t xml:space="preserve">Method 2:  </t>
    </r>
    <r>
      <rPr>
        <sz val="11"/>
        <color theme="1"/>
        <rFont val="Calibri"/>
        <family val="2"/>
        <scheme val="minor"/>
      </rPr>
      <t>UG reported Salaries &amp; wages as per the GL (considers OT pay, LOAs, etc.)</t>
    </r>
  </si>
  <si>
    <t>Options</t>
  </si>
  <si>
    <r>
      <rPr>
        <b/>
        <sz val="11"/>
        <color theme="1"/>
        <rFont val="Calibri"/>
        <family val="2"/>
      </rPr>
      <t xml:space="preserve">Combination of Methods 1 &amp; 2 </t>
    </r>
    <r>
      <rPr>
        <sz val="11"/>
        <color theme="1"/>
        <rFont val="Calibri"/>
        <family val="2"/>
        <scheme val="minor"/>
      </rPr>
      <t xml:space="preserve">
(consistent with historical EGD and UG info)</t>
    </r>
  </si>
  <si>
    <t>presented in chart above for consistency with historical data</t>
  </si>
  <si>
    <r>
      <rPr>
        <b/>
        <sz val="11"/>
        <color theme="1"/>
        <rFont val="Calibri"/>
        <family val="2"/>
      </rPr>
      <t xml:space="preserve">Alignment to Method 2
</t>
    </r>
    <r>
      <rPr>
        <sz val="11"/>
        <color theme="1"/>
        <rFont val="Calibri"/>
        <family val="2"/>
        <scheme val="minor"/>
      </rPr>
      <t>(ties to GL)</t>
    </r>
  </si>
  <si>
    <t>Year-end FTE count.  Reflects headcount reductions in 2019 and 2020 resulting from amalgamation</t>
  </si>
  <si>
    <t>Enbridge Gas Distribution  (1992-2018)</t>
  </si>
  <si>
    <t>d, Note 1</t>
  </si>
  <si>
    <t>EBRO 485, Exhibit D5, Tab 3, Schedule 2, p. 2</t>
  </si>
  <si>
    <t>EBRO 485, Exhibit D5, Tab 4, Schedule 2, p. 1</t>
  </si>
  <si>
    <t>EBRO 485, Exhibit D5, Tab 9, Schedule 2, p. 1</t>
  </si>
  <si>
    <t>EBRO 487, Exhibit D5, Tab 3, Schedule 2, p. 2</t>
  </si>
  <si>
    <t>EBRO 487, Exhibit D5, Tab 4, Schedule 2, p. 1</t>
  </si>
  <si>
    <t>EBRO 487, Exhibit D5, Tab 9, Schedule 2, p. 1</t>
  </si>
  <si>
    <t>EBRO 490, Exhibit D5, Tab 3, Schedule 2, p. 2</t>
  </si>
  <si>
    <t>EBRO 490, Exhibit D5, Tab 4, Schedule 2, p. 1</t>
  </si>
  <si>
    <t>EBRO 490, Exhibit D5, Tab 10, Schedule 2, p. 1</t>
  </si>
  <si>
    <t>EBRO 492, Exhibit D5, Tab 3, Schedule 2, p. 3</t>
  </si>
  <si>
    <t>EBRO 492, Exhibit D5, Tab 4, Schedule 2, p. 1</t>
  </si>
  <si>
    <t>EBRO 492, Exhibit D5, Tab 10, Schedule 2, p. 1</t>
  </si>
  <si>
    <t>EBRO 495, Exhibit D5, Tab 3, Schedule 2, p. 3</t>
  </si>
  <si>
    <t>EBRO 495, Exhibit D5, Tab 4, Schedule 2, p. 1</t>
  </si>
  <si>
    <t>EBRO 495, Exhibit D5, Tab 10, Schedule 2, p. 1</t>
  </si>
  <si>
    <t>EBRO 497, EBO 179-14, Exhibit D5, Tab 3, Schedule 2, p. 2</t>
  </si>
  <si>
    <t>EBRO 497, EBO 170-14, Exhibit D5, Tab 4, Schedule 2, p. 1</t>
  </si>
  <si>
    <t>EBRO 497, EBO 170-14, Exhibit D5, Tab 9, Schedule 2, p. 1</t>
  </si>
  <si>
    <t>RP-1999-0001, Exhibit D5, Tab 1, Schedule 2, p. 1</t>
  </si>
  <si>
    <t>Average of 1997 and 2000 values</t>
  </si>
  <si>
    <t>RP-2002-0133, Exhibit A6, Tab 1, Schedule 1, p. 4</t>
  </si>
  <si>
    <t>2000 tab</t>
  </si>
  <si>
    <t>2001 tab</t>
  </si>
  <si>
    <t>2002 tab</t>
  </si>
  <si>
    <t>RP-2003-0203, Exhibit D3, Tab 4, Schedule 1, p. 2</t>
  </si>
  <si>
    <t>2003 tab</t>
  </si>
  <si>
    <t>EB-2005-0001, Exhibit A6, Tab 1, Schedule 1, p. 12</t>
  </si>
  <si>
    <t>2004 tab</t>
  </si>
  <si>
    <t>EB-2006-0034, Exhibit D1, Tab 1, Schedule 1, p. 1</t>
  </si>
  <si>
    <t>2005 tab</t>
  </si>
  <si>
    <t>Average of 2005 and 2007 values</t>
  </si>
  <si>
    <t>2006 tab</t>
  </si>
  <si>
    <t>EB-2008-0219, Exhibit D, Tab 3, Schedule 1, p. 1</t>
  </si>
  <si>
    <t>2007 tab</t>
  </si>
  <si>
    <t>EB-2009-0055, Exhibit B, Tab 4, Schedule 2, p. 1</t>
  </si>
  <si>
    <t>2008 tab</t>
  </si>
  <si>
    <t>EB-2010-0042, Exhibit B, Tab 4, Schedule 2, p. 1</t>
  </si>
  <si>
    <t>2009 tab</t>
  </si>
  <si>
    <t>EB-2011-0008, Exhibit B, Tab 4, Schedule 2, p. 1</t>
  </si>
  <si>
    <t>2010 tab</t>
  </si>
  <si>
    <t>EB-2011-0354, Exhibit D1, Tab 3, Schedule 1, p. 11</t>
  </si>
  <si>
    <t>2011 tab</t>
  </si>
  <si>
    <t>EB-2013-0046, Exhibit B, Tab 4, Schedule 2, p. 1</t>
  </si>
  <si>
    <t>2012 tab</t>
  </si>
  <si>
    <t>EB-2012-0459, Exhibit D1, Tab 3, Schedule 1, p. 27</t>
  </si>
  <si>
    <t>2013 tab</t>
  </si>
  <si>
    <t>EB-2015-05-0122, Exhibit B, Tab 4, Schedule 2, p. 1</t>
  </si>
  <si>
    <t>2014 tab</t>
  </si>
  <si>
    <t>EB-2016-0142, Exhibit B, Tab 4, Schedule 2, p. 1</t>
  </si>
  <si>
    <t>2015 tab</t>
  </si>
  <si>
    <t>EB-2017-0102, Exhibit B, Tab 4, Schedule 2, p. 1</t>
  </si>
  <si>
    <t>2016 tab</t>
  </si>
  <si>
    <t>EB2018-01-31 Exhibit B Tab 4 schedule 2</t>
  </si>
  <si>
    <t>Enbridge HR record</t>
  </si>
  <si>
    <t>2012-2020 labor tab</t>
  </si>
  <si>
    <t>EB2019-01-15 Exhibit B Tab 2 Apendix D schedule 2</t>
  </si>
  <si>
    <t>EGD reported Salaries &amp; wages as per employment contracts, without consideration of overtime pay, leaves of absence, partial year employment, etc.  Does not tie to GL expense</t>
  </si>
  <si>
    <t>2018 - overtime pay started for employees below management level.  However, excluded from figures reported here</t>
  </si>
  <si>
    <t>Union Gas  (1996-2018)</t>
  </si>
  <si>
    <t>Union Gas</t>
  </si>
  <si>
    <t>Previous TFP</t>
  </si>
  <si>
    <t>Previous TFP, BD average of 2000-2002</t>
  </si>
  <si>
    <t>Previous TFP, calculated using net labor</t>
  </si>
  <si>
    <t>Previous TFP, verified 2011 ESM UG</t>
  </si>
  <si>
    <t>2011 ESM UG</t>
  </si>
  <si>
    <t>Previous TFP, verified 2012 ESM UG</t>
  </si>
  <si>
    <t>2012 ESM UG</t>
  </si>
  <si>
    <t>Previous TFP, verified 2013 ESM UG</t>
  </si>
  <si>
    <t>2013 ESM UG</t>
  </si>
  <si>
    <t>Previous TFP, validated 2012-2020 data</t>
  </si>
  <si>
    <t>Previous TFP, verified 2014 ESM UG</t>
  </si>
  <si>
    <t>2014 ESM UG</t>
  </si>
  <si>
    <t>2015 ESM UG</t>
  </si>
  <si>
    <t>2016 ESM UG</t>
  </si>
  <si>
    <t>2017 ESM</t>
  </si>
  <si>
    <t>2018 ESM</t>
  </si>
  <si>
    <t>Salaries &amp; wages expense as per the GL (considers OT pay, LOAs, etc.)</t>
  </si>
  <si>
    <t>Bad Debt Expense</t>
  </si>
  <si>
    <t>(in $millions)</t>
  </si>
  <si>
    <t>EGD</t>
  </si>
  <si>
    <t>EGD source</t>
  </si>
  <si>
    <t>UG</t>
  </si>
  <si>
    <t>UG Source</t>
  </si>
  <si>
    <t>EGI</t>
  </si>
  <si>
    <t>EBRO 479 D-3-3</t>
  </si>
  <si>
    <t>EBRO 485-D-3-3</t>
  </si>
  <si>
    <t>EBRO 487 D4-3-3</t>
  </si>
  <si>
    <t>EBRO 490 D3-2-2</t>
  </si>
  <si>
    <t>EBRO 492 D3-3-3</t>
  </si>
  <si>
    <t>EBRO 497 D5-3-3</t>
  </si>
  <si>
    <t>TFP study 2017</t>
  </si>
  <si>
    <t>rate case</t>
  </si>
  <si>
    <t>Customer record</t>
  </si>
  <si>
    <t>ESM filing</t>
  </si>
  <si>
    <t>GL less regulatory adjustment 0.6M for ABC bad debt</t>
  </si>
  <si>
    <t>DSM costs (excluding labour)</t>
  </si>
  <si>
    <t>EGD 
(incl labour)</t>
  </si>
  <si>
    <t>DSM labour costs</t>
  </si>
  <si>
    <t>EGD labour %</t>
  </si>
  <si>
    <t>EGD 
(excl labour)</t>
  </si>
  <si>
    <t>UG
(excl labour)</t>
  </si>
  <si>
    <t>EGI Source</t>
  </si>
  <si>
    <t>EB-2015-0049 VECC.2</t>
  </si>
  <si>
    <t>EB-2008-0271</t>
  </si>
  <si>
    <t>ESM 2012</t>
  </si>
  <si>
    <t>EB-2013-0109</t>
  </si>
  <si>
    <t>ESM 2014</t>
  </si>
  <si>
    <t>ESM 2015</t>
  </si>
  <si>
    <t>ESM 2016</t>
  </si>
  <si>
    <t>ESM 2017</t>
  </si>
  <si>
    <t>EB-2020-0067</t>
  </si>
  <si>
    <t>ESM 2018</t>
  </si>
  <si>
    <t>EB-2021-0149 Exhibit B Tab 3 Sched 1 less: DSM labour per GL</t>
  </si>
  <si>
    <t>average DSM labour as % of DSM costs</t>
  </si>
  <si>
    <t>actual DSM labour costs</t>
  </si>
  <si>
    <t>estimated DSM labour costs</t>
  </si>
  <si>
    <t>GL extract for 2019 &amp; 2020 DSM labour</t>
  </si>
  <si>
    <t>EB-2011-0210</t>
  </si>
  <si>
    <t>EB-2005-0520</t>
  </si>
  <si>
    <t>RP-2003-0063</t>
  </si>
  <si>
    <t>2013 Cost of Service</t>
  </si>
  <si>
    <t>2007 Cost of Service</t>
  </si>
  <si>
    <t>2004 Cost of Service</t>
  </si>
  <si>
    <t>Particulars</t>
  </si>
  <si>
    <t>($000's)</t>
  </si>
  <si>
    <t>(%)</t>
  </si>
  <si>
    <t>(c)</t>
  </si>
  <si>
    <t>(e)</t>
  </si>
  <si>
    <t>(f)</t>
  </si>
  <si>
    <t>Cost of Gas</t>
  </si>
  <si>
    <t>Storage</t>
  </si>
  <si>
    <t>Transmission - Dawn-Parkway</t>
  </si>
  <si>
    <t>Transmission - Ojibway/St. Clair</t>
  </si>
  <si>
    <t>Transmission - Other</t>
  </si>
  <si>
    <t>Distribution</t>
  </si>
  <si>
    <t>Total</t>
  </si>
  <si>
    <t>2013 and after</t>
  </si>
  <si>
    <t>2007 -2012</t>
  </si>
  <si>
    <t>2006 before</t>
  </si>
  <si>
    <t>E.B.R.O. 476-03</t>
  </si>
  <si>
    <t>E.B.R.O. 486</t>
  </si>
  <si>
    <t>E.B.R.O. 493/494</t>
  </si>
  <si>
    <t>E.B.R.O. 499</t>
  </si>
  <si>
    <t>Union South</t>
  </si>
  <si>
    <t>Union South ONLY Particulars</t>
  </si>
  <si>
    <t>Transmission</t>
  </si>
  <si>
    <t>E.B.R.O. 483/484</t>
  </si>
  <si>
    <t>E.B.R.O. 489</t>
  </si>
  <si>
    <t>Union North</t>
  </si>
  <si>
    <t>Union North (Centra) ONLY Particulars</t>
  </si>
  <si>
    <t>Combined</t>
  </si>
  <si>
    <t>Total O&amp;M per rate case</t>
  </si>
  <si>
    <t xml:space="preserve">Exclude </t>
  </si>
  <si>
    <t>Gas purchase</t>
  </si>
  <si>
    <t>DSM</t>
  </si>
  <si>
    <t>Bad Debt</t>
  </si>
  <si>
    <t>O&amp;M remaining</t>
  </si>
  <si>
    <t>O&amp;M storage</t>
  </si>
  <si>
    <t>O&amp;M distiribution</t>
  </si>
  <si>
    <t>before 2017 70%</t>
  </si>
  <si>
    <t>after 2017 66%</t>
  </si>
  <si>
    <t>From Statistics Canada: http://www5.statcan.gc.ca/access_acces/alternative_alternatif?l=eng&amp;keng=0.707&amp;kfra=0.707&amp;teng=Download%20file%20from%20CANSIM&amp;tfra=Fichier%20extrait%20de%20CANSIM&amp;loc=http://www5.statcan.gc.ca/cansim/results/cansim-3800102-eng-7225039757192702725.csv</t>
  </si>
  <si>
    <t>Table 380-0102 Gross domestic product indexes, annual (2007=100)</t>
  </si>
  <si>
    <t>Survey or program details:</t>
  </si>
  <si>
    <t>National Gross Domestic Product by Income and by Expenditure Accounts - 1901</t>
  </si>
  <si>
    <t>Geography</t>
  </si>
  <si>
    <t>Index</t>
  </si>
  <si>
    <t>Estimates</t>
  </si>
  <si>
    <t>Canada</t>
  </si>
  <si>
    <t>Implicit price indexes</t>
  </si>
  <si>
    <t>Gross domestic product at market prices</t>
  </si>
  <si>
    <t>Source:</t>
  </si>
  <si>
    <t>Statistics Canada. Table 380-0102 - Gross domestic product indexes, annual (2007=100 unless otherwise noted)</t>
  </si>
  <si>
    <t>(accessed: September 08, 2017)</t>
  </si>
  <si>
    <t>Year 2000</t>
  </si>
  <si>
    <t>EMP&amp;CWR Headcnt @ Prompted Dt</t>
  </si>
  <si>
    <t xml:space="preserve"> 4</t>
  </si>
  <si>
    <t>Org Relation</t>
  </si>
  <si>
    <t>Reg/Temp</t>
  </si>
  <si>
    <t>Full/Part</t>
  </si>
  <si>
    <t>Sum FTE</t>
  </si>
  <si>
    <t>Sum Annual Rt</t>
  </si>
  <si>
    <t>EMP</t>
  </si>
  <si>
    <t>R</t>
  </si>
  <si>
    <t>F</t>
  </si>
  <si>
    <t>P</t>
  </si>
  <si>
    <t>T</t>
  </si>
  <si>
    <t>Year 2002</t>
  </si>
  <si>
    <t>Year 2003</t>
  </si>
  <si>
    <t>Year 2004</t>
  </si>
  <si>
    <t>Year 2005</t>
  </si>
  <si>
    <t>Year 2006</t>
  </si>
  <si>
    <t>Year 2007</t>
  </si>
  <si>
    <t>Year 2001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</si>
  <si>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</si>
  <si>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</si>
  <si>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</si>
  <si>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</si>
  <si>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</si>
  <si>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</si>
  <si>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</si>
  <si>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</si>
  <si>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</si>
  <si>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ACTIVE ONLY (EXCLUDES EMPLOYEES ON LEAVE)</t>
  </si>
  <si>
    <t>Union Gas Limited</t>
  </si>
  <si>
    <t>UGL Reported Total (Regular Full Time Active Employees)</t>
  </si>
  <si>
    <t>UGL Reported Total (Total Active Employees)</t>
  </si>
  <si>
    <t>EGD Reported Total (Regular Full Time Active Employees)</t>
  </si>
  <si>
    <t>EGI Reported Total (Regular Full Time Active Employees)</t>
  </si>
  <si>
    <t>Employee</t>
  </si>
  <si>
    <t>Contingent Worker</t>
  </si>
  <si>
    <t>Union / Non Union</t>
  </si>
  <si>
    <t>Full Time / Part Time</t>
  </si>
  <si>
    <t>Regular</t>
  </si>
  <si>
    <t>Temporary</t>
  </si>
  <si>
    <t>Union</t>
  </si>
  <si>
    <t>Full Time</t>
  </si>
  <si>
    <t>Part Time</t>
  </si>
  <si>
    <t>Non Union</t>
  </si>
  <si>
    <t>Source: Tracy Wong - Specialist HR Reporting</t>
  </si>
  <si>
    <t>EGD side</t>
  </si>
  <si>
    <t>Source: Andy Hui - Advisor HR Reporting</t>
  </si>
  <si>
    <t>UG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</si>
</sst>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3" formatCode="_(* #,##0.00_);_(* \(#,##0.00\);_(* &quot;-&quot;??_);_(@_)"/>
    <numFmt numFmtId="164" formatCode="&quot;[&quot;0&quot;]&quot;"/>
    <numFmt numFmtId="165" formatCode="0.000000"/>
    <numFmt numFmtId="166" formatCode="0.0000"/>
    <numFmt numFmtId="167" formatCode="0.0"/>
    <numFmt numFmtId="168" formatCode="0.000"/>
    <numFmt numFmtId="169" formatCode="_(* #,##0_);_(* \(#,##0\);_(* &quot;-&quot;??_);_(@_)"/>
    <numFmt numFmtId="170" formatCode="0.0%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 Unicode MS"/>
      <family val="2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u/>
      <sz val="10"/>
      <name val="Arial Unicode MS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10B4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A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rgb="FF999999"/>
      </right>
      <top/>
      <bottom/>
      <diagonal/>
    </border>
    <border>
      <left style="thin">
        <color indexed="64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</borders>
  <cellStyleXfs count="38">
    <xf numFmtId="0" fontId="0" fillId="0" borderId="0"/>
    <xf numFmtId="0" fontId="3" fillId="0" borderId="0"/>
    <xf numFmtId="0" fontId="1" fillId="0" borderId="0"/>
    <xf numFmtId="0" fontId="8" fillId="0" borderId="0"/>
    <xf numFmtId="0" fontId="9" fillId="0" borderId="0"/>
    <xf numFmtId="43" fontId="12" fillId="0" borderId="0" applyFont="0" applyFill="0" applyBorder="0" applyAlignment="0" applyProtection="0"/>
    <xf numFmtId="3" fontId="12" fillId="10" borderId="0" applyFont="0" applyFill="0" applyBorder="0" applyAlignment="0" applyProtection="0"/>
    <xf numFmtId="5" fontId="12" fillId="10" borderId="0" applyFont="0" applyFill="0" applyBorder="0" applyAlignment="0" applyProtection="0"/>
    <xf numFmtId="0" fontId="12" fillId="10" borderId="0" applyFont="0" applyFill="0" applyBorder="0" applyAlignment="0" applyProtection="0"/>
    <xf numFmtId="2" fontId="12" fillId="10" borderId="0" applyFont="0" applyFill="0" applyBorder="0" applyAlignment="0" applyProtection="0"/>
    <xf numFmtId="0" fontId="12" fillId="0" borderId="0" applyNumberFormat="0" applyFill="0" applyBorder="0" applyProtection="0">
      <alignment wrapText="1"/>
    </xf>
    <xf numFmtId="0" fontId="12" fillId="0" borderId="0" applyNumberFormat="0" applyFill="0" applyBorder="0" applyProtection="0">
      <alignment horizontal="justify" vertical="top" wrapText="1"/>
    </xf>
    <xf numFmtId="0" fontId="13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4" fillId="1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Protection="0">
      <alignment horizontal="center"/>
    </xf>
    <xf numFmtId="0" fontId="20" fillId="12" borderId="0" applyNumberFormat="0" applyBorder="0" applyAlignment="0" applyProtection="0"/>
    <xf numFmtId="0" fontId="12" fillId="0" borderId="0" applyNumberFormat="0" applyFont="0" applyFill="0" applyBorder="0" applyProtection="0">
      <alignment horizontal="right"/>
    </xf>
    <xf numFmtId="0" fontId="12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13" borderId="0" applyNumberFormat="0" applyFont="0" applyBorder="0" applyAlignment="0" applyProtection="0"/>
    <xf numFmtId="166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9" applyNumberFormat="0" applyFont="0" applyFill="0" applyAlignment="0" applyProtection="0"/>
    <xf numFmtId="0" fontId="2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82">
    <xf numFmtId="0" fontId="0" fillId="0" borderId="0" xfId="0"/>
    <xf numFmtId="0" fontId="4" fillId="2" borderId="0" xfId="2" applyFont="1" applyFill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5" xfId="0" applyFont="1" applyFill="1" applyBorder="1"/>
    <xf numFmtId="0" fontId="0" fillId="0" borderId="5" xfId="0" applyBorder="1"/>
    <xf numFmtId="0" fontId="2" fillId="5" borderId="0" xfId="2" applyFont="1" applyFill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0" fillId="0" borderId="4" xfId="0" applyBorder="1"/>
    <xf numFmtId="0" fontId="0" fillId="0" borderId="8" xfId="0" applyBorder="1"/>
    <xf numFmtId="0" fontId="11" fillId="4" borderId="0" xfId="0" applyFont="1" applyFill="1" applyAlignment="1">
      <alignment horizontal="left"/>
    </xf>
    <xf numFmtId="0" fontId="0" fillId="3" borderId="2" xfId="0" applyFill="1" applyBorder="1"/>
    <xf numFmtId="0" fontId="0" fillId="3" borderId="5" xfId="0" applyFill="1" applyBorder="1"/>
    <xf numFmtId="37" fontId="1" fillId="9" borderId="0" xfId="3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49" fontId="24" fillId="7" borderId="7" xfId="34" applyNumberFormat="1" applyFont="1" applyFill="1" applyBorder="1"/>
    <xf numFmtId="43" fontId="23" fillId="0" borderId="0" xfId="34" applyNumberFormat="1"/>
    <xf numFmtId="0" fontId="23" fillId="0" borderId="0" xfId="34"/>
    <xf numFmtId="49" fontId="23" fillId="0" borderId="0" xfId="34" applyNumberFormat="1"/>
    <xf numFmtId="165" fontId="23" fillId="0" borderId="0" xfId="34" applyNumberFormat="1"/>
    <xf numFmtId="168" fontId="23" fillId="0" borderId="0" xfId="34" applyNumberFormat="1"/>
    <xf numFmtId="168" fontId="6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9" fontId="24" fillId="7" borderId="7" xfId="34" applyNumberFormat="1" applyFont="1" applyFill="1" applyBorder="1" applyAlignment="1">
      <alignment wrapText="1"/>
    </xf>
    <xf numFmtId="0" fontId="23" fillId="0" borderId="0" xfId="34" applyAlignment="1">
      <alignment wrapText="1"/>
    </xf>
    <xf numFmtId="0" fontId="23" fillId="0" borderId="0" xfId="34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8" fillId="0" borderId="0" xfId="0" applyFont="1"/>
    <xf numFmtId="0" fontId="28" fillId="0" borderId="6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/>
    <xf numFmtId="0" fontId="27" fillId="0" borderId="6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5" xfId="0" applyFont="1" applyBorder="1"/>
    <xf numFmtId="1" fontId="8" fillId="0" borderId="6" xfId="0" applyNumberFormat="1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0" fillId="0" borderId="23" xfId="0" applyBorder="1"/>
    <xf numFmtId="0" fontId="29" fillId="0" borderId="0" xfId="0" applyFont="1" applyAlignment="1">
      <alignment horizontal="left"/>
    </xf>
    <xf numFmtId="170" fontId="0" fillId="0" borderId="0" xfId="36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169" fontId="30" fillId="0" borderId="0" xfId="35" applyNumberFormat="1" applyFont="1"/>
    <xf numFmtId="169" fontId="8" fillId="0" borderId="0" xfId="35" applyNumberFormat="1" applyFont="1"/>
    <xf numFmtId="170" fontId="8" fillId="0" borderId="0" xfId="36" applyNumberFormat="1" applyFont="1"/>
    <xf numFmtId="169" fontId="30" fillId="0" borderId="0" xfId="35" applyNumberFormat="1" applyFont="1" applyFill="1"/>
    <xf numFmtId="169" fontId="8" fillId="0" borderId="24" xfId="0" applyNumberFormat="1" applyFont="1" applyBorder="1"/>
    <xf numFmtId="169" fontId="8" fillId="0" borderId="0" xfId="0" applyNumberFormat="1" applyFont="1"/>
    <xf numFmtId="170" fontId="8" fillId="0" borderId="24" xfId="36" applyNumberFormat="1" applyFont="1" applyBorder="1"/>
    <xf numFmtId="9" fontId="8" fillId="0" borderId="0" xfId="36" applyFont="1"/>
    <xf numFmtId="0" fontId="3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2" fillId="3" borderId="0" xfId="0" applyFont="1" applyFill="1" applyAlignment="1">
      <alignment vertical="top"/>
    </xf>
    <xf numFmtId="0" fontId="32" fillId="0" borderId="0" xfId="0" applyFont="1" applyAlignment="1">
      <alignment vertical="top"/>
    </xf>
    <xf numFmtId="0" fontId="4" fillId="0" borderId="0" xfId="2" applyFont="1" applyAlignment="1">
      <alignment horizontal="center" vertical="top" wrapText="1"/>
    </xf>
    <xf numFmtId="37" fontId="0" fillId="0" borderId="0" xfId="0" applyNumberFormat="1" applyAlignment="1">
      <alignment vertical="top"/>
    </xf>
    <xf numFmtId="0" fontId="4" fillId="0" borderId="0" xfId="2" applyFont="1" applyAlignment="1">
      <alignment horizontal="left" vertical="top" wrapText="1"/>
    </xf>
    <xf numFmtId="0" fontId="1" fillId="0" borderId="0" xfId="2" applyAlignment="1">
      <alignment horizontal="left" vertical="top"/>
    </xf>
    <xf numFmtId="0" fontId="33" fillId="0" borderId="0" xfId="2" applyFont="1" applyAlignment="1">
      <alignment horizontal="left" vertical="top" wrapText="1"/>
    </xf>
    <xf numFmtId="169" fontId="6" fillId="0" borderId="0" xfId="35" applyNumberFormat="1" applyFont="1" applyFill="1" applyBorder="1" applyAlignment="1">
      <alignment horizontal="center" vertical="top"/>
    </xf>
    <xf numFmtId="169" fontId="6" fillId="16" borderId="0" xfId="35" applyNumberFormat="1" applyFont="1" applyFill="1" applyBorder="1" applyAlignment="1">
      <alignment horizontal="center" vertical="top"/>
    </xf>
    <xf numFmtId="0" fontId="4" fillId="0" borderId="0" xfId="2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9" fontId="0" fillId="0" borderId="0" xfId="36" applyFont="1" applyFill="1" applyAlignment="1">
      <alignment horizontal="center" vertical="top"/>
    </xf>
    <xf numFmtId="164" fontId="1" fillId="3" borderId="0" xfId="2" applyNumberFormat="1" applyFill="1" applyAlignment="1">
      <alignment horizontal="center" vertical="top"/>
    </xf>
    <xf numFmtId="0" fontId="1" fillId="3" borderId="0" xfId="2" applyFill="1" applyAlignment="1">
      <alignment horizontal="left" vertical="top"/>
    </xf>
    <xf numFmtId="169" fontId="6" fillId="3" borderId="0" xfId="35" applyNumberFormat="1" applyFont="1" applyFill="1" applyBorder="1" applyAlignment="1">
      <alignment horizontal="center" vertical="top"/>
    </xf>
    <xf numFmtId="0" fontId="33" fillId="3" borderId="0" xfId="2" applyFont="1" applyFill="1" applyAlignment="1">
      <alignment horizontal="left" vertical="top" wrapText="1"/>
    </xf>
    <xf numFmtId="37" fontId="0" fillId="3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0" fontId="34" fillId="3" borderId="0" xfId="0" applyFont="1" applyFill="1" applyAlignment="1">
      <alignment vertical="top"/>
    </xf>
    <xf numFmtId="37" fontId="0" fillId="0" borderId="29" xfId="0" applyNumberFormat="1" applyBorder="1" applyAlignment="1">
      <alignment vertical="top"/>
    </xf>
    <xf numFmtId="37" fontId="0" fillId="0" borderId="31" xfId="0" applyNumberFormat="1" applyBorder="1" applyAlignment="1">
      <alignment vertical="top"/>
    </xf>
    <xf numFmtId="0" fontId="4" fillId="15" borderId="32" xfId="2" applyFont="1" applyFill="1" applyBorder="1" applyAlignment="1">
      <alignment horizontal="left" vertical="top" wrapText="1"/>
    </xf>
    <xf numFmtId="164" fontId="34" fillId="15" borderId="30" xfId="2" applyNumberFormat="1" applyFont="1" applyFill="1" applyBorder="1" applyAlignment="1">
      <alignment horizontal="right" vertical="top"/>
    </xf>
    <xf numFmtId="0" fontId="34" fillId="15" borderId="9" xfId="2" applyFont="1" applyFill="1" applyBorder="1" applyAlignment="1">
      <alignment horizontal="right" vertical="top"/>
    </xf>
    <xf numFmtId="0" fontId="34" fillId="3" borderId="0" xfId="0" applyFont="1" applyFill="1" applyAlignment="1">
      <alignment horizontal="right" vertical="top"/>
    </xf>
    <xf numFmtId="0" fontId="4" fillId="15" borderId="33" xfId="2" applyFont="1" applyFill="1" applyBorder="1" applyAlignment="1">
      <alignment horizontal="center" vertical="top" wrapText="1"/>
    </xf>
    <xf numFmtId="0" fontId="4" fillId="15" borderId="32" xfId="2" applyFont="1" applyFill="1" applyBorder="1" applyAlignment="1">
      <alignment horizontal="center" vertical="top" wrapText="1"/>
    </xf>
    <xf numFmtId="0" fontId="4" fillId="6" borderId="32" xfId="2" applyFont="1" applyFill="1" applyBorder="1" applyAlignment="1">
      <alignment horizontal="center" vertical="top" wrapText="1"/>
    </xf>
    <xf numFmtId="0" fontId="4" fillId="6" borderId="34" xfId="2" applyFont="1" applyFill="1" applyBorder="1" applyAlignment="1">
      <alignment horizontal="center" vertical="top" wrapText="1"/>
    </xf>
    <xf numFmtId="37" fontId="34" fillId="6" borderId="31" xfId="0" applyNumberFormat="1" applyFont="1" applyFill="1" applyBorder="1" applyAlignment="1">
      <alignment horizontal="center" vertical="top"/>
    </xf>
    <xf numFmtId="37" fontId="0" fillId="6" borderId="0" xfId="0" applyNumberFormat="1" applyFill="1" applyAlignment="1">
      <alignment vertical="top"/>
    </xf>
    <xf numFmtId="37" fontId="0" fillId="6" borderId="9" xfId="0" applyNumberFormat="1" applyFill="1" applyBorder="1" applyAlignment="1">
      <alignment vertical="top"/>
    </xf>
    <xf numFmtId="0" fontId="4" fillId="17" borderId="32" xfId="2" applyFont="1" applyFill="1" applyBorder="1" applyAlignment="1">
      <alignment horizontal="center" vertical="top" wrapText="1"/>
    </xf>
    <xf numFmtId="37" fontId="0" fillId="17" borderId="0" xfId="0" applyNumberFormat="1" applyFill="1" applyAlignment="1">
      <alignment vertical="top"/>
    </xf>
    <xf numFmtId="169" fontId="6" fillId="0" borderId="28" xfId="35" applyNumberFormat="1" applyFont="1" applyFill="1" applyBorder="1" applyAlignment="1">
      <alignment horizontal="center" vertical="top"/>
    </xf>
    <xf numFmtId="169" fontId="6" fillId="0" borderId="30" xfId="35" applyNumberFormat="1" applyFont="1" applyFill="1" applyBorder="1" applyAlignment="1">
      <alignment horizontal="center" vertical="top"/>
    </xf>
    <xf numFmtId="0" fontId="33" fillId="0" borderId="9" xfId="2" applyFont="1" applyBorder="1" applyAlignment="1">
      <alignment horizontal="left" vertical="top" wrapText="1"/>
    </xf>
    <xf numFmtId="169" fontId="6" fillId="0" borderId="9" xfId="35" applyNumberFormat="1" applyFont="1" applyFill="1" applyBorder="1" applyAlignment="1">
      <alignment horizontal="center" vertical="top"/>
    </xf>
    <xf numFmtId="0" fontId="4" fillId="17" borderId="33" xfId="2" applyFont="1" applyFill="1" applyBorder="1" applyAlignment="1">
      <alignment horizontal="center" vertical="top" wrapText="1"/>
    </xf>
    <xf numFmtId="0" fontId="4" fillId="17" borderId="34" xfId="2" applyFont="1" applyFill="1" applyBorder="1" applyAlignment="1">
      <alignment horizontal="center" vertical="top" wrapText="1"/>
    </xf>
    <xf numFmtId="169" fontId="6" fillId="17" borderId="28" xfId="35" applyNumberFormat="1" applyFont="1" applyFill="1" applyBorder="1" applyAlignment="1">
      <alignment horizontal="center" vertical="top"/>
    </xf>
    <xf numFmtId="169" fontId="6" fillId="17" borderId="30" xfId="35" applyNumberFormat="1" applyFont="1" applyFill="1" applyBorder="1" applyAlignment="1">
      <alignment horizontal="center" vertical="top"/>
    </xf>
    <xf numFmtId="37" fontId="0" fillId="17" borderId="9" xfId="0" applyNumberFormat="1" applyFill="1" applyBorder="1" applyAlignment="1">
      <alignment vertical="top"/>
    </xf>
    <xf numFmtId="169" fontId="1" fillId="17" borderId="29" xfId="35" applyNumberFormat="1" applyFont="1" applyFill="1" applyBorder="1" applyAlignment="1">
      <alignment vertical="top"/>
    </xf>
    <xf numFmtId="0" fontId="4" fillId="18" borderId="33" xfId="2" applyFont="1" applyFill="1" applyBorder="1" applyAlignment="1">
      <alignment horizontal="center" vertical="top" wrapText="1"/>
    </xf>
    <xf numFmtId="0" fontId="4" fillId="18" borderId="34" xfId="2" applyFont="1" applyFill="1" applyBorder="1" applyAlignment="1">
      <alignment horizontal="left" vertical="top" wrapText="1"/>
    </xf>
    <xf numFmtId="169" fontId="34" fillId="18" borderId="30" xfId="35" applyNumberFormat="1" applyFont="1" applyFill="1" applyBorder="1" applyAlignment="1">
      <alignment horizontal="right" vertical="top"/>
    </xf>
    <xf numFmtId="0" fontId="35" fillId="18" borderId="31" xfId="2" applyFont="1" applyFill="1" applyBorder="1" applyAlignment="1">
      <alignment horizontal="right" vertical="top" wrapText="1"/>
    </xf>
    <xf numFmtId="169" fontId="6" fillId="18" borderId="28" xfId="35" applyNumberFormat="1" applyFont="1" applyFill="1" applyBorder="1" applyAlignment="1">
      <alignment horizontal="center" vertical="top"/>
    </xf>
    <xf numFmtId="0" fontId="33" fillId="18" borderId="29" xfId="2" applyFont="1" applyFill="1" applyBorder="1" applyAlignment="1">
      <alignment horizontal="left" vertical="top" wrapText="1"/>
    </xf>
    <xf numFmtId="169" fontId="6" fillId="18" borderId="30" xfId="35" applyNumberFormat="1" applyFont="1" applyFill="1" applyBorder="1" applyAlignment="1">
      <alignment horizontal="center" vertical="top"/>
    </xf>
    <xf numFmtId="0" fontId="33" fillId="18" borderId="31" xfId="2" applyFont="1" applyFill="1" applyBorder="1" applyAlignment="1">
      <alignment horizontal="left" vertical="top" wrapText="1"/>
    </xf>
    <xf numFmtId="0" fontId="4" fillId="6" borderId="33" xfId="2" applyFont="1" applyFill="1" applyBorder="1" applyAlignment="1">
      <alignment horizontal="center" vertical="top" wrapText="1"/>
    </xf>
    <xf numFmtId="37" fontId="0" fillId="6" borderId="28" xfId="0" applyNumberFormat="1" applyFill="1" applyBorder="1" applyAlignment="1">
      <alignment vertical="top"/>
    </xf>
    <xf numFmtId="37" fontId="0" fillId="6" borderId="30" xfId="0" applyNumberFormat="1" applyFill="1" applyBorder="1" applyAlignment="1">
      <alignment vertical="top"/>
    </xf>
    <xf numFmtId="164" fontId="1" fillId="0" borderId="28" xfId="2" applyNumberFormat="1" applyBorder="1" applyAlignment="1">
      <alignment horizontal="center" vertical="top"/>
    </xf>
    <xf numFmtId="164" fontId="1" fillId="0" borderId="30" xfId="2" applyNumberFormat="1" applyBorder="1" applyAlignment="1">
      <alignment horizontal="center" vertical="top"/>
    </xf>
    <xf numFmtId="0" fontId="1" fillId="0" borderId="9" xfId="2" applyBorder="1" applyAlignment="1">
      <alignment horizontal="left" vertical="top"/>
    </xf>
    <xf numFmtId="0" fontId="0" fillId="3" borderId="0" xfId="0" applyFill="1" applyAlignment="1">
      <alignment horizontal="left" vertical="top"/>
    </xf>
    <xf numFmtId="169" fontId="0" fillId="3" borderId="0" xfId="35" applyNumberFormat="1" applyFont="1" applyFill="1" applyBorder="1" applyAlignment="1">
      <alignment vertical="top"/>
    </xf>
    <xf numFmtId="0" fontId="33" fillId="3" borderId="0" xfId="0" applyFont="1" applyFill="1" applyAlignment="1">
      <alignment horizontal="left" vertical="top"/>
    </xf>
    <xf numFmtId="9" fontId="0" fillId="3" borderId="0" xfId="0" applyNumberFormat="1" applyFill="1" applyAlignment="1">
      <alignment vertical="top"/>
    </xf>
    <xf numFmtId="9" fontId="0" fillId="3" borderId="0" xfId="0" applyNumberFormat="1" applyFill="1" applyAlignment="1">
      <alignment horizontal="left" vertical="top"/>
    </xf>
    <xf numFmtId="10" fontId="0" fillId="3" borderId="0" xfId="0" applyNumberFormat="1" applyFill="1" applyAlignment="1">
      <alignment vertical="top"/>
    </xf>
    <xf numFmtId="10" fontId="0" fillId="3" borderId="0" xfId="0" applyNumberFormat="1" applyFill="1" applyAlignment="1">
      <alignment horizontal="left" vertical="top"/>
    </xf>
    <xf numFmtId="169" fontId="0" fillId="3" borderId="0" xfId="0" applyNumberFormat="1" applyFill="1" applyAlignment="1">
      <alignment vertical="top"/>
    </xf>
    <xf numFmtId="169" fontId="6" fillId="16" borderId="28" xfId="35" applyNumberFormat="1" applyFont="1" applyFill="1" applyBorder="1" applyAlignment="1">
      <alignment horizontal="center" vertical="top"/>
    </xf>
    <xf numFmtId="0" fontId="33" fillId="16" borderId="0" xfId="2" applyFont="1" applyFill="1" applyAlignment="1">
      <alignment horizontal="left" vertical="top" wrapText="1"/>
    </xf>
    <xf numFmtId="169" fontId="0" fillId="0" borderId="29" xfId="35" applyNumberFormat="1" applyFont="1" applyFill="1" applyBorder="1" applyAlignment="1">
      <alignment vertical="top"/>
    </xf>
    <xf numFmtId="169" fontId="0" fillId="0" borderId="0" xfId="0" applyNumberFormat="1" applyAlignment="1">
      <alignment vertical="top"/>
    </xf>
    <xf numFmtId="169" fontId="0" fillId="16" borderId="29" xfId="35" applyNumberFormat="1" applyFont="1" applyFill="1" applyBorder="1" applyAlignment="1">
      <alignment vertical="top"/>
    </xf>
    <xf numFmtId="37" fontId="0" fillId="16" borderId="0" xfId="0" applyNumberFormat="1" applyFill="1" applyAlignment="1">
      <alignment vertical="top"/>
    </xf>
    <xf numFmtId="37" fontId="0" fillId="16" borderId="29" xfId="0" applyNumberFormat="1" applyFill="1" applyBorder="1" applyAlignment="1">
      <alignment vertical="top"/>
    </xf>
    <xf numFmtId="0" fontId="33" fillId="3" borderId="9" xfId="2" applyFont="1" applyFill="1" applyBorder="1" applyAlignment="1">
      <alignment horizontal="left" vertical="top" wrapText="1"/>
    </xf>
    <xf numFmtId="169" fontId="0" fillId="0" borderId="31" xfId="35" applyNumberFormat="1" applyFont="1" applyFill="1" applyBorder="1" applyAlignment="1">
      <alignment vertical="top"/>
    </xf>
    <xf numFmtId="37" fontId="0" fillId="16" borderId="28" xfId="0" applyNumberFormat="1" applyFill="1" applyBorder="1" applyAlignment="1">
      <alignment vertical="top"/>
    </xf>
    <xf numFmtId="37" fontId="0" fillId="17" borderId="28" xfId="0" applyNumberFormat="1" applyFill="1" applyBorder="1" applyAlignment="1">
      <alignment vertical="top"/>
    </xf>
    <xf numFmtId="37" fontId="0" fillId="17" borderId="29" xfId="0" applyNumberFormat="1" applyFill="1" applyBorder="1" applyAlignment="1">
      <alignment vertical="top"/>
    </xf>
    <xf numFmtId="37" fontId="0" fillId="17" borderId="30" xfId="0" applyNumberFormat="1" applyFill="1" applyBorder="1" applyAlignment="1">
      <alignment vertical="top"/>
    </xf>
    <xf numFmtId="37" fontId="0" fillId="17" borderId="31" xfId="0" applyNumberFormat="1" applyFill="1" applyBorder="1" applyAlignment="1">
      <alignment vertical="top"/>
    </xf>
    <xf numFmtId="37" fontId="0" fillId="6" borderId="29" xfId="0" applyNumberFormat="1" applyFill="1" applyBorder="1" applyAlignment="1">
      <alignment vertical="top"/>
    </xf>
    <xf numFmtId="37" fontId="0" fillId="6" borderId="31" xfId="0" applyNumberFormat="1" applyFill="1" applyBorder="1" applyAlignment="1">
      <alignment vertical="top"/>
    </xf>
    <xf numFmtId="0" fontId="2" fillId="15" borderId="5" xfId="0" applyFont="1" applyFill="1" applyBorder="1" applyAlignment="1">
      <alignment horizontal="left" vertical="top"/>
    </xf>
    <xf numFmtId="0" fontId="2" fillId="15" borderId="8" xfId="0" applyFont="1" applyFill="1" applyBorder="1" applyAlignment="1">
      <alignment horizontal="left" vertical="top"/>
    </xf>
    <xf numFmtId="169" fontId="1" fillId="6" borderId="29" xfId="35" applyNumberFormat="1" applyFont="1" applyFill="1" applyBorder="1" applyAlignment="1">
      <alignment vertical="top"/>
    </xf>
    <xf numFmtId="169" fontId="1" fillId="6" borderId="31" xfId="35" applyNumberFormat="1" applyFont="1" applyFill="1" applyBorder="1" applyAlignment="1">
      <alignment vertical="top"/>
    </xf>
    <xf numFmtId="169" fontId="1" fillId="17" borderId="31" xfId="35" applyNumberFormat="1" applyFont="1" applyFill="1" applyBorder="1" applyAlignment="1">
      <alignment vertical="top"/>
    </xf>
    <xf numFmtId="0" fontId="2" fillId="15" borderId="4" xfId="0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left" vertical="top"/>
    </xf>
    <xf numFmtId="169" fontId="0" fillId="0" borderId="26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horizontal="left" vertical="top"/>
    </xf>
    <xf numFmtId="0" fontId="0" fillId="16" borderId="26" xfId="0" applyFill="1" applyBorder="1" applyAlignment="1">
      <alignment horizontal="left" vertical="top"/>
    </xf>
    <xf numFmtId="169" fontId="0" fillId="16" borderId="1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vertical="top"/>
    </xf>
    <xf numFmtId="169" fontId="0" fillId="16" borderId="26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horizontal="left" vertical="top" wrapText="1"/>
    </xf>
    <xf numFmtId="169" fontId="0" fillId="16" borderId="27" xfId="35" applyNumberFormat="1" applyFont="1" applyFill="1" applyBorder="1" applyAlignment="1">
      <alignment horizontal="left" vertical="top"/>
    </xf>
    <xf numFmtId="0" fontId="2" fillId="15" borderId="8" xfId="0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left" vertical="top" wrapText="1"/>
    </xf>
    <xf numFmtId="169" fontId="0" fillId="0" borderId="1" xfId="35" applyNumberFormat="1" applyFont="1" applyFill="1" applyBorder="1" applyAlignment="1">
      <alignment horizontal="left" vertical="top"/>
    </xf>
    <xf numFmtId="169" fontId="0" fillId="0" borderId="0" xfId="35" applyNumberFormat="1" applyFont="1" applyFill="1" applyBorder="1" applyAlignment="1">
      <alignment horizontal="left" vertical="top"/>
    </xf>
    <xf numFmtId="0" fontId="0" fillId="16" borderId="0" xfId="0" applyFill="1" applyAlignment="1">
      <alignment horizontal="left" vertical="top"/>
    </xf>
    <xf numFmtId="0" fontId="0" fillId="16" borderId="2" xfId="0" applyFill="1" applyBorder="1" applyAlignment="1">
      <alignment horizontal="left" vertical="top"/>
    </xf>
    <xf numFmtId="169" fontId="0" fillId="16" borderId="0" xfId="35" applyNumberFormat="1" applyFont="1" applyFill="1" applyBorder="1" applyAlignment="1">
      <alignment horizontal="left" vertical="top"/>
    </xf>
    <xf numFmtId="9" fontId="0" fillId="0" borderId="0" xfId="36" applyFont="1" applyFill="1" applyBorder="1" applyAlignment="1">
      <alignment horizontal="center" vertical="top"/>
    </xf>
    <xf numFmtId="9" fontId="0" fillId="19" borderId="0" xfId="36" applyFont="1" applyFill="1" applyBorder="1" applyAlignment="1">
      <alignment horizontal="center" vertical="top"/>
    </xf>
    <xf numFmtId="9" fontId="0" fillId="16" borderId="0" xfId="36" applyFont="1" applyFill="1" applyBorder="1" applyAlignment="1">
      <alignment horizontal="center" vertical="top"/>
    </xf>
    <xf numFmtId="169" fontId="0" fillId="16" borderId="2" xfId="35" applyNumberFormat="1" applyFont="1" applyFill="1" applyBorder="1" applyAlignment="1">
      <alignment horizontal="left" vertical="top"/>
    </xf>
    <xf numFmtId="9" fontId="0" fillId="16" borderId="2" xfId="36" applyFont="1" applyFill="1" applyBorder="1" applyAlignment="1">
      <alignment horizontal="center" vertical="top"/>
    </xf>
    <xf numFmtId="9" fontId="0" fillId="19" borderId="0" xfId="36" applyFont="1" applyFill="1" applyAlignment="1">
      <alignment horizontal="center" vertical="top"/>
    </xf>
    <xf numFmtId="169" fontId="0" fillId="6" borderId="0" xfId="35" applyNumberFormat="1" applyFont="1" applyFill="1" applyBorder="1" applyAlignment="1">
      <alignment horizontal="left" vertical="top"/>
    </xf>
    <xf numFmtId="169" fontId="0" fillId="17" borderId="0" xfId="35" applyNumberFormat="1" applyFont="1" applyFill="1" applyBorder="1" applyAlignment="1">
      <alignment horizontal="left" vertical="top"/>
    </xf>
    <xf numFmtId="0" fontId="0" fillId="17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" fillId="15" borderId="4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0" fontId="2" fillId="15" borderId="5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left" vertical="top" wrapText="1"/>
    </xf>
    <xf numFmtId="0" fontId="0" fillId="19" borderId="0" xfId="0" applyFill="1" applyAlignment="1">
      <alignment horizontal="right" vertical="top"/>
    </xf>
    <xf numFmtId="169" fontId="34" fillId="15" borderId="30" xfId="35" applyNumberFormat="1" applyFont="1" applyFill="1" applyBorder="1" applyAlignment="1">
      <alignment horizontal="center" vertical="top"/>
    </xf>
    <xf numFmtId="0" fontId="35" fillId="15" borderId="9" xfId="2" applyFont="1" applyFill="1" applyBorder="1" applyAlignment="1">
      <alignment horizontal="center" vertical="top" wrapText="1"/>
    </xf>
    <xf numFmtId="169" fontId="34" fillId="15" borderId="9" xfId="35" applyNumberFormat="1" applyFont="1" applyFill="1" applyBorder="1" applyAlignment="1">
      <alignment horizontal="center" vertical="top"/>
    </xf>
    <xf numFmtId="169" fontId="34" fillId="17" borderId="9" xfId="35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169" fontId="0" fillId="16" borderId="3" xfId="35" applyNumberFormat="1" applyFont="1" applyFill="1" applyBorder="1" applyAlignment="1">
      <alignment horizontal="left" vertical="top"/>
    </xf>
    <xf numFmtId="169" fontId="0" fillId="16" borderId="35" xfId="35" applyNumberFormat="1" applyFont="1" applyFill="1" applyBorder="1" applyAlignment="1">
      <alignment horizontal="left" vertical="top"/>
    </xf>
    <xf numFmtId="169" fontId="0" fillId="0" borderId="26" xfId="35" applyNumberFormat="1" applyFont="1" applyFill="1" applyBorder="1" applyAlignment="1">
      <alignment horizontal="left" vertical="top" wrapText="1"/>
    </xf>
    <xf numFmtId="169" fontId="0" fillId="0" borderId="27" xfId="35" applyNumberFormat="1" applyFont="1" applyFill="1" applyBorder="1" applyAlignment="1">
      <alignment horizontal="left" vertical="top" wrapText="1"/>
    </xf>
    <xf numFmtId="169" fontId="0" fillId="0" borderId="25" xfId="35" applyNumberFormat="1" applyFont="1" applyFill="1" applyBorder="1" applyAlignment="1">
      <alignment vertical="top"/>
    </xf>
    <xf numFmtId="169" fontId="0" fillId="0" borderId="26" xfId="35" applyNumberFormat="1" applyFont="1" applyFill="1" applyBorder="1" applyAlignment="1">
      <alignment vertical="top"/>
    </xf>
    <xf numFmtId="169" fontId="0" fillId="16" borderId="25" xfId="35" applyNumberFormat="1" applyFont="1" applyFill="1" applyBorder="1" applyAlignment="1">
      <alignment vertical="top" wrapText="1"/>
    </xf>
    <xf numFmtId="0" fontId="0" fillId="16" borderId="26" xfId="0" applyFill="1" applyBorder="1" applyAlignment="1">
      <alignment vertical="top"/>
    </xf>
    <xf numFmtId="169" fontId="0" fillId="16" borderId="1" xfId="35" applyNumberFormat="1" applyFont="1" applyFill="1" applyBorder="1" applyAlignment="1">
      <alignment vertical="top"/>
    </xf>
    <xf numFmtId="0" fontId="0" fillId="16" borderId="27" xfId="0" applyFill="1" applyBorder="1" applyAlignment="1">
      <alignment vertical="top"/>
    </xf>
    <xf numFmtId="169" fontId="0" fillId="16" borderId="26" xfId="35" applyNumberFormat="1" applyFont="1" applyFill="1" applyBorder="1" applyAlignment="1">
      <alignment vertical="top"/>
    </xf>
    <xf numFmtId="169" fontId="6" fillId="0" borderId="25" xfId="35" applyNumberFormat="1" applyFont="1" applyFill="1" applyBorder="1" applyAlignment="1">
      <alignment horizontal="center" vertical="top"/>
    </xf>
    <xf numFmtId="169" fontId="0" fillId="16" borderId="27" xfId="35" applyNumberFormat="1" applyFont="1" applyFill="1" applyBorder="1" applyAlignment="1">
      <alignment vertical="top"/>
    </xf>
    <xf numFmtId="169" fontId="0" fillId="16" borderId="25" xfId="35" applyNumberFormat="1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center" vertical="top"/>
    </xf>
    <xf numFmtId="169" fontId="0" fillId="0" borderId="26" xfId="35" applyNumberFormat="1" applyFont="1" applyFill="1" applyBorder="1" applyAlignment="1">
      <alignment vertical="top" wrapText="1"/>
    </xf>
    <xf numFmtId="169" fontId="0" fillId="0" borderId="1" xfId="35" applyNumberFormat="1" applyFont="1" applyFill="1" applyBorder="1" applyAlignment="1">
      <alignment horizontal="center" vertical="top"/>
    </xf>
    <xf numFmtId="169" fontId="0" fillId="0" borderId="27" xfId="35" applyNumberFormat="1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/>
    </xf>
    <xf numFmtId="0" fontId="35" fillId="0" borderId="0" xfId="2" applyFont="1" applyAlignment="1">
      <alignment horizontal="left" vertical="top" wrapText="1"/>
    </xf>
    <xf numFmtId="0" fontId="35" fillId="0" borderId="9" xfId="2" applyFont="1" applyBorder="1" applyAlignment="1">
      <alignment horizontal="left" vertical="top" wrapText="1"/>
    </xf>
    <xf numFmtId="169" fontId="34" fillId="18" borderId="30" xfId="35" applyNumberFormat="1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2" fillId="15" borderId="2" xfId="0" applyFont="1" applyFill="1" applyBorder="1" applyAlignment="1">
      <alignment horizontal="right" vertical="top"/>
    </xf>
    <xf numFmtId="0" fontId="2" fillId="15" borderId="2" xfId="0" applyFont="1" applyFill="1" applyBorder="1" applyAlignment="1">
      <alignment vertical="top"/>
    </xf>
    <xf numFmtId="2" fontId="0" fillId="0" borderId="0" xfId="0" applyNumberFormat="1"/>
    <xf numFmtId="170" fontId="0" fillId="0" borderId="0" xfId="36" applyNumberFormat="1" applyFont="1" applyFill="1"/>
    <xf numFmtId="169" fontId="29" fillId="0" borderId="0" xfId="35" applyNumberFormat="1" applyFont="1"/>
    <xf numFmtId="170" fontId="8" fillId="0" borderId="24" xfId="0" applyNumberFormat="1" applyFont="1" applyBorder="1"/>
    <xf numFmtId="169" fontId="29" fillId="0" borderId="0" xfId="35" applyNumberFormat="1" applyFont="1" applyFill="1"/>
    <xf numFmtId="0" fontId="40" fillId="0" borderId="0" xfId="0" applyFont="1"/>
    <xf numFmtId="37" fontId="6" fillId="6" borderId="28" xfId="0" applyNumberFormat="1" applyFont="1" applyFill="1" applyBorder="1" applyAlignment="1">
      <alignment vertical="top"/>
    </xf>
    <xf numFmtId="37" fontId="6" fillId="6" borderId="0" xfId="0" applyNumberFormat="1" applyFont="1" applyFill="1" applyAlignment="1">
      <alignment vertical="top"/>
    </xf>
    <xf numFmtId="37" fontId="6" fillId="6" borderId="29" xfId="0" applyNumberFormat="1" applyFont="1" applyFill="1" applyBorder="1" applyAlignment="1">
      <alignment vertical="top"/>
    </xf>
    <xf numFmtId="43" fontId="9" fillId="0" borderId="0" xfId="35" applyFont="1"/>
    <xf numFmtId="169" fontId="9" fillId="0" borderId="0" xfId="35" applyNumberFormat="1" applyFont="1"/>
    <xf numFmtId="1" fontId="0" fillId="0" borderId="0" xfId="0" applyNumberFormat="1" applyAlignment="1">
      <alignment horizontal="right" vertical="top"/>
    </xf>
    <xf numFmtId="1" fontId="8" fillId="0" borderId="0" xfId="0" applyNumberFormat="1" applyFont="1" applyAlignment="1">
      <alignment horizontal="center"/>
    </xf>
    <xf numFmtId="0" fontId="36" fillId="0" borderId="0" xfId="0" applyFont="1" applyAlignment="1">
      <alignment horizontal="right" vertical="top"/>
    </xf>
    <xf numFmtId="0" fontId="36" fillId="3" borderId="0" xfId="0" applyFont="1" applyFill="1" applyAlignment="1">
      <alignment horizontal="right" vertical="top"/>
    </xf>
    <xf numFmtId="37" fontId="36" fillId="0" borderId="29" xfId="0" applyNumberFormat="1" applyFont="1" applyBorder="1" applyAlignment="1">
      <alignment vertical="top"/>
    </xf>
    <xf numFmtId="169" fontId="36" fillId="0" borderId="28" xfId="35" applyNumberFormat="1" applyFont="1" applyFill="1" applyBorder="1" applyAlignment="1">
      <alignment horizontal="center" vertical="top"/>
    </xf>
    <xf numFmtId="37" fontId="36" fillId="6" borderId="28" xfId="0" applyNumberFormat="1" applyFont="1" applyFill="1" applyBorder="1" applyAlignment="1">
      <alignment vertical="top"/>
    </xf>
    <xf numFmtId="37" fontId="36" fillId="6" borderId="0" xfId="0" applyNumberFormat="1" applyFont="1" applyFill="1" applyAlignment="1">
      <alignment vertical="top"/>
    </xf>
    <xf numFmtId="169" fontId="36" fillId="6" borderId="29" xfId="35" applyNumberFormat="1" applyFont="1" applyFill="1" applyBorder="1" applyAlignment="1">
      <alignment vertical="top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37" fontId="34" fillId="6" borderId="30" xfId="0" applyNumberFormat="1" applyFont="1" applyFill="1" applyBorder="1" applyAlignment="1">
      <alignment horizontal="center" vertical="top"/>
    </xf>
    <xf numFmtId="37" fontId="34" fillId="6" borderId="9" xfId="0" applyNumberFormat="1" applyFont="1" applyFill="1" applyBorder="1" applyAlignment="1">
      <alignment horizontal="center" vertical="top"/>
    </xf>
    <xf numFmtId="37" fontId="34" fillId="6" borderId="31" xfId="0" applyNumberFormat="1" applyFont="1" applyFill="1" applyBorder="1" applyAlignment="1">
      <alignment horizontal="center" vertical="top"/>
    </xf>
    <xf numFmtId="37" fontId="34" fillId="17" borderId="30" xfId="0" applyNumberFormat="1" applyFont="1" applyFill="1" applyBorder="1" applyAlignment="1">
      <alignment horizontal="center" vertical="top"/>
    </xf>
    <xf numFmtId="37" fontId="34" fillId="17" borderId="9" xfId="0" applyNumberFormat="1" applyFont="1" applyFill="1" applyBorder="1" applyAlignment="1">
      <alignment horizontal="center" vertical="top"/>
    </xf>
    <xf numFmtId="37" fontId="34" fillId="17" borderId="31" xfId="0" applyNumberFormat="1" applyFont="1" applyFill="1" applyBorder="1" applyAlignment="1">
      <alignment horizontal="center" vertical="top"/>
    </xf>
    <xf numFmtId="37" fontId="0" fillId="19" borderId="1" xfId="0" applyNumberFormat="1" applyFill="1" applyBorder="1" applyAlignment="1">
      <alignment horizontal="center" vertical="top"/>
    </xf>
    <xf numFmtId="37" fontId="0" fillId="19" borderId="2" xfId="0" applyNumberFormat="1" applyFill="1" applyBorder="1" applyAlignment="1">
      <alignment horizontal="center" vertical="top"/>
    </xf>
    <xf numFmtId="37" fontId="0" fillId="19" borderId="27" xfId="0" applyNumberFormat="1" applyFill="1" applyBorder="1" applyAlignment="1">
      <alignment horizontal="center" vertical="top"/>
    </xf>
    <xf numFmtId="37" fontId="34" fillId="17" borderId="30" xfId="0" applyNumberFormat="1" applyFont="1" applyFill="1" applyBorder="1" applyAlignment="1">
      <alignment horizontal="center" vertical="top" wrapText="1"/>
    </xf>
    <xf numFmtId="37" fontId="34" fillId="17" borderId="9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5" fillId="0" borderId="0" xfId="34" applyFont="1" applyAlignment="1">
      <alignment horizontal="center" vertical="center"/>
    </xf>
    <xf numFmtId="0" fontId="25" fillId="0" borderId="0" xfId="34" applyFont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7" fillId="14" borderId="10" xfId="0" applyFont="1" applyFill="1" applyBorder="1" applyAlignment="1">
      <alignment horizontal="center" wrapText="1"/>
    </xf>
    <xf numFmtId="0" fontId="27" fillId="14" borderId="14" xfId="0" applyFont="1" applyFill="1" applyBorder="1" applyAlignment="1">
      <alignment horizontal="center" wrapText="1"/>
    </xf>
    <xf numFmtId="0" fontId="27" fillId="14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38">
    <cellStyle name="Comma" xfId="35" builtinId="3"/>
    <cellStyle name="Comma 2" xfId="5" xr:uid="{00000000-0005-0000-0000-000000000000}"/>
    <cellStyle name="Comma0" xfId="6" xr:uid="{00000000-0005-0000-0000-000001000000}"/>
    <cellStyle name="Currency0" xfId="7" xr:uid="{00000000-0005-0000-0000-000002000000}"/>
    <cellStyle name="Date" xfId="8" xr:uid="{00000000-0005-0000-0000-000003000000}"/>
    <cellStyle name="Fixed" xfId="9" xr:uid="{00000000-0005-0000-0000-000004000000}"/>
    <cellStyle name="HeadlineStyle" xfId="10" xr:uid="{00000000-0005-0000-0000-000005000000}"/>
    <cellStyle name="HeadlineStyleJustified" xfId="11" xr:uid="{00000000-0005-0000-0000-000006000000}"/>
    <cellStyle name="Normal" xfId="0" builtinId="0"/>
    <cellStyle name="Normal 10" xfId="3" xr:uid="{00000000-0005-0000-0000-000008000000}"/>
    <cellStyle name="Normal 103" xfId="2" xr:uid="{00000000-0005-0000-0000-000009000000}"/>
    <cellStyle name="Normal 16 4" xfId="12" xr:uid="{00000000-0005-0000-0000-00000A000000}"/>
    <cellStyle name="Normal 2" xfId="4" xr:uid="{00000000-0005-0000-0000-00000B000000}"/>
    <cellStyle name="Normal 2 2" xfId="13" xr:uid="{00000000-0005-0000-0000-00000C000000}"/>
    <cellStyle name="Normal 3" xfId="1" xr:uid="{00000000-0005-0000-0000-00000D000000}"/>
    <cellStyle name="Normal 4" xfId="14" xr:uid="{00000000-0005-0000-0000-00000E000000}"/>
    <cellStyle name="Normal 5" xfId="15" xr:uid="{00000000-0005-0000-0000-00000F000000}"/>
    <cellStyle name="Normal 6" xfId="34" xr:uid="{00000000-0005-0000-0000-000010000000}"/>
    <cellStyle name="Normal 6 2" xfId="37" xr:uid="{508999DF-2AD6-4A2B-98E2-3FC7812D7A33}"/>
    <cellStyle name="Percent" xfId="36" builtinId="5"/>
    <cellStyle name="Percent 2" xfId="16" xr:uid="{00000000-0005-0000-0000-000011000000}"/>
    <cellStyle name="Style 21" xfId="17" xr:uid="{00000000-0005-0000-0000-000012000000}"/>
    <cellStyle name="Style 22" xfId="18" xr:uid="{00000000-0005-0000-0000-000013000000}"/>
    <cellStyle name="Style 23" xfId="19" xr:uid="{00000000-0005-0000-0000-000014000000}"/>
    <cellStyle name="Style 24" xfId="20" xr:uid="{00000000-0005-0000-0000-000015000000}"/>
    <cellStyle name="Style 25" xfId="21" xr:uid="{00000000-0005-0000-0000-000016000000}"/>
    <cellStyle name="Style 26" xfId="22" xr:uid="{00000000-0005-0000-0000-000017000000}"/>
    <cellStyle name="Style 27" xfId="23" xr:uid="{00000000-0005-0000-0000-000018000000}"/>
    <cellStyle name="Style 28" xfId="24" xr:uid="{00000000-0005-0000-0000-000019000000}"/>
    <cellStyle name="Style 29" xfId="25" xr:uid="{00000000-0005-0000-0000-00001A000000}"/>
    <cellStyle name="Style 30" xfId="26" xr:uid="{00000000-0005-0000-0000-00001B000000}"/>
    <cellStyle name="Style 31" xfId="27" xr:uid="{00000000-0005-0000-0000-00001C000000}"/>
    <cellStyle name="Style 32" xfId="28" xr:uid="{00000000-0005-0000-0000-00001D000000}"/>
    <cellStyle name="Style 33" xfId="29" xr:uid="{00000000-0005-0000-0000-00001E000000}"/>
    <cellStyle name="Style 34" xfId="30" xr:uid="{00000000-0005-0000-0000-00001F000000}"/>
    <cellStyle name="Style 35" xfId="31" xr:uid="{00000000-0005-0000-0000-000020000000}"/>
    <cellStyle name="Style 36" xfId="32" xr:uid="{00000000-0005-0000-0000-000021000000}"/>
    <cellStyle name="Style 39" xfId="33" xr:uid="{00000000-0005-0000-0000-000022000000}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37</xdr:row>
      <xdr:rowOff>57150</xdr:rowOff>
    </xdr:from>
    <xdr:to>
      <xdr:col>8</xdr:col>
      <xdr:colOff>234950</xdr:colOff>
      <xdr:row>43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C3E28-90CF-4475-B9E6-E45CE1CD8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7616825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Corporate\HR\Tracy%20Wong\Requests\CSR\2019\Active%20Workers%20Master%20Dataset%2031%20Dec%2019%20with%20Diversity_WORKINGFIL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LC"/>
      <sheetName val="Pivot"/>
      <sheetName val="Data"/>
      <sheetName val="For Formulas"/>
      <sheetName val="Q4 TSX"/>
      <sheetName val="Location Groupings"/>
      <sheetName val="Grizzly - Divest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"/>
  <sheetViews>
    <sheetView workbookViewId="0">
      <selection activeCell="D38" sqref="D38"/>
    </sheetView>
  </sheetViews>
  <sheetFormatPr defaultRowHeight="14.5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FF32-7772-4140-86C5-AFED3CEC8A50}">
  <dimension ref="A1:L37"/>
  <sheetViews>
    <sheetView workbookViewId="0">
      <selection activeCell="D24" sqref="D24"/>
    </sheetView>
  </sheetViews>
  <sheetFormatPr defaultColWidth="8.54296875" defaultRowHeight="14.5"/>
  <cols>
    <col min="1" max="1" width="9.1796875" style="73" customWidth="1"/>
    <col min="2" max="2" width="13.453125" style="73" bestFit="1" customWidth="1"/>
    <col min="3" max="3" width="19.81640625" style="73" bestFit="1" customWidth="1"/>
    <col min="4" max="4" width="20.54296875" style="73" customWidth="1"/>
    <col min="5" max="5" width="8.54296875" style="73"/>
    <col min="6" max="6" width="14.54296875" style="73" customWidth="1"/>
    <col min="7" max="7" width="13.54296875" style="73" bestFit="1" customWidth="1"/>
    <col min="8" max="8" width="15.1796875" style="73" customWidth="1"/>
    <col min="9" max="9" width="13.54296875" style="73" customWidth="1"/>
    <col min="10" max="10" width="32.81640625" style="73" customWidth="1"/>
    <col min="11" max="16384" width="8.54296875" style="73"/>
  </cols>
  <sheetData>
    <row r="1" spans="1:12" ht="19.5">
      <c r="A1" s="72" t="s">
        <v>167</v>
      </c>
    </row>
    <row r="2" spans="1:12">
      <c r="A2" s="37" t="s">
        <v>150</v>
      </c>
    </row>
    <row r="3" spans="1:12" ht="17">
      <c r="A3" s="75"/>
      <c r="B3" s="85"/>
      <c r="G3" s="85"/>
      <c r="I3" s="85"/>
      <c r="J3" s="85"/>
    </row>
    <row r="4" spans="1:12" s="84" customFormat="1" ht="29">
      <c r="A4" s="190" t="s">
        <v>4</v>
      </c>
      <c r="B4" s="189" t="s">
        <v>168</v>
      </c>
      <c r="C4" s="157" t="s">
        <v>152</v>
      </c>
      <c r="D4" s="157" t="s">
        <v>169</v>
      </c>
      <c r="E4" s="195" t="s">
        <v>170</v>
      </c>
      <c r="F4" s="194" t="s">
        <v>171</v>
      </c>
      <c r="G4" s="189" t="s">
        <v>172</v>
      </c>
      <c r="H4" s="158" t="s">
        <v>154</v>
      </c>
      <c r="I4" s="162" t="s">
        <v>155</v>
      </c>
      <c r="J4" s="172" t="s">
        <v>173</v>
      </c>
    </row>
    <row r="5" spans="1:12">
      <c r="A5" s="191">
        <v>1995</v>
      </c>
      <c r="B5" s="163">
        <v>2.1673589999999998</v>
      </c>
      <c r="C5" s="175" t="s">
        <v>174</v>
      </c>
      <c r="D5" s="185">
        <f t="shared" ref="D5:D24" si="0">B5*E5</f>
        <v>0.29981588994267905</v>
      </c>
      <c r="E5" s="179">
        <f>$E$31</f>
        <v>0.13833236207876917</v>
      </c>
      <c r="F5" s="164">
        <f t="shared" ref="F5:F28" si="1">B5*(1-E5)</f>
        <v>1.8675431100573208</v>
      </c>
      <c r="G5" s="168"/>
      <c r="H5" s="178"/>
      <c r="I5" s="202"/>
      <c r="J5" s="203"/>
      <c r="K5" s="193"/>
      <c r="L5" s="193"/>
    </row>
    <row r="6" spans="1:12">
      <c r="A6" s="191">
        <v>1996</v>
      </c>
      <c r="B6" s="163">
        <v>2.871502</v>
      </c>
      <c r="C6" s="175" t="s">
        <v>174</v>
      </c>
      <c r="D6" s="185">
        <f t="shared" si="0"/>
        <v>0.39722165437390983</v>
      </c>
      <c r="E6" s="179">
        <f t="shared" ref="E6:E24" si="2">$E$31</f>
        <v>0.13833236207876917</v>
      </c>
      <c r="F6" s="164">
        <f t="shared" si="1"/>
        <v>2.4742803456260902</v>
      </c>
      <c r="G6" s="168"/>
      <c r="H6" s="178"/>
      <c r="I6" s="165"/>
      <c r="J6" s="169"/>
      <c r="K6" s="193"/>
      <c r="L6" s="193"/>
    </row>
    <row r="7" spans="1:12">
      <c r="A7" s="191">
        <v>1997</v>
      </c>
      <c r="B7" s="163">
        <v>2.9190160000000001</v>
      </c>
      <c r="C7" s="175" t="s">
        <v>174</v>
      </c>
      <c r="D7" s="185">
        <f t="shared" si="0"/>
        <v>0.40379437822572051</v>
      </c>
      <c r="E7" s="179">
        <f t="shared" si="2"/>
        <v>0.13833236207876917</v>
      </c>
      <c r="F7" s="164">
        <f t="shared" si="1"/>
        <v>2.5152216217742795</v>
      </c>
      <c r="G7" s="163">
        <v>3.700005</v>
      </c>
      <c r="H7" s="175" t="s">
        <v>162</v>
      </c>
      <c r="I7" s="165"/>
      <c r="J7" s="169"/>
      <c r="K7" s="193"/>
      <c r="L7" s="193"/>
    </row>
    <row r="8" spans="1:12">
      <c r="A8" s="191">
        <v>1998</v>
      </c>
      <c r="B8" s="163">
        <v>3.5706190000000002</v>
      </c>
      <c r="C8" s="175" t="s">
        <v>174</v>
      </c>
      <c r="D8" s="185">
        <f t="shared" si="0"/>
        <v>0.49393216035333271</v>
      </c>
      <c r="E8" s="179">
        <f t="shared" si="2"/>
        <v>0.13833236207876917</v>
      </c>
      <c r="F8" s="164">
        <f t="shared" si="1"/>
        <v>3.0766868396466673</v>
      </c>
      <c r="G8" s="163">
        <v>3.0640000000000001</v>
      </c>
      <c r="H8" s="175" t="s">
        <v>162</v>
      </c>
      <c r="I8" s="165"/>
      <c r="J8" s="169"/>
      <c r="K8" s="193"/>
      <c r="L8" s="193"/>
    </row>
    <row r="9" spans="1:12">
      <c r="A9" s="191">
        <v>1999</v>
      </c>
      <c r="B9" s="163">
        <v>6.4812719999999997</v>
      </c>
      <c r="C9" s="175" t="s">
        <v>174</v>
      </c>
      <c r="D9" s="185">
        <f t="shared" si="0"/>
        <v>0.89656966503498836</v>
      </c>
      <c r="E9" s="179">
        <f t="shared" si="2"/>
        <v>0.13833236207876917</v>
      </c>
      <c r="F9" s="164">
        <f t="shared" si="1"/>
        <v>5.5847023349650113</v>
      </c>
      <c r="G9" s="163">
        <v>3.6629999999999998</v>
      </c>
      <c r="H9" s="175" t="s">
        <v>162</v>
      </c>
      <c r="I9" s="165"/>
      <c r="J9" s="169"/>
      <c r="K9" s="193"/>
      <c r="L9" s="193"/>
    </row>
    <row r="10" spans="1:12">
      <c r="A10" s="191">
        <v>2000</v>
      </c>
      <c r="B10" s="163">
        <v>9.2754309999999993</v>
      </c>
      <c r="C10" s="175" t="s">
        <v>174</v>
      </c>
      <c r="D10" s="185">
        <f t="shared" si="0"/>
        <v>1.2830922795286399</v>
      </c>
      <c r="E10" s="179">
        <f t="shared" si="2"/>
        <v>0.13833236207876917</v>
      </c>
      <c r="F10" s="164">
        <f t="shared" si="1"/>
        <v>7.9923387204713592</v>
      </c>
      <c r="G10" s="163">
        <v>4.4219999999999997</v>
      </c>
      <c r="H10" s="175" t="s">
        <v>162</v>
      </c>
      <c r="I10" s="165"/>
      <c r="J10" s="169"/>
      <c r="K10" s="193"/>
      <c r="L10" s="193"/>
    </row>
    <row r="11" spans="1:12">
      <c r="A11" s="191">
        <v>2001</v>
      </c>
      <c r="B11" s="163">
        <v>12.285926999999999</v>
      </c>
      <c r="C11" s="175" t="s">
        <v>174</v>
      </c>
      <c r="D11" s="185">
        <f t="shared" si="0"/>
        <v>1.6995413022373262</v>
      </c>
      <c r="E11" s="179">
        <f t="shared" si="2"/>
        <v>0.13833236207876917</v>
      </c>
      <c r="F11" s="164">
        <f t="shared" si="1"/>
        <v>10.586385697762672</v>
      </c>
      <c r="G11" s="163">
        <v>3.8330000000000002</v>
      </c>
      <c r="H11" s="175" t="s">
        <v>162</v>
      </c>
      <c r="I11" s="165"/>
      <c r="J11" s="169"/>
      <c r="K11" s="193"/>
      <c r="L11" s="193"/>
    </row>
    <row r="12" spans="1:12">
      <c r="A12" s="191">
        <v>2002</v>
      </c>
      <c r="B12" s="163">
        <v>10.941072</v>
      </c>
      <c r="C12" s="175" t="s">
        <v>174</v>
      </c>
      <c r="D12" s="185">
        <f t="shared" si="0"/>
        <v>1.5135043334338831</v>
      </c>
      <c r="E12" s="179">
        <f t="shared" si="2"/>
        <v>0.13833236207876917</v>
      </c>
      <c r="F12" s="164">
        <f t="shared" si="1"/>
        <v>9.4275676665661159</v>
      </c>
      <c r="G12" s="163">
        <v>3.0049999999999999</v>
      </c>
      <c r="H12" s="175" t="s">
        <v>162</v>
      </c>
      <c r="I12" s="165"/>
      <c r="J12" s="169"/>
      <c r="K12" s="193"/>
      <c r="L12" s="193"/>
    </row>
    <row r="13" spans="1:12">
      <c r="A13" s="191">
        <v>2003</v>
      </c>
      <c r="B13" s="163">
        <v>11.858148</v>
      </c>
      <c r="C13" s="175" t="s">
        <v>174</v>
      </c>
      <c r="D13" s="185">
        <f t="shared" si="0"/>
        <v>1.6403656227196326</v>
      </c>
      <c r="E13" s="179">
        <f t="shared" si="2"/>
        <v>0.13833236207876917</v>
      </c>
      <c r="F13" s="164">
        <f t="shared" si="1"/>
        <v>10.217782377280367</v>
      </c>
      <c r="G13" s="163">
        <v>3.855</v>
      </c>
      <c r="H13" s="175" t="s">
        <v>162</v>
      </c>
      <c r="I13" s="165"/>
      <c r="J13" s="169"/>
      <c r="K13" s="193"/>
      <c r="L13" s="193"/>
    </row>
    <row r="14" spans="1:12">
      <c r="A14" s="191">
        <v>2004</v>
      </c>
      <c r="B14" s="163">
        <v>13.059186</v>
      </c>
      <c r="C14" s="175" t="s">
        <v>174</v>
      </c>
      <c r="D14" s="185">
        <f t="shared" si="0"/>
        <v>1.8065080462059933</v>
      </c>
      <c r="E14" s="179">
        <f t="shared" si="2"/>
        <v>0.13833236207876917</v>
      </c>
      <c r="F14" s="164">
        <f t="shared" si="1"/>
        <v>11.252677953794008</v>
      </c>
      <c r="G14" s="163">
        <v>5.9050000000000002</v>
      </c>
      <c r="H14" s="175" t="s">
        <v>162</v>
      </c>
      <c r="I14" s="165"/>
      <c r="J14" s="169"/>
      <c r="K14" s="193"/>
      <c r="L14" s="193"/>
    </row>
    <row r="15" spans="1:12">
      <c r="A15" s="191">
        <v>2005</v>
      </c>
      <c r="B15" s="163">
        <v>19.19755</v>
      </c>
      <c r="C15" s="175" t="s">
        <v>174</v>
      </c>
      <c r="D15" s="185">
        <f t="shared" si="0"/>
        <v>2.655642437625275</v>
      </c>
      <c r="E15" s="179">
        <f t="shared" si="2"/>
        <v>0.13833236207876917</v>
      </c>
      <c r="F15" s="164">
        <f t="shared" si="1"/>
        <v>16.541907562374725</v>
      </c>
      <c r="G15" s="163">
        <v>8.0920000000000005</v>
      </c>
      <c r="H15" s="175" t="s">
        <v>162</v>
      </c>
      <c r="I15" s="165"/>
      <c r="J15" s="169"/>
      <c r="K15" s="193"/>
      <c r="L15" s="193"/>
    </row>
    <row r="16" spans="1:12">
      <c r="A16" s="191">
        <v>2006</v>
      </c>
      <c r="B16" s="163">
        <v>19.288446</v>
      </c>
      <c r="C16" s="175" t="s">
        <v>174</v>
      </c>
      <c r="D16" s="185">
        <f t="shared" si="0"/>
        <v>2.668216296008787</v>
      </c>
      <c r="E16" s="179">
        <f t="shared" si="2"/>
        <v>0.13833236207876917</v>
      </c>
      <c r="F16" s="164">
        <f t="shared" si="1"/>
        <v>16.620229703991214</v>
      </c>
      <c r="G16" s="163">
        <v>12.882339999999999</v>
      </c>
      <c r="H16" s="175" t="s">
        <v>162</v>
      </c>
      <c r="I16" s="165"/>
      <c r="J16" s="169"/>
      <c r="K16" s="193"/>
      <c r="L16" s="193"/>
    </row>
    <row r="17" spans="1:12">
      <c r="A17" s="191">
        <v>2007</v>
      </c>
      <c r="B17" s="163">
        <v>22</v>
      </c>
      <c r="C17" s="175" t="s">
        <v>175</v>
      </c>
      <c r="D17" s="185">
        <f t="shared" si="0"/>
        <v>3.0433119657329217</v>
      </c>
      <c r="E17" s="179">
        <f t="shared" si="2"/>
        <v>0.13833236207876917</v>
      </c>
      <c r="F17" s="164">
        <f t="shared" si="1"/>
        <v>18.956688034267078</v>
      </c>
      <c r="G17" s="163">
        <v>16.131495999999999</v>
      </c>
      <c r="H17" s="175" t="s">
        <v>162</v>
      </c>
      <c r="I17" s="165"/>
      <c r="J17" s="169"/>
      <c r="K17" s="193"/>
      <c r="L17" s="193"/>
    </row>
    <row r="18" spans="1:12">
      <c r="A18" s="191">
        <v>2008</v>
      </c>
      <c r="B18" s="163">
        <v>23.1</v>
      </c>
      <c r="C18" s="175" t="s">
        <v>176</v>
      </c>
      <c r="D18" s="185">
        <f t="shared" si="0"/>
        <v>3.1954775640195683</v>
      </c>
      <c r="E18" s="179">
        <f t="shared" si="2"/>
        <v>0.13833236207876917</v>
      </c>
      <c r="F18" s="164">
        <f t="shared" si="1"/>
        <v>19.904522435980432</v>
      </c>
      <c r="G18" s="163">
        <v>20.258900000000001</v>
      </c>
      <c r="H18" s="175" t="s">
        <v>162</v>
      </c>
      <c r="I18" s="165"/>
      <c r="J18" s="169"/>
      <c r="K18" s="193"/>
      <c r="L18" s="193"/>
    </row>
    <row r="19" spans="1:12">
      <c r="A19" s="191">
        <v>2009</v>
      </c>
      <c r="B19" s="163">
        <v>24.2</v>
      </c>
      <c r="C19" s="175" t="s">
        <v>176</v>
      </c>
      <c r="D19" s="185">
        <f t="shared" si="0"/>
        <v>3.3476431623062139</v>
      </c>
      <c r="E19" s="179">
        <f t="shared" si="2"/>
        <v>0.13833236207876917</v>
      </c>
      <c r="F19" s="164">
        <f t="shared" si="1"/>
        <v>20.852356837693783</v>
      </c>
      <c r="G19" s="163">
        <v>22.222456999999999</v>
      </c>
      <c r="H19" s="175" t="s">
        <v>162</v>
      </c>
      <c r="I19" s="165"/>
      <c r="J19" s="169"/>
      <c r="K19" s="193"/>
      <c r="L19" s="193"/>
    </row>
    <row r="20" spans="1:12">
      <c r="A20" s="191">
        <v>2010</v>
      </c>
      <c r="B20" s="163">
        <v>25.5</v>
      </c>
      <c r="C20" s="175" t="s">
        <v>176</v>
      </c>
      <c r="D20" s="185">
        <f t="shared" si="0"/>
        <v>3.5274752330086141</v>
      </c>
      <c r="E20" s="179">
        <f t="shared" si="2"/>
        <v>0.13833236207876917</v>
      </c>
      <c r="F20" s="164">
        <f t="shared" si="1"/>
        <v>21.972524766991384</v>
      </c>
      <c r="G20" s="163">
        <v>21.532363</v>
      </c>
      <c r="H20" s="175" t="s">
        <v>162</v>
      </c>
      <c r="I20" s="165"/>
      <c r="J20" s="169"/>
      <c r="K20" s="193"/>
      <c r="L20" s="193"/>
    </row>
    <row r="21" spans="1:12">
      <c r="A21" s="191">
        <v>2011</v>
      </c>
      <c r="B21" s="163">
        <v>26.7</v>
      </c>
      <c r="C21" s="175" t="s">
        <v>176</v>
      </c>
      <c r="D21" s="185">
        <f t="shared" si="0"/>
        <v>3.693474067503137</v>
      </c>
      <c r="E21" s="179">
        <f t="shared" si="2"/>
        <v>0.13833236207876917</v>
      </c>
      <c r="F21" s="164">
        <f t="shared" si="1"/>
        <v>23.00652593249686</v>
      </c>
      <c r="G21" s="163">
        <v>27.970646169999998</v>
      </c>
      <c r="H21" s="175" t="s">
        <v>162</v>
      </c>
      <c r="I21" s="165"/>
      <c r="J21" s="169"/>
      <c r="K21" s="193"/>
      <c r="L21" s="193"/>
    </row>
    <row r="22" spans="1:12">
      <c r="A22" s="191">
        <v>2012</v>
      </c>
      <c r="B22" s="163">
        <v>28.1</v>
      </c>
      <c r="C22" s="175" t="s">
        <v>176</v>
      </c>
      <c r="D22" s="185">
        <f t="shared" si="0"/>
        <v>3.887139374413414</v>
      </c>
      <c r="E22" s="179">
        <f t="shared" si="2"/>
        <v>0.13833236207876917</v>
      </c>
      <c r="F22" s="164">
        <f t="shared" si="1"/>
        <v>24.212860625586586</v>
      </c>
      <c r="G22" s="163">
        <v>31.441241000000002</v>
      </c>
      <c r="H22" s="175" t="s">
        <v>162</v>
      </c>
      <c r="I22" s="165"/>
      <c r="J22" s="169"/>
      <c r="K22" s="193"/>
      <c r="L22" s="193"/>
    </row>
    <row r="23" spans="1:12">
      <c r="A23" s="191">
        <v>2013</v>
      </c>
      <c r="B23" s="163">
        <v>31.6</v>
      </c>
      <c r="C23" s="175" t="s">
        <v>177</v>
      </c>
      <c r="D23" s="185">
        <f t="shared" si="0"/>
        <v>4.3713026416891063</v>
      </c>
      <c r="E23" s="179">
        <f t="shared" si="2"/>
        <v>0.13833236207876917</v>
      </c>
      <c r="F23" s="164">
        <f t="shared" si="1"/>
        <v>27.228697358310896</v>
      </c>
      <c r="G23" s="163">
        <v>31.641476000000001</v>
      </c>
      <c r="H23" s="175" t="s">
        <v>162</v>
      </c>
      <c r="I23" s="165"/>
      <c r="J23" s="169"/>
      <c r="K23" s="193"/>
      <c r="L23" s="193"/>
    </row>
    <row r="24" spans="1:12">
      <c r="A24" s="191">
        <v>2014</v>
      </c>
      <c r="B24" s="163">
        <v>32.200000000000003</v>
      </c>
      <c r="C24" s="175" t="s">
        <v>178</v>
      </c>
      <c r="D24" s="185">
        <f t="shared" si="0"/>
        <v>4.454302058936368</v>
      </c>
      <c r="E24" s="179">
        <f t="shared" si="2"/>
        <v>0.13833236207876917</v>
      </c>
      <c r="F24" s="164">
        <f t="shared" si="1"/>
        <v>27.745697941063636</v>
      </c>
      <c r="G24" s="163">
        <v>32.049441000000002</v>
      </c>
      <c r="H24" s="175" t="s">
        <v>162</v>
      </c>
      <c r="I24" s="165"/>
      <c r="J24" s="169"/>
      <c r="K24" s="193"/>
      <c r="L24" s="193"/>
    </row>
    <row r="25" spans="1:12">
      <c r="A25" s="191">
        <v>2015</v>
      </c>
      <c r="B25" s="163">
        <v>34.96</v>
      </c>
      <c r="C25" s="175" t="s">
        <v>179</v>
      </c>
      <c r="D25" s="186">
        <f>5974000/1000000</f>
        <v>5.9740000000000002</v>
      </c>
      <c r="E25" s="180">
        <f>D25/G25</f>
        <v>0.18331969380394472</v>
      </c>
      <c r="F25" s="164">
        <f t="shared" si="1"/>
        <v>28.551143504614092</v>
      </c>
      <c r="G25" s="163">
        <v>32.587879000000001</v>
      </c>
      <c r="H25" s="175" t="s">
        <v>162</v>
      </c>
      <c r="I25" s="165"/>
      <c r="J25" s="169"/>
      <c r="K25" s="193"/>
      <c r="L25" s="193"/>
    </row>
    <row r="26" spans="1:12">
      <c r="A26" s="191">
        <v>2016</v>
      </c>
      <c r="B26" s="163">
        <v>56.4</v>
      </c>
      <c r="C26" s="175" t="s">
        <v>180</v>
      </c>
      <c r="D26" s="186">
        <f>6451000/1000000</f>
        <v>6.4509999999999996</v>
      </c>
      <c r="E26" s="180">
        <f>D26/G26</f>
        <v>0.11353122354153602</v>
      </c>
      <c r="F26" s="164">
        <f t="shared" si="1"/>
        <v>49.996838992257366</v>
      </c>
      <c r="G26" s="163">
        <v>56.821373000000001</v>
      </c>
      <c r="H26" s="175" t="s">
        <v>162</v>
      </c>
      <c r="I26" s="165"/>
      <c r="J26" s="169"/>
      <c r="K26" s="193"/>
      <c r="L26" s="193"/>
    </row>
    <row r="27" spans="1:12">
      <c r="A27" s="191">
        <v>2017</v>
      </c>
      <c r="B27" s="163">
        <v>62.9</v>
      </c>
      <c r="C27" s="175" t="s">
        <v>181</v>
      </c>
      <c r="D27" s="186">
        <f>7684651.52/1000000</f>
        <v>7.6846515199999992</v>
      </c>
      <c r="E27" s="180">
        <f>D27/G27</f>
        <v>0.1311373979522184</v>
      </c>
      <c r="F27" s="164">
        <f t="shared" si="1"/>
        <v>54.651457668805463</v>
      </c>
      <c r="G27" s="163">
        <v>58.6</v>
      </c>
      <c r="H27" s="175" t="s">
        <v>182</v>
      </c>
      <c r="I27" s="165"/>
      <c r="J27" s="169"/>
      <c r="K27" s="193"/>
      <c r="L27" s="193"/>
    </row>
    <row r="28" spans="1:12">
      <c r="A28" s="191">
        <v>2018</v>
      </c>
      <c r="B28" s="163">
        <v>67.599999999999994</v>
      </c>
      <c r="C28" s="175" t="s">
        <v>183</v>
      </c>
      <c r="D28" s="186">
        <f>7934093.72/1000000</f>
        <v>7.9340937199999999</v>
      </c>
      <c r="E28" s="180">
        <f>D28/G28</f>
        <v>0.12534113301737757</v>
      </c>
      <c r="F28" s="164">
        <f t="shared" si="1"/>
        <v>59.126939408025272</v>
      </c>
      <c r="G28" s="163">
        <v>63.3</v>
      </c>
      <c r="H28" s="175" t="s">
        <v>182</v>
      </c>
      <c r="I28" s="165"/>
      <c r="J28" s="169"/>
      <c r="K28" s="193"/>
      <c r="L28" s="193"/>
    </row>
    <row r="29" spans="1:12" ht="29">
      <c r="A29" s="191">
        <v>2019</v>
      </c>
      <c r="B29" s="165"/>
      <c r="C29" s="176"/>
      <c r="D29" s="178"/>
      <c r="E29" s="181"/>
      <c r="F29" s="166"/>
      <c r="G29" s="170"/>
      <c r="H29" s="178"/>
      <c r="I29" s="173">
        <f>129.4-15.9</f>
        <v>113.5</v>
      </c>
      <c r="J29" s="204" t="s">
        <v>184</v>
      </c>
      <c r="K29" s="193"/>
      <c r="L29" s="193"/>
    </row>
    <row r="30" spans="1:12" ht="29">
      <c r="A30" s="192">
        <v>2020</v>
      </c>
      <c r="B30" s="167"/>
      <c r="C30" s="177"/>
      <c r="D30" s="182"/>
      <c r="E30" s="183"/>
      <c r="F30" s="171"/>
      <c r="G30" s="167"/>
      <c r="H30" s="182"/>
      <c r="I30" s="174">
        <f>132.3-14.9</f>
        <v>117.4</v>
      </c>
      <c r="J30" s="205" t="s">
        <v>184</v>
      </c>
      <c r="K30" s="193"/>
      <c r="L30" s="193"/>
    </row>
    <row r="31" spans="1:12">
      <c r="D31" s="196" t="s">
        <v>185</v>
      </c>
      <c r="E31" s="184">
        <f>AVERAGE(E25:E28)</f>
        <v>0.13833236207876917</v>
      </c>
    </row>
    <row r="32" spans="1:12">
      <c r="D32" s="187" t="s">
        <v>186</v>
      </c>
      <c r="E32" s="86"/>
    </row>
    <row r="33" spans="2:9">
      <c r="D33" s="188" t="s">
        <v>187</v>
      </c>
      <c r="I33"/>
    </row>
    <row r="37" spans="2:9">
      <c r="B37" s="84" t="s">
        <v>188</v>
      </c>
    </row>
  </sheetData>
  <phoneticPr fontId="26" type="noConversion"/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F4FE-598B-4F4A-BD27-FEBAC667BD9F}">
  <dimension ref="B5:T56"/>
  <sheetViews>
    <sheetView topLeftCell="A28" workbookViewId="0">
      <selection activeCell="AA49" sqref="AA49"/>
    </sheetView>
  </sheetViews>
  <sheetFormatPr defaultColWidth="9.1796875" defaultRowHeight="12.5"/>
  <cols>
    <col min="1" max="1" width="9.1796875" style="43"/>
    <col min="2" max="2" width="29.54296875" style="43" bestFit="1" customWidth="1"/>
    <col min="3" max="3" width="2.81640625" style="43" customWidth="1"/>
    <col min="4" max="4" width="10.453125" style="43" bestFit="1" customWidth="1"/>
    <col min="5" max="5" width="2.1796875" style="43" customWidth="1"/>
    <col min="6" max="6" width="7.453125" style="43" bestFit="1" customWidth="1"/>
    <col min="7" max="7" width="7.54296875" style="43" customWidth="1"/>
    <col min="8" max="8" width="4.453125" style="43" customWidth="1"/>
    <col min="9" max="9" width="10.453125" style="43" bestFit="1" customWidth="1"/>
    <col min="10" max="10" width="2.1796875" style="43" customWidth="1"/>
    <col min="11" max="11" width="7.453125" style="43" bestFit="1" customWidth="1"/>
    <col min="12" max="12" width="5.453125" style="43" customWidth="1"/>
    <col min="13" max="13" width="10.453125" style="43" bestFit="1" customWidth="1"/>
    <col min="14" max="14" width="2.1796875" style="43" customWidth="1"/>
    <col min="15" max="15" width="7.453125" style="43" bestFit="1" customWidth="1"/>
    <col min="16" max="17" width="9.1796875" style="43"/>
    <col min="18" max="18" width="3.453125" style="43" customWidth="1"/>
    <col min="19" max="16384" width="9.1796875" style="43"/>
  </cols>
  <sheetData>
    <row r="5" spans="2:16">
      <c r="D5" s="262" t="s">
        <v>189</v>
      </c>
      <c r="E5" s="262"/>
      <c r="F5" s="262"/>
      <c r="I5" s="262" t="s">
        <v>190</v>
      </c>
      <c r="J5" s="262"/>
      <c r="K5" s="262"/>
      <c r="M5" s="262" t="s">
        <v>191</v>
      </c>
      <c r="N5" s="262"/>
      <c r="O5" s="262"/>
    </row>
    <row r="6" spans="2:16">
      <c r="D6" s="263" t="s">
        <v>192</v>
      </c>
      <c r="E6" s="263"/>
      <c r="F6" s="263"/>
      <c r="I6" s="263" t="s">
        <v>193</v>
      </c>
      <c r="J6" s="263"/>
      <c r="K6" s="263"/>
      <c r="M6" s="263" t="s">
        <v>194</v>
      </c>
      <c r="N6" s="263"/>
      <c r="O6" s="263"/>
    </row>
    <row r="7" spans="2:16">
      <c r="B7" s="60" t="s">
        <v>195</v>
      </c>
      <c r="D7" s="61" t="s">
        <v>196</v>
      </c>
      <c r="E7" s="62"/>
      <c r="F7" s="63" t="s">
        <v>197</v>
      </c>
      <c r="I7" s="61" t="s">
        <v>196</v>
      </c>
      <c r="J7" s="62"/>
      <c r="K7" s="61" t="s">
        <v>197</v>
      </c>
      <c r="M7" s="61" t="s">
        <v>196</v>
      </c>
      <c r="N7" s="62"/>
      <c r="O7" s="61" t="s">
        <v>197</v>
      </c>
    </row>
    <row r="8" spans="2:16">
      <c r="D8" s="62" t="s">
        <v>9</v>
      </c>
      <c r="E8" s="62"/>
      <c r="F8" s="62" t="s">
        <v>10</v>
      </c>
      <c r="I8" s="62" t="s">
        <v>198</v>
      </c>
      <c r="K8" s="62" t="s">
        <v>20</v>
      </c>
      <c r="M8" s="62" t="s">
        <v>199</v>
      </c>
      <c r="O8" s="62" t="s">
        <v>200</v>
      </c>
    </row>
    <row r="10" spans="2:16">
      <c r="B10" s="43" t="s">
        <v>201</v>
      </c>
      <c r="D10" s="64">
        <v>701828.27284730785</v>
      </c>
      <c r="E10" s="65"/>
      <c r="F10" s="66">
        <f t="shared" ref="F10:F15" si="0">D10/$D$16</f>
        <v>0.62710894369252257</v>
      </c>
      <c r="I10" s="64">
        <v>1141300.1776381116</v>
      </c>
      <c r="K10" s="66">
        <f t="shared" ref="K10:K15" si="1">I10/$I$16</f>
        <v>0.74224690424505779</v>
      </c>
      <c r="M10" s="67">
        <v>896658.26509888947</v>
      </c>
      <c r="O10" s="66">
        <f t="shared" ref="O10:O15" si="2">M10/$M$16</f>
        <v>0.71227699384945053</v>
      </c>
    </row>
    <row r="11" spans="2:16">
      <c r="B11" s="43" t="s">
        <v>202</v>
      </c>
      <c r="D11" s="64">
        <v>42123.424687498613</v>
      </c>
      <c r="E11" s="65"/>
      <c r="F11" s="66">
        <f t="shared" si="0"/>
        <v>3.7638803368977312E-2</v>
      </c>
      <c r="G11" s="71">
        <f>F11/(SUM(F11:F15))</f>
        <v>0.10093780135595745</v>
      </c>
      <c r="I11" s="64">
        <v>55239.47620428662</v>
      </c>
      <c r="K11" s="66">
        <f t="shared" si="1"/>
        <v>3.5925106302534163E-2</v>
      </c>
      <c r="L11" s="71">
        <f>K11/(SUM(K11:K15))</f>
        <v>0.13937798185240735</v>
      </c>
      <c r="M11" s="67">
        <v>51506.38316387745</v>
      </c>
      <c r="O11" s="66">
        <f t="shared" si="2"/>
        <v>4.0915043324759308E-2</v>
      </c>
      <c r="P11" s="71">
        <f>O11/(SUM(O11:O15))</f>
        <v>0.14220289114924209</v>
      </c>
    </row>
    <row r="12" spans="2:16">
      <c r="B12" s="43" t="s">
        <v>203</v>
      </c>
      <c r="D12" s="64">
        <v>62084.819808478838</v>
      </c>
      <c r="E12" s="65"/>
      <c r="F12" s="66">
        <f t="shared" si="0"/>
        <v>5.5475031821504241E-2</v>
      </c>
      <c r="G12" s="71">
        <f>SUM(F12:F14)/(SUM(F11:F15))</f>
        <v>0.191305983567189</v>
      </c>
      <c r="I12" s="64">
        <v>75245.911315978388</v>
      </c>
      <c r="K12" s="66">
        <f t="shared" si="1"/>
        <v>4.8936332286362454E-2</v>
      </c>
      <c r="L12" s="71">
        <f>SUM(K12:K14)/(SUM(K11:K15))</f>
        <v>0.24481158796994359</v>
      </c>
      <c r="M12" s="67">
        <v>75985.517024347326</v>
      </c>
      <c r="O12" s="66">
        <f t="shared" si="2"/>
        <v>6.0360493789938283E-2</v>
      </c>
      <c r="P12" s="71">
        <f>SUM(O12:O14)/(SUM(O11:O15))</f>
        <v>0.26666564416372635</v>
      </c>
    </row>
    <row r="13" spans="2:16">
      <c r="B13" s="43" t="s">
        <v>204</v>
      </c>
      <c r="D13" s="64">
        <v>3563.6163014804133</v>
      </c>
      <c r="E13" s="65"/>
      <c r="F13" s="66">
        <f t="shared" si="0"/>
        <v>3.1842200449981608E-3</v>
      </c>
      <c r="I13" s="64">
        <v>3956.3503783680176</v>
      </c>
      <c r="K13" s="66">
        <f t="shared" si="1"/>
        <v>2.5730205584735925E-3</v>
      </c>
      <c r="M13" s="67">
        <v>2678.2026900048299</v>
      </c>
      <c r="O13" s="66">
        <f t="shared" si="2"/>
        <v>2.1274795930707967E-3</v>
      </c>
    </row>
    <row r="14" spans="2:16">
      <c r="B14" s="43" t="s">
        <v>205</v>
      </c>
      <c r="D14" s="64">
        <v>14187.493371426412</v>
      </c>
      <c r="E14" s="65"/>
      <c r="F14" s="66">
        <f t="shared" si="0"/>
        <v>1.2677038423807652E-2</v>
      </c>
      <c r="I14" s="64">
        <v>17823.564827662067</v>
      </c>
      <c r="K14" s="66">
        <f t="shared" si="1"/>
        <v>1.159159183110031E-2</v>
      </c>
      <c r="M14" s="67">
        <v>17923.506705145963</v>
      </c>
      <c r="O14" s="66">
        <f t="shared" si="2"/>
        <v>1.423786739285101E-2</v>
      </c>
    </row>
    <row r="15" spans="2:16">
      <c r="B15" s="43" t="s">
        <v>206</v>
      </c>
      <c r="D15" s="64">
        <v>295361.25438043638</v>
      </c>
      <c r="E15" s="65"/>
      <c r="F15" s="66">
        <f t="shared" si="0"/>
        <v>0.26391596264819017</v>
      </c>
      <c r="G15" s="71">
        <f>F15/SUM(F11:F15)</f>
        <v>0.70775621507685349</v>
      </c>
      <c r="I15" s="64">
        <v>244063.26703863245</v>
      </c>
      <c r="K15" s="66">
        <f t="shared" si="1"/>
        <v>0.15872704477647182</v>
      </c>
      <c r="L15" s="71">
        <f>K15/SUM(K11:K15)</f>
        <v>0.61581043017764914</v>
      </c>
      <c r="M15" s="67">
        <v>214109.87831773498</v>
      </c>
      <c r="O15" s="66">
        <f t="shared" si="2"/>
        <v>0.17008212204993012</v>
      </c>
      <c r="P15" s="71">
        <f>O15/SUM(O11:O15)</f>
        <v>0.59113146468703148</v>
      </c>
    </row>
    <row r="16" spans="2:16" ht="13" thickBot="1">
      <c r="B16" s="43" t="s">
        <v>207</v>
      </c>
      <c r="D16" s="68">
        <f>SUM(D10:D15)</f>
        <v>1119148.8813966285</v>
      </c>
      <c r="E16" s="69"/>
      <c r="F16" s="70">
        <f>SUM(F10:F15)</f>
        <v>1</v>
      </c>
      <c r="I16" s="68">
        <f>SUM(I10:I15)</f>
        <v>1537628.7474030389</v>
      </c>
      <c r="K16" s="70">
        <f>SUM(K10:K15)</f>
        <v>1</v>
      </c>
      <c r="M16" s="68">
        <f>SUM(M10:M15)</f>
        <v>1258861.753</v>
      </c>
      <c r="O16" s="70">
        <f>SUM(O10:O15)</f>
        <v>1</v>
      </c>
    </row>
    <row r="17" spans="2:19" ht="13" thickTop="1"/>
    <row r="18" spans="2:19">
      <c r="D18" s="43" t="s">
        <v>208</v>
      </c>
      <c r="I18" s="43" t="s">
        <v>209</v>
      </c>
      <c r="M18" s="43" t="s">
        <v>210</v>
      </c>
    </row>
    <row r="19" spans="2:19">
      <c r="F19" s="66"/>
      <c r="K19" s="66"/>
    </row>
    <row r="20" spans="2:19">
      <c r="F20" s="66"/>
      <c r="K20" s="66"/>
    </row>
    <row r="21" spans="2:19">
      <c r="D21" s="262" t="s">
        <v>211</v>
      </c>
      <c r="E21" s="262"/>
      <c r="F21" s="262"/>
      <c r="I21" s="262" t="s">
        <v>212</v>
      </c>
      <c r="J21" s="262"/>
      <c r="K21" s="262"/>
      <c r="M21" s="262" t="s">
        <v>213</v>
      </c>
      <c r="N21" s="262"/>
      <c r="O21" s="262"/>
      <c r="Q21" s="262" t="s">
        <v>214</v>
      </c>
      <c r="R21" s="262"/>
      <c r="S21" s="262"/>
    </row>
    <row r="22" spans="2:19">
      <c r="D22" s="263" t="s">
        <v>215</v>
      </c>
      <c r="E22" s="263"/>
      <c r="F22" s="263"/>
      <c r="I22" s="263" t="s">
        <v>215</v>
      </c>
      <c r="J22" s="263"/>
      <c r="K22" s="263"/>
      <c r="M22" s="263" t="s">
        <v>215</v>
      </c>
      <c r="N22" s="263"/>
      <c r="O22" s="263"/>
      <c r="Q22" s="263" t="s">
        <v>215</v>
      </c>
      <c r="R22" s="263"/>
      <c r="S22" s="263"/>
    </row>
    <row r="23" spans="2:19">
      <c r="B23" s="60" t="s">
        <v>216</v>
      </c>
      <c r="D23" s="61" t="s">
        <v>196</v>
      </c>
      <c r="E23" s="62"/>
      <c r="F23" s="63" t="s">
        <v>197</v>
      </c>
      <c r="I23" s="61" t="s">
        <v>196</v>
      </c>
      <c r="J23" s="62"/>
      <c r="K23" s="63" t="s">
        <v>197</v>
      </c>
      <c r="M23" s="61" t="s">
        <v>196</v>
      </c>
      <c r="N23" s="62"/>
      <c r="O23" s="63" t="s">
        <v>197</v>
      </c>
      <c r="Q23" s="61" t="s">
        <v>196</v>
      </c>
      <c r="R23" s="62"/>
      <c r="S23" s="63" t="s">
        <v>197</v>
      </c>
    </row>
    <row r="24" spans="2:19">
      <c r="D24" s="62" t="s">
        <v>9</v>
      </c>
      <c r="E24" s="62"/>
      <c r="F24" s="62" t="s">
        <v>10</v>
      </c>
      <c r="I24" s="62" t="s">
        <v>198</v>
      </c>
      <c r="K24" s="62" t="s">
        <v>20</v>
      </c>
      <c r="M24" s="62" t="s">
        <v>20</v>
      </c>
      <c r="O24" s="62" t="s">
        <v>199</v>
      </c>
      <c r="Q24" s="62" t="s">
        <v>20</v>
      </c>
      <c r="S24" s="62" t="s">
        <v>199</v>
      </c>
    </row>
    <row r="25" spans="2:19">
      <c r="I25" s="62"/>
      <c r="J25" s="62"/>
      <c r="K25" s="62"/>
    </row>
    <row r="26" spans="2:19">
      <c r="B26" s="43" t="s">
        <v>201</v>
      </c>
      <c r="D26" s="231">
        <v>667986</v>
      </c>
      <c r="F26" s="66">
        <f>D26/$D$30</f>
        <v>0.76724881550610191</v>
      </c>
      <c r="I26" s="231">
        <v>823430</v>
      </c>
      <c r="K26" s="66">
        <f>I26/$I$30</f>
        <v>0.78516049243807573</v>
      </c>
      <c r="M26" s="231">
        <v>494738</v>
      </c>
      <c r="O26" s="66">
        <f>M26/$M$30</f>
        <v>0.68051620073617203</v>
      </c>
      <c r="Q26" s="231">
        <v>315589</v>
      </c>
      <c r="S26" s="66">
        <f>Q26/'LUG allocations'!$Q$30</f>
        <v>0.58042238419195069</v>
      </c>
    </row>
    <row r="27" spans="2:19">
      <c r="B27" s="43" t="s">
        <v>202</v>
      </c>
      <c r="D27" s="231">
        <v>23045</v>
      </c>
      <c r="F27" s="66">
        <f>D27/$D$30</f>
        <v>2.646949030868629E-2</v>
      </c>
      <c r="I27" s="231">
        <v>26333</v>
      </c>
      <c r="K27" s="66">
        <f>I27/$I$30</f>
        <v>2.5109154691196397E-2</v>
      </c>
      <c r="M27" s="231">
        <v>27969</v>
      </c>
      <c r="O27" s="66">
        <f>M27/$M$30</f>
        <v>3.8471590252598338E-2</v>
      </c>
      <c r="Q27" s="231">
        <f>205+18235</f>
        <v>18440</v>
      </c>
      <c r="S27" s="66">
        <f>Q27/'LUG allocations'!$Q$30</f>
        <v>3.3914327699950161E-2</v>
      </c>
    </row>
    <row r="28" spans="2:19">
      <c r="B28" s="43" t="s">
        <v>217</v>
      </c>
      <c r="D28" s="231">
        <v>23249</v>
      </c>
      <c r="F28" s="66">
        <f>D28/$D$30</f>
        <v>2.6703804737975591E-2</v>
      </c>
      <c r="I28" s="231">
        <v>34989</v>
      </c>
      <c r="K28" s="66">
        <f>I28/$I$30</f>
        <v>3.3362860801665999E-2</v>
      </c>
      <c r="M28" s="231">
        <v>34052</v>
      </c>
      <c r="O28" s="66">
        <f>M28/$M$30</f>
        <v>4.6838806939164021E-2</v>
      </c>
      <c r="Q28" s="231">
        <f>10788+52341+907+10728+1544</f>
        <v>76308</v>
      </c>
      <c r="S28" s="66">
        <f>Q28/'LUG allocations'!$Q$30</f>
        <v>0.14034352050584581</v>
      </c>
    </row>
    <row r="29" spans="2:19">
      <c r="B29" s="43" t="s">
        <v>206</v>
      </c>
      <c r="D29" s="231">
        <f>90255+31158+34932</f>
        <v>156345</v>
      </c>
      <c r="F29" s="66">
        <f>D29/$D$30</f>
        <v>0.17957788944723618</v>
      </c>
      <c r="I29" s="231">
        <f>93714+32019+38256</f>
        <v>163989</v>
      </c>
      <c r="K29" s="66">
        <f>I29/$I$30</f>
        <v>0.15636749206906186</v>
      </c>
      <c r="M29" s="231">
        <f>97135+36522+36588</f>
        <v>170245</v>
      </c>
      <c r="O29" s="66">
        <f>M29/$M$30</f>
        <v>0.23417340207206563</v>
      </c>
      <c r="Q29" s="231">
        <v>133386</v>
      </c>
      <c r="S29" s="66">
        <f>Q29/'LUG allocations'!$Q$30</f>
        <v>0.24531976760225335</v>
      </c>
    </row>
    <row r="30" spans="2:19" ht="13" thickBot="1">
      <c r="B30" s="43" t="s">
        <v>207</v>
      </c>
      <c r="D30" s="68">
        <f>SUM(D26:D29)</f>
        <v>870625</v>
      </c>
      <c r="F30" s="232">
        <f>SUM(F26:F29)</f>
        <v>1</v>
      </c>
      <c r="I30" s="68">
        <f>SUM(I26:I29)</f>
        <v>1048741</v>
      </c>
      <c r="K30" s="232">
        <f>SUM(K26:K29)</f>
        <v>0.99999999999999989</v>
      </c>
      <c r="M30" s="68">
        <f>SUM(M26:M29)</f>
        <v>727004</v>
      </c>
      <c r="O30" s="232">
        <f>SUM(O26:O29)</f>
        <v>1</v>
      </c>
      <c r="Q30" s="68">
        <f>SUM(Q26:Q29)</f>
        <v>543723</v>
      </c>
      <c r="S30" s="232">
        <f>SUM(S26:S29)</f>
        <v>1</v>
      </c>
    </row>
    <row r="31" spans="2:19" ht="13" thickTop="1"/>
    <row r="34" spans="2:19">
      <c r="D34" s="262" t="s">
        <v>218</v>
      </c>
      <c r="E34" s="262"/>
      <c r="F34" s="262"/>
      <c r="I34" s="262" t="s">
        <v>219</v>
      </c>
      <c r="J34" s="262"/>
      <c r="K34" s="262"/>
      <c r="M34" s="262" t="s">
        <v>213</v>
      </c>
      <c r="N34" s="262"/>
      <c r="O34" s="262"/>
      <c r="Q34" s="262" t="s">
        <v>214</v>
      </c>
      <c r="R34" s="262"/>
      <c r="S34" s="262"/>
    </row>
    <row r="35" spans="2:19">
      <c r="D35" s="263" t="s">
        <v>220</v>
      </c>
      <c r="E35" s="263"/>
      <c r="F35" s="263"/>
      <c r="I35" s="263" t="s">
        <v>220</v>
      </c>
      <c r="J35" s="263"/>
      <c r="K35" s="263"/>
      <c r="M35" s="263" t="s">
        <v>220</v>
      </c>
      <c r="N35" s="263"/>
      <c r="O35" s="263"/>
      <c r="Q35" s="263" t="s">
        <v>220</v>
      </c>
      <c r="R35" s="263"/>
      <c r="S35" s="263"/>
    </row>
    <row r="36" spans="2:19">
      <c r="B36" s="60" t="s">
        <v>221</v>
      </c>
      <c r="D36" s="61" t="s">
        <v>196</v>
      </c>
      <c r="E36" s="62"/>
      <c r="F36" s="63" t="s">
        <v>197</v>
      </c>
      <c r="I36" s="61" t="s">
        <v>196</v>
      </c>
      <c r="J36" s="62"/>
      <c r="K36" s="63" t="s">
        <v>197</v>
      </c>
      <c r="M36" s="61" t="s">
        <v>196</v>
      </c>
      <c r="N36" s="62"/>
      <c r="O36" s="63" t="s">
        <v>197</v>
      </c>
      <c r="Q36" s="61" t="s">
        <v>196</v>
      </c>
      <c r="R36" s="62"/>
      <c r="S36" s="63" t="s">
        <v>197</v>
      </c>
    </row>
    <row r="37" spans="2:19">
      <c r="D37" s="62" t="s">
        <v>9</v>
      </c>
      <c r="E37" s="62"/>
      <c r="F37" s="62" t="s">
        <v>10</v>
      </c>
      <c r="I37" s="62" t="s">
        <v>198</v>
      </c>
      <c r="K37" s="62" t="s">
        <v>20</v>
      </c>
      <c r="M37" s="62" t="s">
        <v>20</v>
      </c>
      <c r="O37" s="62" t="s">
        <v>199</v>
      </c>
      <c r="Q37" s="62" t="s">
        <v>20</v>
      </c>
      <c r="S37" s="62" t="s">
        <v>199</v>
      </c>
    </row>
    <row r="38" spans="2:19">
      <c r="I38" s="62"/>
      <c r="J38" s="62"/>
      <c r="K38" s="62"/>
    </row>
    <row r="39" spans="2:19">
      <c r="B39" s="43" t="s">
        <v>201</v>
      </c>
      <c r="D39" s="233">
        <f>357408.5+349.618+250.551</f>
        <v>358008.66899999999</v>
      </c>
      <c r="F39" s="66">
        <f>D39/$D$43</f>
        <v>0.81606233699093644</v>
      </c>
      <c r="I39" s="233">
        <f>405515+394.902+409.722</f>
        <v>406319.62400000001</v>
      </c>
      <c r="K39" s="66">
        <f>I39/$I$43</f>
        <v>0.82104411402857591</v>
      </c>
      <c r="M39" s="233">
        <f>285073.7+504.069</f>
        <v>285577.76900000003</v>
      </c>
      <c r="O39" s="66">
        <f>M39/$M$43</f>
        <v>0.76002645885734088</v>
      </c>
      <c r="Q39" s="233">
        <f>270444</f>
        <v>270444</v>
      </c>
      <c r="S39" s="66">
        <f>Q39/'LUG allocations'!$Q$43</f>
        <v>0.75585454403170493</v>
      </c>
    </row>
    <row r="40" spans="2:19">
      <c r="B40" s="43" t="s">
        <v>202</v>
      </c>
      <c r="D40" s="233">
        <f>13333.4+2272.244+1628.383</f>
        <v>17234.027000000002</v>
      </c>
      <c r="F40" s="66">
        <f t="shared" ref="F40:F42" si="3">D40/$D$43</f>
        <v>3.9284077641664313E-2</v>
      </c>
      <c r="I40" s="233">
        <f>17456.8+2646.419+2102.398</f>
        <v>22205.616999999998</v>
      </c>
      <c r="K40" s="66">
        <f t="shared" ref="K40:K42" si="4">I40/$I$43</f>
        <v>4.4870565090459134E-2</v>
      </c>
      <c r="M40" s="233">
        <f>19137.821+1908.119</f>
        <v>21045.94</v>
      </c>
      <c r="O40" s="66">
        <f>M40/$M$43</f>
        <v>5.6010911870118515E-2</v>
      </c>
      <c r="Q40" s="233">
        <f>26863</f>
        <v>26863</v>
      </c>
      <c r="S40" s="66">
        <f>Q40/'LUG allocations'!$Q$43</f>
        <v>7.5078465842554065E-2</v>
      </c>
    </row>
    <row r="41" spans="2:19">
      <c r="B41" s="43" t="s">
        <v>217</v>
      </c>
      <c r="D41" s="233">
        <v>0</v>
      </c>
      <c r="F41" s="66">
        <f t="shared" si="3"/>
        <v>0</v>
      </c>
      <c r="I41" s="233">
        <v>0</v>
      </c>
      <c r="K41" s="66">
        <f t="shared" si="4"/>
        <v>0</v>
      </c>
      <c r="M41" s="233">
        <v>0</v>
      </c>
      <c r="O41" s="66">
        <f>M41/$M$43</f>
        <v>0</v>
      </c>
      <c r="Q41" s="233">
        <v>0</v>
      </c>
      <c r="S41" s="66">
        <f>Q41/'LUG allocations'!$Q$43</f>
        <v>0</v>
      </c>
    </row>
    <row r="42" spans="2:19">
      <c r="B42" s="43" t="s">
        <v>206</v>
      </c>
      <c r="D42" s="233">
        <f>38007.237+25452.667</f>
        <v>63459.904000000002</v>
      </c>
      <c r="F42" s="66">
        <f t="shared" si="3"/>
        <v>0.14465358536739925</v>
      </c>
      <c r="I42" s="233">
        <f>39301.379+27054.979</f>
        <v>66356.358000000007</v>
      </c>
      <c r="K42" s="66">
        <f t="shared" si="4"/>
        <v>0.13408532088096489</v>
      </c>
      <c r="M42" s="233">
        <f>42012.907+27110.525</f>
        <v>69123.432000000001</v>
      </c>
      <c r="O42" s="66">
        <f>M42/$M$43</f>
        <v>0.18396262927254045</v>
      </c>
      <c r="P42" s="71"/>
      <c r="Q42" s="233">
        <f>60492</f>
        <v>60492</v>
      </c>
      <c r="S42" s="66">
        <f>Q42/'LUG allocations'!$Q$43</f>
        <v>0.169066990125741</v>
      </c>
    </row>
    <row r="43" spans="2:19" ht="13" thickBot="1">
      <c r="B43" s="43" t="s">
        <v>207</v>
      </c>
      <c r="D43" s="68">
        <f>SUM(D39:D42)</f>
        <v>438702.6</v>
      </c>
      <c r="F43" s="232">
        <f>SUM(F39:F42)</f>
        <v>1</v>
      </c>
      <c r="I43" s="68">
        <f>SUM(I39:I42)</f>
        <v>494881.59900000005</v>
      </c>
      <c r="K43" s="232">
        <f>SUM(K39:K42)</f>
        <v>1</v>
      </c>
      <c r="M43" s="68">
        <f>SUM(M39:M42)</f>
        <v>375747.14100000006</v>
      </c>
      <c r="O43" s="232">
        <f>SUM(O39:O42)</f>
        <v>0.99999999999999989</v>
      </c>
      <c r="Q43" s="68">
        <f>SUM(Q39:Q42)</f>
        <v>357799</v>
      </c>
      <c r="S43" s="232">
        <f>SUM(S39:S42)</f>
        <v>1</v>
      </c>
    </row>
    <row r="44" spans="2:19" ht="13" thickTop="1"/>
    <row r="46" spans="2:19" ht="13">
      <c r="I46" s="234" t="s">
        <v>222</v>
      </c>
      <c r="M46" s="262" t="s">
        <v>213</v>
      </c>
      <c r="N46" s="262"/>
      <c r="O46" s="262"/>
      <c r="Q46" s="262" t="s">
        <v>214</v>
      </c>
      <c r="R46" s="262"/>
      <c r="S46" s="262"/>
    </row>
    <row r="47" spans="2:19">
      <c r="M47" s="263"/>
      <c r="N47" s="263"/>
      <c r="O47" s="263"/>
      <c r="Q47" s="263"/>
      <c r="R47" s="263"/>
      <c r="S47" s="263"/>
    </row>
    <row r="48" spans="2:19">
      <c r="M48" s="61" t="s">
        <v>196</v>
      </c>
      <c r="N48" s="62"/>
      <c r="O48" s="63" t="s">
        <v>197</v>
      </c>
      <c r="Q48" s="61" t="s">
        <v>196</v>
      </c>
      <c r="R48" s="62"/>
      <c r="S48" s="63" t="s">
        <v>197</v>
      </c>
    </row>
    <row r="49" spans="9:20">
      <c r="M49" s="62" t="s">
        <v>20</v>
      </c>
      <c r="O49" s="62" t="s">
        <v>199</v>
      </c>
      <c r="Q49" s="62" t="s">
        <v>20</v>
      </c>
      <c r="S49" s="62" t="s">
        <v>199</v>
      </c>
    </row>
    <row r="51" spans="9:20">
      <c r="I51" s="43" t="s">
        <v>201</v>
      </c>
      <c r="M51" s="233">
        <f>M39+M26</f>
        <v>780315.76900000009</v>
      </c>
      <c r="O51" s="66">
        <f>M51/$M$55</f>
        <v>0.70760821729224588</v>
      </c>
      <c r="Q51" s="233">
        <f>Q39+Q26</f>
        <v>586033</v>
      </c>
      <c r="S51" s="66">
        <f>Q51/'LUG allocations'!$Q$55</f>
        <v>0.65004847358134354</v>
      </c>
    </row>
    <row r="52" spans="9:20">
      <c r="I52" s="43" t="s">
        <v>202</v>
      </c>
      <c r="M52" s="233">
        <f t="shared" ref="M52:M54" si="5">M40+M27</f>
        <v>49014.94</v>
      </c>
      <c r="O52" s="66">
        <f t="shared" ref="O52:O54" si="6">M52/$M$55</f>
        <v>4.444787058261588E-2</v>
      </c>
      <c r="P52" s="71">
        <f>O52/(SUM(O52:O54))</f>
        <v>0.15201477336673844</v>
      </c>
      <c r="Q52" s="233">
        <f t="shared" ref="Q52:Q54" si="7">Q40+Q27</f>
        <v>45303</v>
      </c>
      <c r="S52" s="66">
        <f>Q52/'LUG allocations'!$Q$55</f>
        <v>5.0251685482994315E-2</v>
      </c>
      <c r="T52" s="71">
        <f>S52/(SUM(S52:S54))</f>
        <v>0.14359613171933094</v>
      </c>
    </row>
    <row r="53" spans="9:20">
      <c r="I53" s="43" t="s">
        <v>217</v>
      </c>
      <c r="M53" s="233">
        <f t="shared" si="5"/>
        <v>34052</v>
      </c>
      <c r="O53" s="66">
        <f t="shared" si="6"/>
        <v>3.0879133771850704E-2</v>
      </c>
      <c r="P53" s="71">
        <f>SUM(O53)/(SUM(O52:O54))</f>
        <v>0.10560876056737348</v>
      </c>
      <c r="Q53" s="233">
        <f t="shared" si="7"/>
        <v>76308</v>
      </c>
      <c r="S53" s="66">
        <f>Q53/'LUG allocations'!$Q$55</f>
        <v>8.4643525060952476E-2</v>
      </c>
      <c r="T53" s="71">
        <f>SUM(S53)/(SUM(S52:S54))</f>
        <v>0.24187214134248736</v>
      </c>
    </row>
    <row r="54" spans="9:20">
      <c r="I54" s="43" t="s">
        <v>206</v>
      </c>
      <c r="M54" s="233">
        <f t="shared" si="5"/>
        <v>239368.432</v>
      </c>
      <c r="O54" s="66">
        <f t="shared" si="6"/>
        <v>0.21706477835328758</v>
      </c>
      <c r="P54" s="71">
        <f>O54/SUM(O52:O54)</f>
        <v>0.74237646606588803</v>
      </c>
      <c r="Q54" s="233">
        <f t="shared" si="7"/>
        <v>193878</v>
      </c>
      <c r="S54" s="66">
        <f>Q54/'LUG allocations'!$Q$55</f>
        <v>0.21505631587470966</v>
      </c>
      <c r="T54" s="71">
        <f>S54/SUM(S52:S54)</f>
        <v>0.6145317269381817</v>
      </c>
    </row>
    <row r="55" spans="9:20" ht="13" thickBot="1">
      <c r="I55" s="43" t="s">
        <v>207</v>
      </c>
      <c r="M55" s="68">
        <f>SUM(M51:M54)</f>
        <v>1102751.1410000001</v>
      </c>
      <c r="O55" s="232">
        <f>SUM(O51:O54)</f>
        <v>1</v>
      </c>
      <c r="Q55" s="68">
        <f>SUM(Q51:Q54)</f>
        <v>901522</v>
      </c>
      <c r="S55" s="232">
        <f>SUM(S51:S54)</f>
        <v>1</v>
      </c>
    </row>
    <row r="56" spans="9:20" ht="13" thickTop="1"/>
  </sheetData>
  <mergeCells count="26">
    <mergeCell ref="M46:O46"/>
    <mergeCell ref="Q46:S46"/>
    <mergeCell ref="M47:O47"/>
    <mergeCell ref="Q47:S47"/>
    <mergeCell ref="M21:O21"/>
    <mergeCell ref="M22:O22"/>
    <mergeCell ref="M34:O34"/>
    <mergeCell ref="M35:O35"/>
    <mergeCell ref="Q21:S21"/>
    <mergeCell ref="Q22:S22"/>
    <mergeCell ref="Q34:S34"/>
    <mergeCell ref="Q35:S35"/>
    <mergeCell ref="M5:O5"/>
    <mergeCell ref="D6:F6"/>
    <mergeCell ref="I6:K6"/>
    <mergeCell ref="M6:O6"/>
    <mergeCell ref="D35:F35"/>
    <mergeCell ref="I35:K35"/>
    <mergeCell ref="D22:F22"/>
    <mergeCell ref="D5:F5"/>
    <mergeCell ref="I5:K5"/>
    <mergeCell ref="D21:F21"/>
    <mergeCell ref="D34:F34"/>
    <mergeCell ref="I21:K21"/>
    <mergeCell ref="I22:K22"/>
    <mergeCell ref="I34:K34"/>
  </mergeCells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9D06-B737-45C7-ADE1-061CCEE6D38A}">
  <dimension ref="A12:AF23"/>
  <sheetViews>
    <sheetView zoomScale="80" zoomScaleNormal="80" workbookViewId="0">
      <selection activeCell="F25" sqref="F25"/>
    </sheetView>
  </sheetViews>
  <sheetFormatPr defaultRowHeight="14.5"/>
  <sheetData>
    <row r="12" spans="1:31">
      <c r="E12">
        <v>2018</v>
      </c>
      <c r="I12">
        <v>2013</v>
      </c>
      <c r="L12">
        <v>2017</v>
      </c>
      <c r="O12">
        <v>2014</v>
      </c>
      <c r="Q12">
        <v>2007</v>
      </c>
      <c r="S12">
        <v>2006</v>
      </c>
      <c r="U12">
        <v>2005</v>
      </c>
      <c r="W12">
        <v>2003</v>
      </c>
      <c r="Y12">
        <v>2001</v>
      </c>
      <c r="AA12">
        <v>1999</v>
      </c>
      <c r="AC12">
        <v>1996</v>
      </c>
      <c r="AE12">
        <v>1993</v>
      </c>
    </row>
    <row r="13" spans="1:31">
      <c r="A13" t="s">
        <v>223</v>
      </c>
      <c r="E13">
        <v>2248.42</v>
      </c>
      <c r="I13">
        <v>1766.28</v>
      </c>
      <c r="L13">
        <v>2084.8200000000002</v>
      </c>
      <c r="O13">
        <v>1894.73</v>
      </c>
      <c r="Q13">
        <v>2585.33</v>
      </c>
      <c r="S13">
        <v>2342.2600000000002</v>
      </c>
      <c r="U13">
        <v>2062.5700000000002</v>
      </c>
      <c r="W13">
        <v>1697.65</v>
      </c>
      <c r="Y13">
        <v>2050.19</v>
      </c>
      <c r="AA13">
        <v>1392.56</v>
      </c>
      <c r="AC13">
        <v>1307.9100000000001</v>
      </c>
      <c r="AE13">
        <v>1380.6</v>
      </c>
    </row>
    <row r="14" spans="1:31">
      <c r="A14" t="s">
        <v>224</v>
      </c>
    </row>
    <row r="15" spans="1:31">
      <c r="A15" t="s">
        <v>225</v>
      </c>
      <c r="E15">
        <v>1594</v>
      </c>
      <c r="I15">
        <v>1189.56</v>
      </c>
      <c r="L15">
        <v>1436.89</v>
      </c>
      <c r="O15">
        <v>1329.89</v>
      </c>
      <c r="Q15">
        <v>2066.2600000000002</v>
      </c>
      <c r="S15">
        <v>1864.03</v>
      </c>
      <c r="U15">
        <v>1620.28</v>
      </c>
      <c r="W15">
        <v>1259.1600000000001</v>
      </c>
      <c r="Y15">
        <v>1704.29</v>
      </c>
      <c r="AA15">
        <v>1029.99</v>
      </c>
      <c r="AC15">
        <v>964.03</v>
      </c>
      <c r="AE15">
        <v>1079</v>
      </c>
    </row>
    <row r="16" spans="1:31">
      <c r="A16" t="s">
        <v>226</v>
      </c>
      <c r="E16">
        <v>66.489999999999995</v>
      </c>
      <c r="I16">
        <v>25.6</v>
      </c>
      <c r="L16">
        <v>61.42</v>
      </c>
      <c r="O16">
        <v>31.49</v>
      </c>
      <c r="Q16">
        <v>15.1</v>
      </c>
      <c r="S16">
        <v>14.27</v>
      </c>
      <c r="U16">
        <v>9.07</v>
      </c>
      <c r="W16">
        <v>9.2100000000000009</v>
      </c>
      <c r="Y16" s="229">
        <f>8.6</f>
        <v>8.6</v>
      </c>
      <c r="AA16" s="229">
        <v>3.62</v>
      </c>
      <c r="AC16" s="229">
        <v>3.71</v>
      </c>
      <c r="AE16" s="229">
        <v>0</v>
      </c>
    </row>
    <row r="17" spans="1:32">
      <c r="A17" t="s">
        <v>227</v>
      </c>
      <c r="E17">
        <v>9.7200000000000006</v>
      </c>
      <c r="I17">
        <v>17.04</v>
      </c>
      <c r="L17">
        <v>11.54</v>
      </c>
      <c r="O17">
        <v>7.62</v>
      </c>
      <c r="Q17">
        <v>15.41</v>
      </c>
      <c r="S17">
        <v>13.78</v>
      </c>
      <c r="U17">
        <v>14.6</v>
      </c>
      <c r="W17">
        <v>10.32</v>
      </c>
      <c r="Y17">
        <v>4.4400000000000004</v>
      </c>
      <c r="AA17">
        <v>6</v>
      </c>
      <c r="AC17">
        <v>7.12</v>
      </c>
      <c r="AE17">
        <v>6.1</v>
      </c>
    </row>
    <row r="18" spans="1:32">
      <c r="A18" t="s">
        <v>228</v>
      </c>
      <c r="E18">
        <f>E13-E15-E16-E17</f>
        <v>578.21</v>
      </c>
      <c r="I18">
        <f>I13-I15-I16-I17</f>
        <v>534.08000000000004</v>
      </c>
      <c r="L18">
        <f>L13-L15-L16-L17</f>
        <v>574.97000000000014</v>
      </c>
      <c r="O18">
        <f>O13-O15-O16-O17</f>
        <v>525.7299999999999</v>
      </c>
      <c r="Q18">
        <f>Q13-Q15-Q16-Q17</f>
        <v>488.55999999999966</v>
      </c>
      <c r="S18">
        <f>S13-S15-S16-S17</f>
        <v>450.18000000000029</v>
      </c>
      <c r="U18">
        <f>U13-U15-U16-U17</f>
        <v>418.62000000000018</v>
      </c>
      <c r="W18">
        <f>W13-W15-W16-W17</f>
        <v>418.96000000000004</v>
      </c>
      <c r="Y18">
        <f>Y13-Y15-Y16-Y17</f>
        <v>332.86000000000007</v>
      </c>
      <c r="AA18">
        <f>AA13-AA15-AA16-AA17</f>
        <v>352.94999999999993</v>
      </c>
      <c r="AC18">
        <f>AC13-AC15-AC16-AC17</f>
        <v>333.05000000000013</v>
      </c>
      <c r="AE18">
        <f>AE13-AE15-AE16-AE17</f>
        <v>295.49999999999989</v>
      </c>
    </row>
    <row r="19" spans="1:32">
      <c r="A19" t="s">
        <v>229</v>
      </c>
      <c r="E19">
        <v>194.62</v>
      </c>
      <c r="F19" s="59">
        <f>E19/E18</f>
        <v>0.33659051209768076</v>
      </c>
      <c r="I19">
        <v>156.38999999999999</v>
      </c>
      <c r="J19" s="59">
        <f>I19/I18</f>
        <v>0.29282130017974828</v>
      </c>
      <c r="L19">
        <v>198.09</v>
      </c>
      <c r="M19" s="59">
        <f>L19/L18</f>
        <v>0.34452232290380358</v>
      </c>
      <c r="O19">
        <v>157.29</v>
      </c>
      <c r="P19" s="59">
        <f>O19/O18</f>
        <v>0.29918399178285437</v>
      </c>
      <c r="Q19">
        <v>141.80000000000001</v>
      </c>
      <c r="R19" s="59">
        <f>Q19/Q18</f>
        <v>0.29024070738496832</v>
      </c>
      <c r="S19">
        <v>137.66999999999999</v>
      </c>
      <c r="T19" s="59">
        <f>S19/S18</f>
        <v>0.30581100892976121</v>
      </c>
      <c r="U19">
        <v>127.67</v>
      </c>
      <c r="V19" s="59">
        <f>U19/U18</f>
        <v>0.30497826190817434</v>
      </c>
      <c r="W19">
        <v>123.55</v>
      </c>
      <c r="X19" s="59">
        <f>W19/W18</f>
        <v>0.29489688753102916</v>
      </c>
      <c r="Y19">
        <v>96.3</v>
      </c>
      <c r="Z19" s="59">
        <f>Y19/Y18</f>
        <v>0.28931082136634012</v>
      </c>
      <c r="AA19">
        <v>94.14</v>
      </c>
      <c r="AB19" s="230">
        <f>AA19/AA18</f>
        <v>0.26672333191670211</v>
      </c>
      <c r="AC19">
        <v>108.62</v>
      </c>
      <c r="AD19" s="230">
        <f>AC19/AC18</f>
        <v>0.32613721663413892</v>
      </c>
      <c r="AE19">
        <v>93.8</v>
      </c>
      <c r="AF19" s="230">
        <f>AE19/AE18</f>
        <v>0.31742808798646371</v>
      </c>
    </row>
    <row r="20" spans="1:32">
      <c r="A20" t="s">
        <v>230</v>
      </c>
      <c r="E20">
        <f>E18-E19</f>
        <v>383.59000000000003</v>
      </c>
      <c r="F20" s="59">
        <f>E20/E18</f>
        <v>0.66340948790231924</v>
      </c>
      <c r="I20">
        <f>I18-I19</f>
        <v>377.69000000000005</v>
      </c>
      <c r="J20" s="59">
        <f>I20/I18</f>
        <v>0.70717869982025172</v>
      </c>
      <c r="L20">
        <f>L18-L19</f>
        <v>376.88000000000011</v>
      </c>
      <c r="M20" s="59">
        <f>L20/L18</f>
        <v>0.65547767709619631</v>
      </c>
      <c r="O20">
        <f>O18-O19</f>
        <v>368.43999999999994</v>
      </c>
      <c r="P20" s="59">
        <f>O20/O18</f>
        <v>0.70081600821714574</v>
      </c>
      <c r="Q20">
        <f>Q18-Q19</f>
        <v>346.75999999999965</v>
      </c>
      <c r="R20" s="59">
        <f>Q20/Q18</f>
        <v>0.70975929261503168</v>
      </c>
      <c r="S20">
        <f>S18-S19</f>
        <v>312.51000000000033</v>
      </c>
      <c r="T20" s="59">
        <f>S20/S18</f>
        <v>0.6941889910702389</v>
      </c>
      <c r="U20">
        <f>U18-U19</f>
        <v>290.95000000000016</v>
      </c>
      <c r="V20" s="59">
        <f>U20/U18</f>
        <v>0.69502173809182566</v>
      </c>
      <c r="W20">
        <f>W18-W19</f>
        <v>295.41000000000003</v>
      </c>
      <c r="X20" s="59">
        <f>W20/W18</f>
        <v>0.70510311246897084</v>
      </c>
      <c r="Y20">
        <f>Y18-Y19</f>
        <v>236.56000000000006</v>
      </c>
      <c r="Z20" s="59">
        <f>Y20/Y18</f>
        <v>0.71068917863365988</v>
      </c>
      <c r="AA20">
        <f>AA18-AA19</f>
        <v>258.80999999999995</v>
      </c>
      <c r="AB20" s="230">
        <f>AA20/AA18</f>
        <v>0.73327666808329794</v>
      </c>
      <c r="AC20">
        <f>AC18-AC19</f>
        <v>224.43000000000012</v>
      </c>
      <c r="AD20" s="230">
        <f>AC20/AC18</f>
        <v>0.67386278336586114</v>
      </c>
      <c r="AE20">
        <f>AE18-AE19</f>
        <v>201.69999999999987</v>
      </c>
      <c r="AF20" s="230">
        <f>AE20/AE18</f>
        <v>0.68257191201353618</v>
      </c>
    </row>
    <row r="22" spans="1:32">
      <c r="L22" t="s">
        <v>231</v>
      </c>
    </row>
    <row r="23" spans="1:32">
      <c r="L23" t="s">
        <v>232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"/>
  <sheetViews>
    <sheetView workbookViewId="0">
      <selection activeCell="C91" sqref="C91"/>
    </sheetView>
  </sheetViews>
  <sheetFormatPr defaultRowHeight="14.5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H9"/>
  <sheetViews>
    <sheetView view="pageBreakPreview" zoomScale="60" zoomScaleNormal="100" workbookViewId="0">
      <selection activeCell="N17" sqref="N17"/>
    </sheetView>
  </sheetViews>
  <sheetFormatPr defaultRowHeight="14.5"/>
  <cols>
    <col min="1" max="1" width="11.54296875" customWidth="1"/>
    <col min="2" max="2" width="15.81640625" customWidth="1"/>
    <col min="3" max="3" width="29" customWidth="1"/>
    <col min="15" max="15" width="11.54296875" customWidth="1"/>
    <col min="16" max="16" width="16" customWidth="1"/>
    <col min="17" max="17" width="29" customWidth="1"/>
    <col min="29" max="29" width="11.54296875" customWidth="1"/>
    <col min="30" max="30" width="16" customWidth="1"/>
    <col min="31" max="31" width="29" customWidth="1"/>
  </cols>
  <sheetData>
    <row r="1" spans="1:34" ht="52.5" customHeight="1">
      <c r="A1" s="265" t="s">
        <v>233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36"/>
      <c r="P1" s="36"/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>
      <c r="A2" t="s">
        <v>234</v>
      </c>
    </row>
    <row r="3" spans="1:34">
      <c r="A3" t="s">
        <v>235</v>
      </c>
    </row>
    <row r="4" spans="1:34">
      <c r="A4" s="264" t="s">
        <v>236</v>
      </c>
      <c r="B4" s="264"/>
      <c r="C4" s="264"/>
      <c r="D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</row>
    <row r="5" spans="1:34" ht="36.75" customHeight="1">
      <c r="A5" t="s">
        <v>237</v>
      </c>
      <c r="B5" t="s">
        <v>238</v>
      </c>
      <c r="C5" t="s">
        <v>239</v>
      </c>
      <c r="D5">
        <v>1992</v>
      </c>
      <c r="E5">
        <v>1993</v>
      </c>
      <c r="F5">
        <v>1994</v>
      </c>
      <c r="G5">
        <v>1995</v>
      </c>
      <c r="H5">
        <v>1996</v>
      </c>
      <c r="I5">
        <v>1997</v>
      </c>
      <c r="J5">
        <v>1998</v>
      </c>
      <c r="K5">
        <v>1999</v>
      </c>
      <c r="L5">
        <v>2000</v>
      </c>
      <c r="M5">
        <v>2001</v>
      </c>
      <c r="N5">
        <v>2002</v>
      </c>
      <c r="O5" t="s">
        <v>237</v>
      </c>
      <c r="P5" t="s">
        <v>238</v>
      </c>
      <c r="Q5" t="s">
        <v>239</v>
      </c>
      <c r="R5">
        <v>2003</v>
      </c>
      <c r="S5">
        <v>2004</v>
      </c>
      <c r="T5">
        <v>2005</v>
      </c>
      <c r="U5">
        <v>2006</v>
      </c>
      <c r="V5">
        <v>2007</v>
      </c>
      <c r="W5">
        <v>2008</v>
      </c>
      <c r="X5">
        <v>2009</v>
      </c>
      <c r="Y5">
        <v>2010</v>
      </c>
      <c r="Z5">
        <v>2011</v>
      </c>
      <c r="AA5">
        <v>2012</v>
      </c>
      <c r="AB5">
        <v>2013</v>
      </c>
      <c r="AC5" t="s">
        <v>237</v>
      </c>
      <c r="AD5" t="s">
        <v>238</v>
      </c>
      <c r="AE5" t="s">
        <v>239</v>
      </c>
      <c r="AF5">
        <v>2014</v>
      </c>
      <c r="AG5">
        <v>2015</v>
      </c>
      <c r="AH5">
        <v>2016</v>
      </c>
    </row>
    <row r="6" spans="1:34" ht="32.25" customHeight="1">
      <c r="A6" s="37" t="s">
        <v>240</v>
      </c>
      <c r="B6" s="36" t="s">
        <v>241</v>
      </c>
      <c r="C6" s="35" t="s">
        <v>242</v>
      </c>
      <c r="D6">
        <v>72.599999999999994</v>
      </c>
      <c r="E6">
        <v>73.5</v>
      </c>
      <c r="F6">
        <v>74.599999999999994</v>
      </c>
      <c r="G6">
        <v>76.3</v>
      </c>
      <c r="H6">
        <v>77.599999999999994</v>
      </c>
      <c r="I6">
        <v>78.5</v>
      </c>
      <c r="J6">
        <v>78.400000000000006</v>
      </c>
      <c r="K6">
        <v>79.8</v>
      </c>
      <c r="L6">
        <v>83.3</v>
      </c>
      <c r="M6">
        <v>84.7</v>
      </c>
      <c r="N6">
        <v>85.7</v>
      </c>
      <c r="O6" s="37" t="s">
        <v>240</v>
      </c>
      <c r="P6" s="36" t="s">
        <v>241</v>
      </c>
      <c r="Q6" s="35" t="s">
        <v>242</v>
      </c>
      <c r="R6">
        <v>88.5</v>
      </c>
      <c r="S6">
        <v>91.4</v>
      </c>
      <c r="T6">
        <v>94.3</v>
      </c>
      <c r="U6">
        <v>96.8</v>
      </c>
      <c r="V6">
        <v>100</v>
      </c>
      <c r="W6">
        <v>104</v>
      </c>
      <c r="X6">
        <v>101.6</v>
      </c>
      <c r="Y6">
        <v>104.5</v>
      </c>
      <c r="Z6">
        <v>107.9</v>
      </c>
      <c r="AA6">
        <v>109.2</v>
      </c>
      <c r="AB6">
        <v>111</v>
      </c>
      <c r="AC6" s="37" t="s">
        <v>240</v>
      </c>
      <c r="AD6" s="36" t="s">
        <v>241</v>
      </c>
      <c r="AE6" s="35" t="s">
        <v>242</v>
      </c>
      <c r="AF6">
        <v>113.1</v>
      </c>
      <c r="AG6">
        <v>112.2</v>
      </c>
      <c r="AH6">
        <v>112.9</v>
      </c>
    </row>
    <row r="7" spans="1:34" ht="22.5" customHeight="1">
      <c r="A7" t="s">
        <v>243</v>
      </c>
    </row>
    <row r="8" spans="1:34">
      <c r="A8" t="s">
        <v>244</v>
      </c>
    </row>
    <row r="9" spans="1:34">
      <c r="A9" t="s">
        <v>245</v>
      </c>
    </row>
  </sheetData>
  <mergeCells count="3">
    <mergeCell ref="A4:D4"/>
    <mergeCell ref="M4:Z4"/>
    <mergeCell ref="A1:N1"/>
  </mergeCells>
  <pageMargins left="0.7" right="0.7" top="0.75" bottom="0.75" header="0.3" footer="0.3"/>
  <pageSetup scale="75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"/>
  <sheetViews>
    <sheetView workbookViewId="0">
      <selection activeCell="F43" sqref="F43"/>
    </sheetView>
  </sheetViews>
  <sheetFormatPr defaultRowHeight="14.5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E10"/>
  <sheetViews>
    <sheetView workbookViewId="0">
      <selection activeCell="D4" sqref="D4:D7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s="40" customFormat="1" ht="20.149999999999999" customHeight="1" thickBot="1">
      <c r="A1" s="266" t="s">
        <v>246</v>
      </c>
      <c r="B1" s="266"/>
      <c r="C1" s="266"/>
      <c r="D1" s="266"/>
      <c r="E1" s="266"/>
    </row>
    <row r="2" spans="1:5" ht="52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1700.3</v>
      </c>
      <c r="E4" s="33">
        <v>76830946.777999997</v>
      </c>
    </row>
    <row r="5" spans="1:5">
      <c r="A5" s="31" t="s">
        <v>254</v>
      </c>
      <c r="B5" s="31" t="s">
        <v>255</v>
      </c>
      <c r="C5" s="31" t="s">
        <v>257</v>
      </c>
      <c r="D5" s="32">
        <v>33.26</v>
      </c>
      <c r="E5" s="33">
        <v>828526.17</v>
      </c>
    </row>
    <row r="6" spans="1:5">
      <c r="A6" s="31" t="s">
        <v>254</v>
      </c>
      <c r="B6" s="31" t="s">
        <v>258</v>
      </c>
      <c r="C6" s="31" t="s">
        <v>256</v>
      </c>
      <c r="D6" s="32">
        <v>35.880000000000003</v>
      </c>
      <c r="E6" s="33">
        <v>935228.11600000004</v>
      </c>
    </row>
    <row r="7" spans="1:5">
      <c r="A7" s="31" t="s">
        <v>254</v>
      </c>
      <c r="B7" s="31" t="s">
        <v>258</v>
      </c>
      <c r="C7" s="31" t="s">
        <v>257</v>
      </c>
      <c r="D7" s="32">
        <v>38.79</v>
      </c>
      <c r="E7" s="33">
        <v>1109483.128</v>
      </c>
    </row>
    <row r="10" spans="1:5" ht="20.149999999999999" customHeight="1"/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E7"/>
  <sheetViews>
    <sheetView workbookViewId="0">
      <selection activeCell="D7" sqref="D7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259</v>
      </c>
      <c r="B1" s="266"/>
      <c r="C1" s="266"/>
      <c r="D1" s="266"/>
      <c r="E1" s="266"/>
    </row>
    <row r="2" spans="1:5" ht="52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1620.8</v>
      </c>
      <c r="E4" s="33">
        <v>78360198.997999996</v>
      </c>
    </row>
    <row r="5" spans="1:5">
      <c r="A5" s="31" t="s">
        <v>254</v>
      </c>
      <c r="B5" s="31" t="s">
        <v>255</v>
      </c>
      <c r="C5" s="31" t="s">
        <v>257</v>
      </c>
      <c r="D5" s="32">
        <v>30.23</v>
      </c>
      <c r="E5" s="33">
        <v>744433.73199999996</v>
      </c>
    </row>
    <row r="6" spans="1:5">
      <c r="A6" s="31" t="s">
        <v>254</v>
      </c>
      <c r="B6" s="31" t="s">
        <v>258</v>
      </c>
      <c r="C6" s="31" t="s">
        <v>256</v>
      </c>
      <c r="D6" s="32">
        <v>61.84</v>
      </c>
      <c r="E6" s="33">
        <v>2282277.5099999998</v>
      </c>
    </row>
    <row r="7" spans="1:5">
      <c r="A7" s="31" t="s">
        <v>254</v>
      </c>
      <c r="B7" s="31" t="s">
        <v>258</v>
      </c>
      <c r="C7" s="31" t="s">
        <v>257</v>
      </c>
      <c r="D7" s="32">
        <v>45.55</v>
      </c>
      <c r="E7" s="33">
        <v>1515274.6440000001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/>
  <dimension ref="A1:E7"/>
  <sheetViews>
    <sheetView workbookViewId="0">
      <selection sqref="A1:E1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260</v>
      </c>
      <c r="B1" s="266"/>
      <c r="C1" s="266"/>
      <c r="D1" s="266"/>
      <c r="E1" s="266"/>
    </row>
    <row r="2" spans="1:5" ht="54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1714.64</v>
      </c>
      <c r="E4" s="33">
        <v>88954978.047000006</v>
      </c>
    </row>
    <row r="5" spans="1:5">
      <c r="A5" s="31" t="s">
        <v>254</v>
      </c>
      <c r="B5" s="31" t="s">
        <v>255</v>
      </c>
      <c r="C5" s="31" t="s">
        <v>257</v>
      </c>
      <c r="D5" s="32">
        <v>29.58</v>
      </c>
      <c r="E5" s="33">
        <v>795496.83299999998</v>
      </c>
    </row>
    <row r="6" spans="1:5">
      <c r="A6" s="31" t="s">
        <v>254</v>
      </c>
      <c r="B6" s="31" t="s">
        <v>258</v>
      </c>
      <c r="C6" s="31" t="s">
        <v>256</v>
      </c>
      <c r="D6" s="32">
        <v>92.86</v>
      </c>
      <c r="E6" s="33">
        <v>4048282.162</v>
      </c>
    </row>
    <row r="7" spans="1:5">
      <c r="A7" s="31" t="s">
        <v>254</v>
      </c>
      <c r="B7" s="31" t="s">
        <v>258</v>
      </c>
      <c r="C7" s="31" t="s">
        <v>257</v>
      </c>
      <c r="D7" s="32">
        <v>31.36</v>
      </c>
      <c r="E7" s="33">
        <v>1090107.28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E7"/>
  <sheetViews>
    <sheetView workbookViewId="0">
      <selection activeCell="A2" sqref="A2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261</v>
      </c>
      <c r="B1" s="266"/>
      <c r="C1" s="266"/>
      <c r="D1" s="266"/>
      <c r="E1" s="266"/>
    </row>
    <row r="2" spans="1:5" ht="54.7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1739.89</v>
      </c>
      <c r="E4" s="33">
        <v>97064599.047000006</v>
      </c>
    </row>
    <row r="5" spans="1:5">
      <c r="A5" s="31" t="s">
        <v>254</v>
      </c>
      <c r="B5" s="31" t="s">
        <v>255</v>
      </c>
      <c r="C5" s="31" t="s">
        <v>257</v>
      </c>
      <c r="D5" s="32">
        <v>25.42</v>
      </c>
      <c r="E5" s="33">
        <v>706766.52800000005</v>
      </c>
    </row>
    <row r="6" spans="1:5">
      <c r="A6" s="31" t="s">
        <v>254</v>
      </c>
      <c r="B6" s="31" t="s">
        <v>258</v>
      </c>
      <c r="C6" s="31" t="s">
        <v>256</v>
      </c>
      <c r="D6" s="32">
        <v>95.61</v>
      </c>
      <c r="E6" s="33">
        <v>4135593.0350000001</v>
      </c>
    </row>
    <row r="7" spans="1:5">
      <c r="A7" s="31" t="s">
        <v>254</v>
      </c>
      <c r="B7" s="31" t="s">
        <v>258</v>
      </c>
      <c r="C7" s="31" t="s">
        <v>257</v>
      </c>
      <c r="D7" s="32">
        <v>27.84</v>
      </c>
      <c r="E7" s="33">
        <v>1043936.499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37"/>
  <sheetViews>
    <sheetView showGridLines="0" topLeftCell="A7" zoomScale="75" zoomScaleNormal="75" workbookViewId="0">
      <selection activeCell="D33" sqref="D33"/>
    </sheetView>
  </sheetViews>
  <sheetFormatPr defaultRowHeight="14.5"/>
  <cols>
    <col min="2" max="2" width="6.54296875" customWidth="1"/>
    <col min="3" max="3" width="23.54296875" customWidth="1"/>
    <col min="4" max="4" width="20.453125" customWidth="1"/>
    <col min="5" max="5" width="20.81640625" customWidth="1"/>
    <col min="6" max="6" width="16.453125" customWidth="1"/>
  </cols>
  <sheetData>
    <row r="2" spans="2:6" ht="21">
      <c r="B2" s="13" t="str">
        <f ca="1">MID(CELL("filename",A6),FIND("]",CELL("filename",A6))+1,256)</f>
        <v>Labor Calculation</v>
      </c>
      <c r="C2" s="13"/>
      <c r="D2" s="13"/>
      <c r="E2" s="13"/>
      <c r="F2" s="13"/>
    </row>
    <row r="4" spans="2:6">
      <c r="B4" s="14" t="s">
        <v>0</v>
      </c>
      <c r="C4" s="4"/>
      <c r="D4" s="15"/>
    </row>
    <row r="5" spans="2:6">
      <c r="B5" s="16" t="s">
        <v>1</v>
      </c>
      <c r="C5" s="8"/>
      <c r="D5" s="17"/>
    </row>
    <row r="7" spans="2:6" ht="15.5">
      <c r="B7" s="5" t="str">
        <f ca="1">B2</f>
        <v>Labor Calculation</v>
      </c>
      <c r="C7" s="18"/>
      <c r="D7" s="18"/>
      <c r="E7" s="18"/>
      <c r="F7" s="18"/>
    </row>
    <row r="8" spans="2:6">
      <c r="B8" s="6"/>
      <c r="C8" s="19"/>
      <c r="D8" s="3"/>
      <c r="E8" s="3"/>
      <c r="F8" s="3"/>
    </row>
    <row r="9" spans="2:6">
      <c r="B9" s="7" t="s">
        <v>2</v>
      </c>
      <c r="C9" s="20"/>
      <c r="D9" s="20" t="s">
        <v>3</v>
      </c>
      <c r="E9" s="20"/>
      <c r="F9" s="20"/>
    </row>
    <row r="11" spans="2:6" ht="29"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</row>
    <row r="12" spans="2:6">
      <c r="B12" s="22"/>
      <c r="C12" s="22"/>
      <c r="D12" s="22" t="s">
        <v>9</v>
      </c>
      <c r="E12" s="22" t="s">
        <v>10</v>
      </c>
      <c r="F12" s="22" t="s">
        <v>11</v>
      </c>
    </row>
    <row r="13" spans="2:6">
      <c r="B13" s="24">
        <v>1992</v>
      </c>
      <c r="C13" s="24" t="s">
        <v>12</v>
      </c>
      <c r="D13" s="12">
        <f>INDEX('Calendar Year Conversions'!E$13:E$37,MATCH('Labor Calculation'!$B13,'Calendar Year Conversions'!$D$13:$D$37,0))</f>
        <v>1303.75</v>
      </c>
      <c r="E13" s="12" t="e">
        <f>INDEX('Calendar Year Conversions'!F$13:F$37,MATCH('Labor Calculation'!$B13,'Calendar Year Conversions'!$D$13:$D$37,0))</f>
        <v>#REF!</v>
      </c>
      <c r="F13" s="27" t="e">
        <f>((E13*1000000)/D13)</f>
        <v>#REF!</v>
      </c>
    </row>
    <row r="14" spans="2:6">
      <c r="B14" s="24">
        <v>1993</v>
      </c>
      <c r="C14" s="24" t="s">
        <v>12</v>
      </c>
      <c r="D14" s="12">
        <f>INDEX('Calendar Year Conversions'!E$13:E$37,MATCH('Labor Calculation'!$B14,'Calendar Year Conversions'!$D$13:$D$37,0))</f>
        <v>1317</v>
      </c>
      <c r="E14" s="12" t="e">
        <f>INDEX('Calendar Year Conversions'!F$13:F$37,MATCH('Labor Calculation'!$B14,'Calendar Year Conversions'!$D$13:$D$37,0))</f>
        <v>#REF!</v>
      </c>
      <c r="F14" s="27" t="e">
        <f t="shared" ref="F14:F37" si="0">((E14*1000000)/D14)</f>
        <v>#REF!</v>
      </c>
    </row>
    <row r="15" spans="2:6">
      <c r="B15" s="24">
        <v>1994</v>
      </c>
      <c r="C15" s="24" t="s">
        <v>12</v>
      </c>
      <c r="D15" s="12">
        <f>INDEX('Calendar Year Conversions'!E$13:E$37,MATCH('Labor Calculation'!$B15,'Calendar Year Conversions'!$D$13:$D$37,0))</f>
        <v>1334.25</v>
      </c>
      <c r="E15" s="12" t="e">
        <f>INDEX('Calendar Year Conversions'!F$13:F$37,MATCH('Labor Calculation'!$B15,'Calendar Year Conversions'!$D$13:$D$37,0))</f>
        <v>#REF!</v>
      </c>
      <c r="F15" s="27" t="e">
        <f t="shared" si="0"/>
        <v>#REF!</v>
      </c>
    </row>
    <row r="16" spans="2:6">
      <c r="B16" s="24">
        <v>1995</v>
      </c>
      <c r="C16" s="24" t="s">
        <v>12</v>
      </c>
      <c r="D16" s="12">
        <f>INDEX('Calendar Year Conversions'!E$13:E$37,MATCH('Labor Calculation'!$B16,'Calendar Year Conversions'!$D$13:$D$37,0))</f>
        <v>1348.5</v>
      </c>
      <c r="E16" s="12" t="e">
        <f>INDEX('Calendar Year Conversions'!F$13:F$37,MATCH('Labor Calculation'!$B16,'Calendar Year Conversions'!$D$13:$D$37,0))</f>
        <v>#REF!</v>
      </c>
      <c r="F16" s="27" t="e">
        <f t="shared" si="0"/>
        <v>#REF!</v>
      </c>
    </row>
    <row r="17" spans="2:6">
      <c r="B17" s="24">
        <v>1996</v>
      </c>
      <c r="C17" s="24" t="s">
        <v>12</v>
      </c>
      <c r="D17" s="12">
        <f>INDEX('Calendar Year Conversions'!E$13:E$37,MATCH('Labor Calculation'!$B17,'Calendar Year Conversions'!$D$13:$D$37,0))</f>
        <v>1421.25</v>
      </c>
      <c r="E17" s="12" t="e">
        <f>INDEX('Calendar Year Conversions'!F$13:F$37,MATCH('Labor Calculation'!$B17,'Calendar Year Conversions'!$D$13:$D$37,0))</f>
        <v>#REF!</v>
      </c>
      <c r="F17" s="27" t="e">
        <f t="shared" si="0"/>
        <v>#REF!</v>
      </c>
    </row>
    <row r="18" spans="2:6">
      <c r="B18" s="24">
        <v>1997</v>
      </c>
      <c r="C18" s="24" t="s">
        <v>12</v>
      </c>
      <c r="D18" s="12">
        <f>INDEX('Calendar Year Conversions'!E$13:E$37,MATCH('Labor Calculation'!$B18,'Calendar Year Conversions'!$D$13:$D$37,0))</f>
        <v>1601.5287499999999</v>
      </c>
      <c r="E18" s="12" t="e">
        <f>INDEX('Calendar Year Conversions'!F$13:F$37,MATCH('Labor Calculation'!$B18,'Calendar Year Conversions'!$D$13:$D$37,0))</f>
        <v>#REF!</v>
      </c>
      <c r="F18" s="27" t="e">
        <f t="shared" si="0"/>
        <v>#REF!</v>
      </c>
    </row>
    <row r="19" spans="2:6">
      <c r="B19" s="24">
        <v>1998</v>
      </c>
      <c r="C19" s="24" t="s">
        <v>12</v>
      </c>
      <c r="D19" s="12">
        <f>INDEX('Calendar Year Conversions'!E$13:E$37,MATCH('Labor Calculation'!$B19,'Calendar Year Conversions'!$D$13:$D$37,0))</f>
        <v>1690.115</v>
      </c>
      <c r="E19" s="12" t="e">
        <f>INDEX('Calendar Year Conversions'!F$13:F$37,MATCH('Labor Calculation'!$B19,'Calendar Year Conversions'!$D$13:$D$37,0))</f>
        <v>#REF!</v>
      </c>
      <c r="F19" s="27" t="e">
        <f t="shared" si="0"/>
        <v>#REF!</v>
      </c>
    </row>
    <row r="20" spans="2:6">
      <c r="B20" s="24">
        <v>1999</v>
      </c>
      <c r="C20" s="24" t="s">
        <v>12</v>
      </c>
      <c r="D20" s="12">
        <f>INDEX('Calendar Year Conversions'!E$13:E$37,MATCH('Labor Calculation'!$B20,'Calendar Year Conversions'!$D$13:$D$37,0))</f>
        <v>1719.6437500000002</v>
      </c>
      <c r="E20" s="12" t="e">
        <f>INDEX('Calendar Year Conversions'!F$13:F$37,MATCH('Labor Calculation'!$B20,'Calendar Year Conversions'!$D$13:$D$37,0))</f>
        <v>#REF!</v>
      </c>
      <c r="F20" s="27" t="e">
        <f t="shared" si="0"/>
        <v>#REF!</v>
      </c>
    </row>
    <row r="21" spans="2:6">
      <c r="B21" s="24">
        <v>2000</v>
      </c>
      <c r="C21" s="24" t="s">
        <v>12</v>
      </c>
      <c r="D21" s="12">
        <f>INDEX('Calendar Year Conversions'!E$13:E$37,MATCH('Labor Calculation'!$B21,'Calendar Year Conversions'!$D$13:$D$37,0))</f>
        <v>1784.5050000000001</v>
      </c>
      <c r="E21" s="12" t="e">
        <f>INDEX('Calendar Year Conversions'!F$13:F$37,MATCH('Labor Calculation'!$B21,'Calendar Year Conversions'!$D$13:$D$37,0))</f>
        <v>#REF!</v>
      </c>
      <c r="F21" s="27" t="e">
        <f t="shared" si="0"/>
        <v>#REF!</v>
      </c>
    </row>
    <row r="22" spans="2:6">
      <c r="B22" s="24">
        <v>2001</v>
      </c>
      <c r="C22" s="24" t="s">
        <v>12</v>
      </c>
      <c r="D22" s="12">
        <f>INDEX('Calendar Year Conversions'!E$13:E$37,MATCH('Labor Calculation'!$B22,'Calendar Year Conversions'!$D$13:$D$37,0))</f>
        <v>1724.6025000000002</v>
      </c>
      <c r="E22" s="12" t="e">
        <f>INDEX('Calendar Year Conversions'!F$13:F$37,MATCH('Labor Calculation'!$B22,'Calendar Year Conversions'!$D$13:$D$37,0))</f>
        <v>#REF!</v>
      </c>
      <c r="F22" s="27" t="e">
        <f t="shared" si="0"/>
        <v>#REF!</v>
      </c>
    </row>
    <row r="23" spans="2:6">
      <c r="B23" s="24">
        <v>2002</v>
      </c>
      <c r="C23" s="24" t="s">
        <v>12</v>
      </c>
      <c r="D23" s="12">
        <f>INDEX('Calendar Year Conversions'!E$13:E$37,MATCH('Labor Calculation'!$B23,'Calendar Year Conversions'!$D$13:$D$37,0))</f>
        <v>1785.9249999999997</v>
      </c>
      <c r="E23" s="12" t="e">
        <f>INDEX('Calendar Year Conversions'!F$13:F$37,MATCH('Labor Calculation'!$B23,'Calendar Year Conversions'!$D$13:$D$37,0))</f>
        <v>#REF!</v>
      </c>
      <c r="F23" s="27" t="e">
        <f t="shared" si="0"/>
        <v>#REF!</v>
      </c>
    </row>
    <row r="24" spans="2:6">
      <c r="B24" s="24">
        <v>2003</v>
      </c>
      <c r="C24" s="24" t="s">
        <v>12</v>
      </c>
      <c r="D24" s="12">
        <f>INDEX('Calendar Year Conversions'!E$13:E$37,MATCH('Labor Calculation'!$B24,'Calendar Year Conversions'!$D$13:$D$37,0))</f>
        <v>1873.52</v>
      </c>
      <c r="E24" s="12" t="e">
        <f>INDEX('Calendar Year Conversions'!F$13:F$37,MATCH('Labor Calculation'!$B24,'Calendar Year Conversions'!$D$13:$D$37,0))</f>
        <v>#REF!</v>
      </c>
      <c r="F24" s="27" t="e">
        <f t="shared" si="0"/>
        <v>#REF!</v>
      </c>
    </row>
    <row r="25" spans="2:6">
      <c r="B25" s="24">
        <v>2004</v>
      </c>
      <c r="C25" s="24" t="s">
        <v>12</v>
      </c>
      <c r="D25" s="12">
        <f>INDEX('Calendar Year Conversions'!E$13:E$37,MATCH('Labor Calculation'!$B25,'Calendar Year Conversions'!$D$13:$D$37,0))</f>
        <v>1915.25</v>
      </c>
      <c r="E25" s="12" t="e">
        <f>INDEX('Calendar Year Conversions'!F$13:F$37,MATCH('Labor Calculation'!$B25,'Calendar Year Conversions'!$D$13:$D$37,0))</f>
        <v>#REF!</v>
      </c>
      <c r="F25" s="27" t="e">
        <f t="shared" si="0"/>
        <v>#REF!</v>
      </c>
    </row>
    <row r="26" spans="2:6">
      <c r="B26" s="24">
        <v>2005</v>
      </c>
      <c r="C26" s="24" t="s">
        <v>12</v>
      </c>
      <c r="D26" s="12">
        <f>INDEX('Calendar Year Conversions'!E$13:E$37,MATCH('Labor Calculation'!$B26,'Calendar Year Conversions'!$D$13:$D$37,0))</f>
        <v>1994.72</v>
      </c>
      <c r="E26" s="12" t="e">
        <f>INDEX('Calendar Year Conversions'!F$13:F$37,MATCH('Labor Calculation'!$B26,'Calendar Year Conversions'!$D$13:$D$37,0))</f>
        <v>#REF!</v>
      </c>
      <c r="F26" s="27" t="e">
        <f t="shared" si="0"/>
        <v>#REF!</v>
      </c>
    </row>
    <row r="27" spans="2:6">
      <c r="B27" s="24">
        <v>2006</v>
      </c>
      <c r="C27" s="24" t="s">
        <v>12</v>
      </c>
      <c r="D27" s="12">
        <f>INDEX('Calendar Year Conversions'!E$13:E$37,MATCH('Labor Calculation'!$B27,'Calendar Year Conversions'!$D$13:$D$37,0))</f>
        <v>1923.85</v>
      </c>
      <c r="E27" s="12" t="e">
        <f>INDEX('Calendar Year Conversions'!F$13:F$37,MATCH('Labor Calculation'!$B27,'Calendar Year Conversions'!$D$13:$D$37,0))</f>
        <v>#REF!</v>
      </c>
      <c r="F27" s="27" t="e">
        <f t="shared" si="0"/>
        <v>#REF!</v>
      </c>
    </row>
    <row r="28" spans="2:6">
      <c r="B28" s="24">
        <v>2007</v>
      </c>
      <c r="C28" s="24" t="s">
        <v>12</v>
      </c>
      <c r="D28" s="12">
        <f>INDEX('Calendar Year Conversions'!E$13:E$37,MATCH('Labor Calculation'!$B28,'Calendar Year Conversions'!$D$13:$D$37,0))</f>
        <v>1992.63</v>
      </c>
      <c r="E28" s="12" t="e">
        <f>INDEX('Calendar Year Conversions'!F$13:F$37,MATCH('Labor Calculation'!$B28,'Calendar Year Conversions'!$D$13:$D$37,0))</f>
        <v>#REF!</v>
      </c>
      <c r="F28" s="27" t="e">
        <f t="shared" si="0"/>
        <v>#REF!</v>
      </c>
    </row>
    <row r="29" spans="2:6">
      <c r="B29" s="24">
        <v>2008</v>
      </c>
      <c r="C29" s="24" t="s">
        <v>12</v>
      </c>
      <c r="D29" s="12">
        <f>INDEX('Calendar Year Conversions'!E$13:E$37,MATCH('Labor Calculation'!$B29,'Calendar Year Conversions'!$D$13:$D$37,0))</f>
        <v>1940.14</v>
      </c>
      <c r="E29" s="12" t="e">
        <f>INDEX('Calendar Year Conversions'!F$13:F$37,MATCH('Labor Calculation'!$B29,'Calendar Year Conversions'!$D$13:$D$37,0))</f>
        <v>#REF!</v>
      </c>
      <c r="F29" s="27" t="e">
        <f t="shared" si="0"/>
        <v>#REF!</v>
      </c>
    </row>
    <row r="30" spans="2:6">
      <c r="B30" s="24">
        <v>2009</v>
      </c>
      <c r="C30" s="24" t="s">
        <v>12</v>
      </c>
      <c r="D30" s="12">
        <f>INDEX('Calendar Year Conversions'!E$13:E$37,MATCH('Labor Calculation'!$B30,'Calendar Year Conversions'!$D$13:$D$37,0))</f>
        <v>1887.2799999999997</v>
      </c>
      <c r="E30" s="12" t="e">
        <f>INDEX('Calendar Year Conversions'!F$13:F$37,MATCH('Labor Calculation'!$B30,'Calendar Year Conversions'!$D$13:$D$37,0))</f>
        <v>#REF!</v>
      </c>
      <c r="F30" s="27" t="e">
        <f t="shared" si="0"/>
        <v>#REF!</v>
      </c>
    </row>
    <row r="31" spans="2:6">
      <c r="B31" s="24">
        <v>2010</v>
      </c>
      <c r="C31" s="24" t="s">
        <v>12</v>
      </c>
      <c r="D31" s="12">
        <f>INDEX('Calendar Year Conversions'!E$13:E$37,MATCH('Labor Calculation'!$B31,'Calendar Year Conversions'!$D$13:$D$37,0))</f>
        <v>1942.3200000000002</v>
      </c>
      <c r="E31" s="12" t="e">
        <f>INDEX('Calendar Year Conversions'!F$13:F$37,MATCH('Labor Calculation'!$B31,'Calendar Year Conversions'!$D$13:$D$37,0))</f>
        <v>#REF!</v>
      </c>
      <c r="F31" s="27" t="e">
        <f t="shared" si="0"/>
        <v>#REF!</v>
      </c>
    </row>
    <row r="32" spans="2:6">
      <c r="B32" s="24">
        <v>2011</v>
      </c>
      <c r="C32" s="24" t="s">
        <v>12</v>
      </c>
      <c r="D32" s="12">
        <f>INDEX('Calendar Year Conversions'!E$13:E$37,MATCH('Labor Calculation'!$B32,'Calendar Year Conversions'!$D$13:$D$37,0))</f>
        <v>2008.27</v>
      </c>
      <c r="E32" s="12" t="e">
        <f>INDEX('Calendar Year Conversions'!F$13:F$37,MATCH('Labor Calculation'!$B32,'Calendar Year Conversions'!$D$13:$D$37,0))</f>
        <v>#REF!</v>
      </c>
      <c r="F32" s="27" t="e">
        <f t="shared" si="0"/>
        <v>#REF!</v>
      </c>
    </row>
    <row r="33" spans="2:6">
      <c r="B33" s="24">
        <v>2012</v>
      </c>
      <c r="C33" s="24" t="s">
        <v>12</v>
      </c>
      <c r="D33" s="12">
        <f>INDEX('Calendar Year Conversions'!E$13:E$37,MATCH('Labor Calculation'!$B33,'Calendar Year Conversions'!$D$13:$D$37,0))</f>
        <v>2103.67</v>
      </c>
      <c r="E33" s="12" t="e">
        <f>INDEX('Calendar Year Conversions'!F$13:F$37,MATCH('Labor Calculation'!$B33,'Calendar Year Conversions'!$D$13:$D$37,0))</f>
        <v>#REF!</v>
      </c>
      <c r="F33" s="27" t="e">
        <f t="shared" si="0"/>
        <v>#REF!</v>
      </c>
    </row>
    <row r="34" spans="2:6">
      <c r="B34" s="24">
        <v>2013</v>
      </c>
      <c r="C34" s="24" t="s">
        <v>12</v>
      </c>
      <c r="D34" s="12">
        <f>INDEX('Calendar Year Conversions'!E$13:E$37,MATCH('Labor Calculation'!$B34,'Calendar Year Conversions'!$D$13:$D$37,0))</f>
        <v>2213.3000000000002</v>
      </c>
      <c r="E34" s="12" t="e">
        <f>INDEX('Calendar Year Conversions'!F$13:F$37,MATCH('Labor Calculation'!$B34,'Calendar Year Conversions'!$D$13:$D$37,0))</f>
        <v>#REF!</v>
      </c>
      <c r="F34" s="27" t="e">
        <f t="shared" si="0"/>
        <v>#REF!</v>
      </c>
    </row>
    <row r="35" spans="2:6">
      <c r="B35" s="24">
        <v>2014</v>
      </c>
      <c r="C35" s="24" t="s">
        <v>12</v>
      </c>
      <c r="D35" s="12">
        <f>INDEX('Calendar Year Conversions'!E$13:E$37,MATCH('Labor Calculation'!$B35,'Calendar Year Conversions'!$D$13:$D$37,0))</f>
        <v>2186.29</v>
      </c>
      <c r="E35" s="12" t="e">
        <f>INDEX('Calendar Year Conversions'!F$13:F$37,MATCH('Labor Calculation'!$B35,'Calendar Year Conversions'!$D$13:$D$37,0))</f>
        <v>#REF!</v>
      </c>
      <c r="F35" s="27" t="e">
        <f t="shared" si="0"/>
        <v>#REF!</v>
      </c>
    </row>
    <row r="36" spans="2:6">
      <c r="B36" s="24">
        <v>2015</v>
      </c>
      <c r="C36" s="24" t="s">
        <v>12</v>
      </c>
      <c r="D36" s="12">
        <f>INDEX('Calendar Year Conversions'!E$13:E$37,MATCH('Labor Calculation'!$B36,'Calendar Year Conversions'!$D$13:$D$37,0))</f>
        <v>2113.4</v>
      </c>
      <c r="E36" s="12" t="e">
        <f>INDEX('Calendar Year Conversions'!F$13:F$37,MATCH('Labor Calculation'!$B36,'Calendar Year Conversions'!$D$13:$D$37,0))</f>
        <v>#REF!</v>
      </c>
      <c r="F36" s="27" t="e">
        <f t="shared" si="0"/>
        <v>#REF!</v>
      </c>
    </row>
    <row r="37" spans="2:6">
      <c r="B37" s="24">
        <v>2016</v>
      </c>
      <c r="C37" s="24" t="s">
        <v>12</v>
      </c>
      <c r="D37" s="12">
        <f>INDEX('Calendar Year Conversions'!E$13:E$37,MATCH('Labor Calculation'!$B37,'Calendar Year Conversions'!$D$13:$D$37,0))</f>
        <v>2052.31</v>
      </c>
      <c r="E37" s="12" t="e">
        <f>INDEX('Calendar Year Conversions'!F$13:F$37,MATCH('Labor Calculation'!$B37,'Calendar Year Conversions'!$D$13:$D$37,0))</f>
        <v>#REF!</v>
      </c>
      <c r="F37" s="27" t="e">
        <f t="shared" si="0"/>
        <v>#REF!</v>
      </c>
    </row>
  </sheetData>
  <pageMargins left="0.2" right="0.2" top="0.75" bottom="0.75" header="0.3" footer="0.3"/>
  <pageSetup scale="90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/>
  <dimension ref="A1:E92"/>
  <sheetViews>
    <sheetView workbookViewId="0">
      <selection activeCell="C13" sqref="C13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262</v>
      </c>
      <c r="B1" s="266"/>
      <c r="C1" s="266"/>
      <c r="D1" s="266"/>
      <c r="E1" s="266"/>
    </row>
    <row r="2" spans="1:5" ht="55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1812.21</v>
      </c>
      <c r="E4" s="238">
        <v>107783658.40899999</v>
      </c>
    </row>
    <row r="5" spans="1:5">
      <c r="A5" s="31" t="s">
        <v>254</v>
      </c>
      <c r="B5" s="31" t="s">
        <v>255</v>
      </c>
      <c r="C5" s="31" t="s">
        <v>257</v>
      </c>
      <c r="D5" s="32">
        <v>23.69</v>
      </c>
      <c r="E5" s="238">
        <v>742040.179</v>
      </c>
    </row>
    <row r="6" spans="1:5">
      <c r="A6" s="31" t="s">
        <v>254</v>
      </c>
      <c r="B6" s="31" t="s">
        <v>258</v>
      </c>
      <c r="C6" s="31" t="s">
        <v>256</v>
      </c>
      <c r="D6" s="32">
        <v>141.19999999999999</v>
      </c>
      <c r="E6" s="238">
        <v>6116959.1869999999</v>
      </c>
    </row>
    <row r="7" spans="1:5">
      <c r="A7" s="31" t="s">
        <v>254</v>
      </c>
      <c r="B7" s="31" t="s">
        <v>258</v>
      </c>
      <c r="C7" s="31" t="s">
        <v>257</v>
      </c>
      <c r="D7" s="32">
        <v>17.62</v>
      </c>
      <c r="E7" s="238">
        <v>720893.55599999998</v>
      </c>
    </row>
    <row r="92" spans="3:3">
      <c r="C92" s="39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E7"/>
  <sheetViews>
    <sheetView workbookViewId="0">
      <selection activeCell="E4" sqref="E4:E10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263</v>
      </c>
      <c r="B1" s="266"/>
      <c r="C1" s="266"/>
      <c r="D1" s="266"/>
      <c r="E1" s="266"/>
    </row>
    <row r="2" spans="1:5" ht="51.7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1809.3</v>
      </c>
      <c r="E4" s="33">
        <v>115971155.008</v>
      </c>
    </row>
    <row r="5" spans="1:5">
      <c r="A5" s="31" t="s">
        <v>254</v>
      </c>
      <c r="B5" s="31" t="s">
        <v>255</v>
      </c>
      <c r="C5" s="31" t="s">
        <v>257</v>
      </c>
      <c r="D5" s="32">
        <v>24.87</v>
      </c>
      <c r="E5" s="33">
        <v>835896.35199999996</v>
      </c>
    </row>
    <row r="6" spans="1:5">
      <c r="A6" s="31" t="s">
        <v>254</v>
      </c>
      <c r="B6" s="31" t="s">
        <v>258</v>
      </c>
      <c r="C6" s="31" t="s">
        <v>256</v>
      </c>
      <c r="D6" s="32">
        <v>69.53</v>
      </c>
      <c r="E6" s="33">
        <v>3342681.4389999998</v>
      </c>
    </row>
    <row r="7" spans="1:5">
      <c r="A7" s="31" t="s">
        <v>254</v>
      </c>
      <c r="B7" s="31" t="s">
        <v>258</v>
      </c>
      <c r="C7" s="31" t="s">
        <v>257</v>
      </c>
      <c r="D7" s="32">
        <v>20.149999999999999</v>
      </c>
      <c r="E7" s="33">
        <v>885003.08700000006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E7"/>
  <sheetViews>
    <sheetView workbookViewId="0">
      <selection activeCell="E40" sqref="E40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7" t="s">
        <v>264</v>
      </c>
      <c r="B1" s="267"/>
      <c r="C1" s="267"/>
      <c r="D1" s="267"/>
      <c r="E1" s="267"/>
    </row>
    <row r="2" spans="1:5" ht="54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1880.9</v>
      </c>
      <c r="E4" s="33">
        <v>122892627.912</v>
      </c>
    </row>
    <row r="5" spans="1:5">
      <c r="A5" s="31" t="s">
        <v>254</v>
      </c>
      <c r="B5" s="31" t="s">
        <v>255</v>
      </c>
      <c r="C5" s="31" t="s">
        <v>257</v>
      </c>
      <c r="D5" s="32">
        <v>21.47</v>
      </c>
      <c r="E5" s="33">
        <v>727535.12100000004</v>
      </c>
    </row>
    <row r="6" spans="1:5">
      <c r="A6" s="31" t="s">
        <v>254</v>
      </c>
      <c r="B6" s="31" t="s">
        <v>258</v>
      </c>
      <c r="C6" s="31" t="s">
        <v>256</v>
      </c>
      <c r="D6" s="32">
        <v>75.13</v>
      </c>
      <c r="E6" s="33">
        <v>3767824.9580000001</v>
      </c>
    </row>
    <row r="7" spans="1:5">
      <c r="A7" s="31" t="s">
        <v>254</v>
      </c>
      <c r="B7" s="31" t="s">
        <v>258</v>
      </c>
      <c r="C7" s="31" t="s">
        <v>257</v>
      </c>
      <c r="D7" s="32">
        <v>15.13</v>
      </c>
      <c r="E7" s="33">
        <v>742328.29399999999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/>
  <dimension ref="A1:E7"/>
  <sheetViews>
    <sheetView workbookViewId="0">
      <selection sqref="A1:E1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265</v>
      </c>
      <c r="B1" s="266"/>
      <c r="C1" s="266"/>
      <c r="D1" s="266"/>
      <c r="E1" s="266"/>
    </row>
    <row r="2" spans="1:5" ht="51.7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1621.41</v>
      </c>
      <c r="E4" s="33">
        <v>75461161.642000005</v>
      </c>
    </row>
    <row r="5" spans="1:5">
      <c r="A5" s="31" t="s">
        <v>254</v>
      </c>
      <c r="B5" s="31" t="s">
        <v>255</v>
      </c>
      <c r="C5" s="31" t="s">
        <v>257</v>
      </c>
      <c r="D5" s="32">
        <v>30.41</v>
      </c>
      <c r="E5" s="33">
        <v>743495.51800000004</v>
      </c>
    </row>
    <row r="6" spans="1:5">
      <c r="A6" s="31" t="s">
        <v>254</v>
      </c>
      <c r="B6" s="31" t="s">
        <v>258</v>
      </c>
      <c r="C6" s="31" t="s">
        <v>256</v>
      </c>
      <c r="D6" s="32">
        <v>47.02</v>
      </c>
      <c r="E6" s="33">
        <v>1629813.9</v>
      </c>
    </row>
    <row r="7" spans="1:5">
      <c r="A7" s="31" t="s">
        <v>254</v>
      </c>
      <c r="B7" s="31" t="s">
        <v>258</v>
      </c>
      <c r="C7" s="31" t="s">
        <v>257</v>
      </c>
      <c r="D7" s="32">
        <v>14.49</v>
      </c>
      <c r="E7" s="33">
        <v>400650.12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7"/>
  <sheetViews>
    <sheetView workbookViewId="0">
      <selection activeCell="E4" sqref="E4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266</v>
      </c>
      <c r="B1" s="266"/>
      <c r="C1" s="266"/>
      <c r="D1" s="266"/>
      <c r="E1" s="266"/>
    </row>
    <row r="2" spans="1:5" ht="53.2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1858.96</v>
      </c>
      <c r="E4" s="33">
        <v>124382860.252</v>
      </c>
    </row>
    <row r="5" spans="1:5">
      <c r="A5" s="31" t="s">
        <v>254</v>
      </c>
      <c r="B5" s="31" t="s">
        <v>255</v>
      </c>
      <c r="C5" s="31" t="s">
        <v>257</v>
      </c>
      <c r="D5" s="32">
        <v>17.940000000000001</v>
      </c>
      <c r="E5" s="33">
        <v>605975.12699999998</v>
      </c>
    </row>
    <row r="6" spans="1:5">
      <c r="A6" s="31" t="s">
        <v>254</v>
      </c>
      <c r="B6" s="31" t="s">
        <v>258</v>
      </c>
      <c r="C6" s="31" t="s">
        <v>256</v>
      </c>
      <c r="D6" s="32">
        <v>48.25</v>
      </c>
      <c r="E6" s="33">
        <v>2451880.2769999998</v>
      </c>
    </row>
    <row r="7" spans="1:5">
      <c r="A7" s="31" t="s">
        <v>254</v>
      </c>
      <c r="B7" s="31" t="s">
        <v>258</v>
      </c>
      <c r="C7" s="31" t="s">
        <v>257</v>
      </c>
      <c r="D7" s="32">
        <v>14.99</v>
      </c>
      <c r="E7" s="33">
        <v>931365.89399999997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E7"/>
  <sheetViews>
    <sheetView workbookViewId="0">
      <selection activeCell="A2" sqref="A2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267</v>
      </c>
      <c r="B1" s="266"/>
      <c r="C1" s="266"/>
      <c r="D1" s="266"/>
      <c r="E1" s="266"/>
    </row>
    <row r="2" spans="1:5" ht="52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1801.05</v>
      </c>
      <c r="E4" s="33">
        <v>126763949.642</v>
      </c>
    </row>
    <row r="5" spans="1:5">
      <c r="A5" s="31" t="s">
        <v>254</v>
      </c>
      <c r="B5" s="31" t="s">
        <v>255</v>
      </c>
      <c r="C5" s="31" t="s">
        <v>257</v>
      </c>
      <c r="D5" s="32">
        <v>17.09</v>
      </c>
      <c r="E5" s="33">
        <v>631122.08700000006</v>
      </c>
    </row>
    <row r="6" spans="1:5">
      <c r="A6" s="31" t="s">
        <v>254</v>
      </c>
      <c r="B6" s="31" t="s">
        <v>258</v>
      </c>
      <c r="C6" s="31" t="s">
        <v>256</v>
      </c>
      <c r="D6" s="32">
        <v>53.84</v>
      </c>
      <c r="E6" s="33">
        <v>2698635.94</v>
      </c>
    </row>
    <row r="7" spans="1:5">
      <c r="A7" s="31" t="s">
        <v>254</v>
      </c>
      <c r="B7" s="31" t="s">
        <v>258</v>
      </c>
      <c r="C7" s="31" t="s">
        <v>257</v>
      </c>
      <c r="D7" s="32">
        <v>15.3</v>
      </c>
      <c r="E7" s="33">
        <v>1004501.395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/>
  <dimension ref="A1:E7"/>
  <sheetViews>
    <sheetView workbookViewId="0">
      <selection activeCell="E4" sqref="E4:E8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268</v>
      </c>
      <c r="B1" s="266"/>
      <c r="C1" s="266"/>
      <c r="D1" s="266"/>
      <c r="E1" s="266"/>
    </row>
    <row r="2" spans="1:5" ht="52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1797.98</v>
      </c>
      <c r="E4" s="33">
        <v>133007325.616</v>
      </c>
    </row>
    <row r="5" spans="1:5">
      <c r="A5" s="31" t="s">
        <v>254</v>
      </c>
      <c r="B5" s="31" t="s">
        <v>255</v>
      </c>
      <c r="C5" s="31" t="s">
        <v>257</v>
      </c>
      <c r="D5" s="32">
        <v>16.66</v>
      </c>
      <c r="E5" s="33">
        <v>688544.59299999999</v>
      </c>
    </row>
    <row r="6" spans="1:5">
      <c r="A6" s="31" t="s">
        <v>254</v>
      </c>
      <c r="B6" s="31" t="s">
        <v>258</v>
      </c>
      <c r="C6" s="31" t="s">
        <v>256</v>
      </c>
      <c r="D6" s="32">
        <v>106.72</v>
      </c>
      <c r="E6" s="33">
        <v>5701504.6699999999</v>
      </c>
    </row>
    <row r="7" spans="1:5">
      <c r="A7" s="31" t="s">
        <v>254</v>
      </c>
      <c r="B7" s="31" t="s">
        <v>258</v>
      </c>
      <c r="C7" s="31" t="s">
        <v>257</v>
      </c>
      <c r="D7" s="32">
        <v>20.96</v>
      </c>
      <c r="E7" s="33">
        <v>1540853.398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/>
  <dimension ref="A1:E7"/>
  <sheetViews>
    <sheetView workbookViewId="0">
      <selection activeCell="A2" sqref="A2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269</v>
      </c>
      <c r="B1" s="266"/>
      <c r="C1" s="266"/>
      <c r="D1" s="266"/>
      <c r="E1" s="266"/>
    </row>
    <row r="2" spans="1:5" ht="53.2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1869.66</v>
      </c>
      <c r="E4" s="33">
        <v>144818177.796</v>
      </c>
    </row>
    <row r="5" spans="1:5">
      <c r="A5" s="31" t="s">
        <v>254</v>
      </c>
      <c r="B5" s="31" t="s">
        <v>255</v>
      </c>
      <c r="C5" s="31" t="s">
        <v>257</v>
      </c>
      <c r="D5" s="32">
        <v>13.33</v>
      </c>
      <c r="E5" s="33">
        <v>600728.65</v>
      </c>
    </row>
    <row r="6" spans="1:5">
      <c r="A6" s="31" t="s">
        <v>254</v>
      </c>
      <c r="B6" s="31" t="s">
        <v>258</v>
      </c>
      <c r="C6" s="31" t="s">
        <v>256</v>
      </c>
      <c r="D6" s="32">
        <v>101.24</v>
      </c>
      <c r="E6" s="33">
        <v>5602795.0599999996</v>
      </c>
    </row>
    <row r="7" spans="1:5">
      <c r="A7" s="31" t="s">
        <v>254</v>
      </c>
      <c r="B7" s="31" t="s">
        <v>258</v>
      </c>
      <c r="C7" s="31" t="s">
        <v>257</v>
      </c>
      <c r="D7" s="32">
        <v>24.04</v>
      </c>
      <c r="E7" s="33">
        <v>1721001.1359999999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/>
  <dimension ref="A1:E8"/>
  <sheetViews>
    <sheetView workbookViewId="0">
      <selection activeCell="E4" sqref="E4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270</v>
      </c>
      <c r="B1" s="266"/>
      <c r="C1" s="266"/>
      <c r="D1" s="266"/>
      <c r="E1" s="266"/>
    </row>
    <row r="2" spans="1:5" ht="54.7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1977.19</v>
      </c>
      <c r="E4" s="238">
        <v>159064949.854</v>
      </c>
    </row>
    <row r="5" spans="1:5">
      <c r="A5" s="31" t="s">
        <v>254</v>
      </c>
      <c r="B5" s="31" t="s">
        <v>255</v>
      </c>
      <c r="C5" s="31" t="s">
        <v>257</v>
      </c>
      <c r="D5" s="32">
        <v>16.32</v>
      </c>
      <c r="E5" s="238">
        <v>996935.35499999998</v>
      </c>
    </row>
    <row r="6" spans="1:5">
      <c r="A6" s="31" t="s">
        <v>254</v>
      </c>
      <c r="B6" s="31" t="s">
        <v>258</v>
      </c>
      <c r="C6" s="31" t="s">
        <v>256</v>
      </c>
      <c r="D6" s="32">
        <v>93.88</v>
      </c>
      <c r="E6" s="238">
        <v>5673008.6569999997</v>
      </c>
    </row>
    <row r="7" spans="1:5">
      <c r="A7" s="31" t="s">
        <v>254</v>
      </c>
      <c r="B7" s="31" t="s">
        <v>258</v>
      </c>
      <c r="C7" s="31" t="s">
        <v>257</v>
      </c>
      <c r="D7" s="32">
        <v>16.28</v>
      </c>
      <c r="E7" s="238">
        <v>1335851.44</v>
      </c>
    </row>
    <row r="8" spans="1:5">
      <c r="E8" s="238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E7"/>
  <sheetViews>
    <sheetView workbookViewId="0">
      <selection activeCell="E4" sqref="E4:E7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271</v>
      </c>
      <c r="B1" s="266"/>
      <c r="C1" s="266"/>
      <c r="D1" s="266"/>
      <c r="E1" s="266"/>
    </row>
    <row r="2" spans="1:5" ht="49.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2047.05</v>
      </c>
      <c r="E4" s="33">
        <v>168844856.13999999</v>
      </c>
    </row>
    <row r="5" spans="1:5">
      <c r="A5" s="31" t="s">
        <v>254</v>
      </c>
      <c r="B5" s="31" t="s">
        <v>255</v>
      </c>
      <c r="C5" s="31" t="s">
        <v>257</v>
      </c>
      <c r="D5" s="32">
        <v>37.5</v>
      </c>
      <c r="E5" s="33">
        <v>2139512.2439999999</v>
      </c>
    </row>
    <row r="6" spans="1:5">
      <c r="A6" s="31" t="s">
        <v>254</v>
      </c>
      <c r="B6" s="31" t="s">
        <v>258</v>
      </c>
      <c r="C6" s="31" t="s">
        <v>256</v>
      </c>
      <c r="D6" s="32">
        <v>118</v>
      </c>
      <c r="E6" s="33">
        <v>7666876.2640000004</v>
      </c>
    </row>
    <row r="7" spans="1:5">
      <c r="A7" s="31" t="s">
        <v>254</v>
      </c>
      <c r="B7" s="31" t="s">
        <v>258</v>
      </c>
      <c r="C7" s="31" t="s">
        <v>257</v>
      </c>
      <c r="D7" s="32">
        <v>10.75</v>
      </c>
      <c r="E7" s="33">
        <v>877943.08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"/>
  <sheetViews>
    <sheetView workbookViewId="0">
      <selection activeCell="C91" sqref="C91"/>
    </sheetView>
  </sheetViews>
  <sheetFormatPr defaultRowHeight="14.5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E7"/>
  <sheetViews>
    <sheetView workbookViewId="0">
      <selection activeCell="A2" sqref="A2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272</v>
      </c>
      <c r="B1" s="266"/>
      <c r="C1" s="266"/>
      <c r="D1" s="266"/>
      <c r="E1" s="266"/>
    </row>
    <row r="2" spans="1:5" ht="50.2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32">
        <v>2057</v>
      </c>
      <c r="E4" s="33">
        <v>172714228.53</v>
      </c>
    </row>
    <row r="5" spans="1:5">
      <c r="A5" s="31" t="s">
        <v>254</v>
      </c>
      <c r="B5" s="31" t="s">
        <v>255</v>
      </c>
      <c r="C5" s="31" t="s">
        <v>257</v>
      </c>
      <c r="D5" s="32">
        <v>34.83</v>
      </c>
      <c r="E5" s="33">
        <v>2113125.7480000001</v>
      </c>
    </row>
    <row r="6" spans="1:5">
      <c r="A6" s="31" t="s">
        <v>254</v>
      </c>
      <c r="B6" s="31" t="s">
        <v>258</v>
      </c>
      <c r="C6" s="31" t="s">
        <v>256</v>
      </c>
      <c r="D6" s="32">
        <v>84</v>
      </c>
      <c r="E6" s="33">
        <v>5793204.4500000002</v>
      </c>
    </row>
    <row r="7" spans="1:5">
      <c r="A7" s="31" t="s">
        <v>254</v>
      </c>
      <c r="B7" s="31" t="s">
        <v>258</v>
      </c>
      <c r="C7" s="31" t="s">
        <v>257</v>
      </c>
      <c r="D7" s="32">
        <v>10.46</v>
      </c>
      <c r="E7" s="33">
        <v>851849.04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/>
  <dimension ref="A1:E7"/>
  <sheetViews>
    <sheetView tabSelected="1" workbookViewId="0">
      <selection activeCell="E17" sqref="E17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273</v>
      </c>
      <c r="B1" s="266"/>
      <c r="C1" s="266"/>
      <c r="D1" s="266"/>
      <c r="E1" s="266"/>
    </row>
    <row r="2" spans="1:5" ht="51.75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239">
        <v>1990</v>
      </c>
      <c r="E4" s="33">
        <v>170023912.898</v>
      </c>
    </row>
    <row r="5" spans="1:5">
      <c r="A5" s="31" t="s">
        <v>254</v>
      </c>
      <c r="B5" s="31" t="s">
        <v>255</v>
      </c>
      <c r="C5" s="31" t="s">
        <v>257</v>
      </c>
      <c r="D5" s="239">
        <v>34.119999999999997</v>
      </c>
      <c r="E5" s="33">
        <v>2137406.5789999999</v>
      </c>
    </row>
    <row r="6" spans="1:5">
      <c r="A6" s="31" t="s">
        <v>254</v>
      </c>
      <c r="B6" s="31" t="s">
        <v>258</v>
      </c>
      <c r="C6" s="31" t="s">
        <v>256</v>
      </c>
      <c r="D6" s="239">
        <v>81</v>
      </c>
      <c r="E6" s="33">
        <v>5999435.5800000001</v>
      </c>
    </row>
    <row r="7" spans="1:5">
      <c r="A7" s="31" t="s">
        <v>254</v>
      </c>
      <c r="B7" s="31" t="s">
        <v>258</v>
      </c>
      <c r="C7" s="31" t="s">
        <v>257</v>
      </c>
      <c r="D7" s="239">
        <v>8.2799999999999994</v>
      </c>
      <c r="E7" s="33">
        <v>513925.88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/>
  <dimension ref="A1:E10"/>
  <sheetViews>
    <sheetView workbookViewId="0">
      <selection activeCell="E4" sqref="E4"/>
    </sheetView>
  </sheetViews>
  <sheetFormatPr defaultColWidth="9.1796875" defaultRowHeight="12.5"/>
  <cols>
    <col min="1" max="1" width="16.453125" style="30" customWidth="1"/>
    <col min="2" max="2" width="10.54296875" style="30" customWidth="1"/>
    <col min="3" max="3" width="12.1796875" style="30" customWidth="1"/>
    <col min="4" max="4" width="24.453125" style="30" customWidth="1"/>
    <col min="5" max="5" width="25.1796875" style="30" customWidth="1"/>
    <col min="6" max="256" width="9.54296875" style="30" customWidth="1"/>
    <col min="257" max="16384" width="9.1796875" style="30"/>
  </cols>
  <sheetData>
    <row r="1" spans="1:5" ht="19.5" customHeight="1" thickBot="1">
      <c r="A1" s="266" t="s">
        <v>274</v>
      </c>
      <c r="B1" s="266"/>
      <c r="C1" s="266"/>
      <c r="D1" s="266"/>
      <c r="E1" s="266"/>
    </row>
    <row r="2" spans="1:5" ht="51" customHeight="1" thickTop="1" thickBot="1">
      <c r="A2" s="38" t="s">
        <v>247</v>
      </c>
      <c r="B2" s="29" t="s">
        <v>248</v>
      </c>
    </row>
    <row r="3" spans="1:5" ht="14" thickTop="1" thickBot="1">
      <c r="A3" s="28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</row>
    <row r="4" spans="1:5" ht="13" thickTop="1">
      <c r="A4" s="31" t="s">
        <v>254</v>
      </c>
      <c r="B4" s="31" t="s">
        <v>255</v>
      </c>
      <c r="C4" s="31" t="s">
        <v>256</v>
      </c>
      <c r="D4" s="239">
        <v>1925</v>
      </c>
      <c r="E4" s="238">
        <v>166847995.632</v>
      </c>
    </row>
    <row r="5" spans="1:5">
      <c r="A5" s="31" t="s">
        <v>254</v>
      </c>
      <c r="B5" s="31" t="s">
        <v>255</v>
      </c>
      <c r="C5" s="31" t="s">
        <v>257</v>
      </c>
      <c r="D5" s="239">
        <v>29.34</v>
      </c>
      <c r="E5" s="238">
        <v>1830879.334</v>
      </c>
    </row>
    <row r="6" spans="1:5">
      <c r="A6" s="31" t="s">
        <v>254</v>
      </c>
      <c r="B6" s="31" t="s">
        <v>258</v>
      </c>
      <c r="C6" s="31" t="s">
        <v>256</v>
      </c>
      <c r="D6" s="239">
        <v>91</v>
      </c>
      <c r="E6" s="238">
        <v>6111628.432</v>
      </c>
    </row>
    <row r="7" spans="1:5">
      <c r="A7" s="31" t="s">
        <v>254</v>
      </c>
      <c r="B7" s="31" t="s">
        <v>258</v>
      </c>
      <c r="C7" s="31" t="s">
        <v>257</v>
      </c>
      <c r="D7" s="239">
        <v>6.97</v>
      </c>
      <c r="E7" s="238">
        <v>367809.52</v>
      </c>
    </row>
    <row r="8" spans="1:5">
      <c r="D8" s="239">
        <f>SUM(D4:D7)</f>
        <v>2052.31</v>
      </c>
      <c r="E8" s="238">
        <f>SUM(E4:E7)</f>
        <v>175158312.91800001</v>
      </c>
    </row>
    <row r="9" spans="1:5">
      <c r="D9" s="239"/>
    </row>
    <row r="10" spans="1:5">
      <c r="D10" s="239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22DF-34A9-449F-91FA-8D95AA10EB0F}">
  <dimension ref="A1:N52"/>
  <sheetViews>
    <sheetView showGridLines="0" topLeftCell="A6" zoomScale="80" zoomScaleNormal="80" workbookViewId="0">
      <selection activeCell="L22" sqref="L22:L25"/>
    </sheetView>
  </sheetViews>
  <sheetFormatPr defaultRowHeight="14.5"/>
  <cols>
    <col min="1" max="13" width="21.453125" customWidth="1"/>
  </cols>
  <sheetData>
    <row r="1" spans="1:13">
      <c r="A1" s="42" t="s">
        <v>275</v>
      </c>
    </row>
    <row r="3" spans="1:13">
      <c r="A3" s="43"/>
      <c r="B3" s="43"/>
      <c r="C3" s="43"/>
      <c r="D3" s="281" t="s">
        <v>276</v>
      </c>
      <c r="E3" s="281"/>
      <c r="F3" s="281"/>
      <c r="G3" s="281" t="s">
        <v>12</v>
      </c>
      <c r="H3" s="281"/>
      <c r="I3" s="281"/>
      <c r="J3" s="278" t="s">
        <v>277</v>
      </c>
      <c r="K3" s="278" t="s">
        <v>278</v>
      </c>
      <c r="L3" s="278" t="s">
        <v>279</v>
      </c>
      <c r="M3" s="278" t="s">
        <v>280</v>
      </c>
    </row>
    <row r="4" spans="1:13" ht="15" customHeight="1">
      <c r="A4" s="274"/>
      <c r="B4" s="275"/>
      <c r="C4" s="276"/>
      <c r="D4" s="277" t="s">
        <v>281</v>
      </c>
      <c r="E4" s="277"/>
      <c r="F4" s="44" t="s">
        <v>282</v>
      </c>
      <c r="G4" s="277" t="s">
        <v>281</v>
      </c>
      <c r="H4" s="277"/>
      <c r="I4" s="44" t="s">
        <v>282</v>
      </c>
      <c r="J4" s="279"/>
      <c r="K4" s="279"/>
      <c r="L4" s="279"/>
      <c r="M4" s="279"/>
    </row>
    <row r="5" spans="1:13">
      <c r="A5" s="45" t="s">
        <v>4</v>
      </c>
      <c r="B5" s="46" t="s">
        <v>283</v>
      </c>
      <c r="C5" s="46" t="s">
        <v>284</v>
      </c>
      <c r="D5" s="47" t="s">
        <v>285</v>
      </c>
      <c r="E5" s="47" t="s">
        <v>286</v>
      </c>
      <c r="F5" s="47" t="s">
        <v>286</v>
      </c>
      <c r="G5" s="47" t="s">
        <v>285</v>
      </c>
      <c r="H5" s="47" t="s">
        <v>286</v>
      </c>
      <c r="I5" s="47" t="s">
        <v>286</v>
      </c>
      <c r="J5" s="280"/>
      <c r="K5" s="280"/>
      <c r="L5" s="280"/>
      <c r="M5" s="280"/>
    </row>
    <row r="6" spans="1:13">
      <c r="A6" s="48">
        <v>2012</v>
      </c>
      <c r="B6" s="49" t="s">
        <v>287</v>
      </c>
      <c r="C6" s="49" t="s">
        <v>288</v>
      </c>
      <c r="D6" s="50">
        <v>786</v>
      </c>
      <c r="E6" s="50">
        <v>33</v>
      </c>
      <c r="F6" s="50"/>
      <c r="G6" s="50">
        <v>581.18999999999994</v>
      </c>
      <c r="H6" s="50">
        <v>29</v>
      </c>
      <c r="I6" s="50"/>
      <c r="J6" s="268">
        <f t="shared" ref="J6" si="0">D6+D8</f>
        <v>2068</v>
      </c>
      <c r="K6" s="273">
        <f>SUM(D6:E9)</f>
        <v>2183.66</v>
      </c>
      <c r="L6" s="268">
        <f>G6+G8</f>
        <v>1977.19</v>
      </c>
      <c r="M6" s="268">
        <f>J6+L6</f>
        <v>4045.19</v>
      </c>
    </row>
    <row r="7" spans="1:13">
      <c r="A7" s="51"/>
      <c r="B7" s="52" t="s">
        <v>287</v>
      </c>
      <c r="C7" s="52" t="s">
        <v>289</v>
      </c>
      <c r="D7" s="50">
        <v>40.520000000000003</v>
      </c>
      <c r="E7" s="50">
        <v>2.8</v>
      </c>
      <c r="F7" s="50"/>
      <c r="G7" s="50">
        <v>11.489999999999997</v>
      </c>
      <c r="H7" s="50">
        <v>2.76</v>
      </c>
      <c r="I7" s="50"/>
      <c r="J7" s="269"/>
      <c r="K7" s="268"/>
      <c r="L7" s="269"/>
      <c r="M7" s="269"/>
    </row>
    <row r="8" spans="1:13">
      <c r="A8" s="51"/>
      <c r="B8" s="52" t="s">
        <v>290</v>
      </c>
      <c r="C8" s="52" t="s">
        <v>288</v>
      </c>
      <c r="D8" s="50">
        <v>1282</v>
      </c>
      <c r="E8" s="50">
        <v>14</v>
      </c>
      <c r="F8" s="50">
        <v>113</v>
      </c>
      <c r="G8" s="50">
        <v>1396</v>
      </c>
      <c r="H8" s="50">
        <v>64.88</v>
      </c>
      <c r="I8" s="50">
        <v>165</v>
      </c>
      <c r="J8" s="269"/>
      <c r="K8" s="268"/>
      <c r="L8" s="269"/>
      <c r="M8" s="269"/>
    </row>
    <row r="9" spans="1:13">
      <c r="A9" s="53"/>
      <c r="B9" s="52" t="s">
        <v>290</v>
      </c>
      <c r="C9" s="52" t="s">
        <v>289</v>
      </c>
      <c r="D9" s="50">
        <v>25.34</v>
      </c>
      <c r="E9" s="50"/>
      <c r="F9" s="50"/>
      <c r="G9" s="50">
        <v>4.83</v>
      </c>
      <c r="H9" s="50">
        <v>13.519999999999996</v>
      </c>
      <c r="I9" s="50">
        <v>134.6</v>
      </c>
      <c r="J9" s="270"/>
      <c r="K9" s="272"/>
      <c r="L9" s="270"/>
      <c r="M9" s="270"/>
    </row>
    <row r="10" spans="1:13">
      <c r="A10" s="48">
        <v>2013</v>
      </c>
      <c r="B10" s="49" t="s">
        <v>287</v>
      </c>
      <c r="C10" s="49" t="s">
        <v>288</v>
      </c>
      <c r="D10" s="50">
        <v>765</v>
      </c>
      <c r="E10" s="50">
        <v>44.6</v>
      </c>
      <c r="F10" s="50"/>
      <c r="G10" s="50">
        <v>561.04999999999995</v>
      </c>
      <c r="H10" s="50">
        <v>22</v>
      </c>
      <c r="I10" s="50"/>
      <c r="J10" s="268">
        <f t="shared" ref="J10" si="1">D10+D12</f>
        <v>2058</v>
      </c>
      <c r="K10" s="273">
        <f>SUM(D10:E13)</f>
        <v>2181.5499999999997</v>
      </c>
      <c r="L10" s="268">
        <f>G10+G12</f>
        <v>2047.05</v>
      </c>
      <c r="M10" s="268">
        <f t="shared" ref="M10" si="2">J10+L10</f>
        <v>4105.05</v>
      </c>
    </row>
    <row r="11" spans="1:13">
      <c r="A11" s="51"/>
      <c r="B11" s="52" t="s">
        <v>287</v>
      </c>
      <c r="C11" s="52" t="s">
        <v>289</v>
      </c>
      <c r="D11" s="50">
        <v>41.85</v>
      </c>
      <c r="E11" s="50">
        <v>4.4000000000000004</v>
      </c>
      <c r="F11" s="50"/>
      <c r="G11" s="50">
        <v>35.799999999999997</v>
      </c>
      <c r="H11" s="50">
        <v>3.07</v>
      </c>
      <c r="I11" s="50"/>
      <c r="J11" s="269"/>
      <c r="K11" s="268"/>
      <c r="L11" s="269"/>
      <c r="M11" s="269"/>
    </row>
    <row r="12" spans="1:13">
      <c r="A12" s="51"/>
      <c r="B12" s="52" t="s">
        <v>290</v>
      </c>
      <c r="C12" s="52" t="s">
        <v>288</v>
      </c>
      <c r="D12" s="50">
        <v>1293</v>
      </c>
      <c r="E12" s="50">
        <v>8</v>
      </c>
      <c r="F12" s="50">
        <v>129</v>
      </c>
      <c r="G12" s="50">
        <v>1486</v>
      </c>
      <c r="H12" s="50">
        <v>96</v>
      </c>
      <c r="I12" s="50">
        <v>217</v>
      </c>
      <c r="J12" s="269"/>
      <c r="K12" s="268"/>
      <c r="L12" s="269"/>
      <c r="M12" s="269"/>
    </row>
    <row r="13" spans="1:13">
      <c r="A13" s="53"/>
      <c r="B13" s="52" t="s">
        <v>290</v>
      </c>
      <c r="C13" s="52" t="s">
        <v>289</v>
      </c>
      <c r="D13" s="50">
        <v>24.7</v>
      </c>
      <c r="E13" s="50"/>
      <c r="F13" s="50"/>
      <c r="G13" s="50">
        <v>1.6999999999999997</v>
      </c>
      <c r="H13" s="50">
        <v>7.6799999999999988</v>
      </c>
      <c r="I13" s="50">
        <v>92</v>
      </c>
      <c r="J13" s="270"/>
      <c r="K13" s="272"/>
      <c r="L13" s="270"/>
      <c r="M13" s="270"/>
    </row>
    <row r="14" spans="1:13">
      <c r="A14" s="48">
        <v>2014</v>
      </c>
      <c r="B14" s="49" t="s">
        <v>287</v>
      </c>
      <c r="C14" s="49" t="s">
        <v>288</v>
      </c>
      <c r="D14" s="50">
        <v>767</v>
      </c>
      <c r="E14" s="50">
        <v>38.6</v>
      </c>
      <c r="F14" s="50"/>
      <c r="G14" s="50">
        <v>552</v>
      </c>
      <c r="H14" s="50">
        <v>25</v>
      </c>
      <c r="I14" s="50"/>
      <c r="J14" s="268">
        <f t="shared" ref="J14" si="3">D14+D16</f>
        <v>2108</v>
      </c>
      <c r="K14" s="273">
        <f>SUM(D14:E17)</f>
        <v>2219.5500000000002</v>
      </c>
      <c r="L14" s="268">
        <f>G14+G16</f>
        <v>2057</v>
      </c>
      <c r="M14" s="268">
        <f t="shared" ref="M14" si="4">J14+L14</f>
        <v>4165</v>
      </c>
    </row>
    <row r="15" spans="1:13">
      <c r="A15" s="51"/>
      <c r="B15" s="52" t="s">
        <v>287</v>
      </c>
      <c r="C15" s="52" t="s">
        <v>289</v>
      </c>
      <c r="D15" s="50">
        <v>35.9</v>
      </c>
      <c r="E15" s="50">
        <v>5</v>
      </c>
      <c r="F15" s="50"/>
      <c r="G15" s="50">
        <v>32.730000000000004</v>
      </c>
      <c r="H15" s="50">
        <v>3.38</v>
      </c>
      <c r="I15" s="50"/>
      <c r="J15" s="269"/>
      <c r="K15" s="268"/>
      <c r="L15" s="269"/>
      <c r="M15" s="269"/>
    </row>
    <row r="16" spans="1:13">
      <c r="A16" s="51"/>
      <c r="B16" s="52" t="s">
        <v>290</v>
      </c>
      <c r="C16" s="52" t="s">
        <v>288</v>
      </c>
      <c r="D16" s="50">
        <v>1341</v>
      </c>
      <c r="E16" s="50">
        <v>11</v>
      </c>
      <c r="F16" s="50">
        <v>124</v>
      </c>
      <c r="G16" s="50">
        <v>1505</v>
      </c>
      <c r="H16" s="50">
        <v>59</v>
      </c>
      <c r="I16" s="50">
        <v>156</v>
      </c>
      <c r="J16" s="269"/>
      <c r="K16" s="268"/>
      <c r="L16" s="269"/>
      <c r="M16" s="269"/>
    </row>
    <row r="17" spans="1:13">
      <c r="A17" s="53"/>
      <c r="B17" s="52" t="s">
        <v>290</v>
      </c>
      <c r="C17" s="52" t="s">
        <v>289</v>
      </c>
      <c r="D17" s="50">
        <v>21.05</v>
      </c>
      <c r="E17" s="50"/>
      <c r="F17" s="50"/>
      <c r="G17" s="50">
        <v>2.1</v>
      </c>
      <c r="H17" s="50">
        <v>7.0799999999999992</v>
      </c>
      <c r="I17" s="50">
        <v>41</v>
      </c>
      <c r="J17" s="270"/>
      <c r="K17" s="272"/>
      <c r="L17" s="270"/>
      <c r="M17" s="270"/>
    </row>
    <row r="18" spans="1:13">
      <c r="A18" s="48">
        <v>2015</v>
      </c>
      <c r="B18" s="49" t="s">
        <v>287</v>
      </c>
      <c r="C18" s="49" t="s">
        <v>288</v>
      </c>
      <c r="D18" s="50">
        <v>770</v>
      </c>
      <c r="E18" s="50">
        <v>26</v>
      </c>
      <c r="F18" s="50"/>
      <c r="G18" s="50">
        <v>550</v>
      </c>
      <c r="H18" s="50">
        <v>10</v>
      </c>
      <c r="I18" s="50"/>
      <c r="J18" s="268">
        <f t="shared" ref="J18" si="5">D18+D20</f>
        <v>2150</v>
      </c>
      <c r="K18" s="273">
        <f>SUM(D18:E21)</f>
        <v>2253.46</v>
      </c>
      <c r="L18" s="268">
        <f>G18+G20</f>
        <v>1990</v>
      </c>
      <c r="M18" s="268">
        <f t="shared" ref="M18" si="6">J18+L18</f>
        <v>4140</v>
      </c>
    </row>
    <row r="19" spans="1:13">
      <c r="A19" s="51"/>
      <c r="B19" s="52" t="s">
        <v>287</v>
      </c>
      <c r="C19" s="52" t="s">
        <v>289</v>
      </c>
      <c r="D19" s="50">
        <v>36.78</v>
      </c>
      <c r="E19" s="50">
        <v>6.4</v>
      </c>
      <c r="F19" s="50"/>
      <c r="G19" s="50">
        <v>30.860000000000007</v>
      </c>
      <c r="H19" s="50">
        <v>3</v>
      </c>
      <c r="I19" s="50"/>
      <c r="J19" s="269"/>
      <c r="K19" s="268"/>
      <c r="L19" s="269"/>
      <c r="M19" s="269"/>
    </row>
    <row r="20" spans="1:13">
      <c r="A20" s="51"/>
      <c r="B20" s="52" t="s">
        <v>290</v>
      </c>
      <c r="C20" s="52" t="s">
        <v>288</v>
      </c>
      <c r="D20" s="50">
        <v>1380</v>
      </c>
      <c r="E20" s="50">
        <v>14</v>
      </c>
      <c r="F20" s="50">
        <v>129</v>
      </c>
      <c r="G20" s="50">
        <v>1440</v>
      </c>
      <c r="H20" s="50">
        <v>71</v>
      </c>
      <c r="I20" s="50">
        <v>272</v>
      </c>
      <c r="J20" s="269"/>
      <c r="K20" s="268"/>
      <c r="L20" s="269"/>
      <c r="M20" s="269"/>
    </row>
    <row r="21" spans="1:13">
      <c r="A21" s="53"/>
      <c r="B21" s="52" t="s">
        <v>290</v>
      </c>
      <c r="C21" s="52" t="s">
        <v>289</v>
      </c>
      <c r="D21" s="50">
        <v>20.28</v>
      </c>
      <c r="E21" s="50"/>
      <c r="F21" s="50"/>
      <c r="G21" s="50">
        <v>3.26</v>
      </c>
      <c r="H21" s="50">
        <v>5.2799999999999994</v>
      </c>
      <c r="I21" s="50">
        <v>64</v>
      </c>
      <c r="J21" s="270"/>
      <c r="K21" s="272"/>
      <c r="L21" s="270"/>
      <c r="M21" s="270"/>
    </row>
    <row r="22" spans="1:13">
      <c r="A22" s="48">
        <v>2016</v>
      </c>
      <c r="B22" s="49" t="s">
        <v>287</v>
      </c>
      <c r="C22" s="49" t="s">
        <v>288</v>
      </c>
      <c r="D22" s="50">
        <v>764</v>
      </c>
      <c r="E22" s="50">
        <v>19</v>
      </c>
      <c r="F22" s="50"/>
      <c r="G22" s="50">
        <v>536</v>
      </c>
      <c r="H22" s="50">
        <v>28</v>
      </c>
      <c r="I22" s="50"/>
      <c r="J22" s="268">
        <f t="shared" ref="J22" si="7">D22+D24</f>
        <v>2179</v>
      </c>
      <c r="K22" s="273">
        <f>SUM(D22:E25)</f>
        <v>2271.61</v>
      </c>
      <c r="L22" s="268">
        <f>G22+G24</f>
        <v>1925</v>
      </c>
      <c r="M22" s="268">
        <f t="shared" ref="M22" si="8">J22+L22</f>
        <v>4104</v>
      </c>
    </row>
    <row r="23" spans="1:13">
      <c r="A23" s="51"/>
      <c r="B23" s="52" t="s">
        <v>287</v>
      </c>
      <c r="C23" s="52" t="s">
        <v>289</v>
      </c>
      <c r="D23" s="50">
        <v>35.659999999999997</v>
      </c>
      <c r="E23" s="50">
        <v>4.8</v>
      </c>
      <c r="F23" s="50"/>
      <c r="G23" s="50">
        <v>27.760000000000005</v>
      </c>
      <c r="H23" s="50">
        <v>2.69</v>
      </c>
      <c r="I23" s="50"/>
      <c r="J23" s="269"/>
      <c r="K23" s="268"/>
      <c r="L23" s="269"/>
      <c r="M23" s="269"/>
    </row>
    <row r="24" spans="1:13">
      <c r="A24" s="51"/>
      <c r="B24" s="52" t="s">
        <v>290</v>
      </c>
      <c r="C24" s="52" t="s">
        <v>288</v>
      </c>
      <c r="D24" s="50">
        <v>1415</v>
      </c>
      <c r="E24" s="50">
        <v>15</v>
      </c>
      <c r="F24" s="50">
        <v>217</v>
      </c>
      <c r="G24" s="50">
        <v>1389</v>
      </c>
      <c r="H24" s="50">
        <v>63</v>
      </c>
      <c r="I24" s="50">
        <v>260</v>
      </c>
      <c r="J24" s="269"/>
      <c r="K24" s="268"/>
      <c r="L24" s="269"/>
      <c r="M24" s="269"/>
    </row>
    <row r="25" spans="1:13">
      <c r="A25" s="53"/>
      <c r="B25" s="52" t="s">
        <v>290</v>
      </c>
      <c r="C25" s="52" t="s">
        <v>289</v>
      </c>
      <c r="D25" s="50">
        <v>17.510000000000002</v>
      </c>
      <c r="E25" s="50">
        <v>0.64</v>
      </c>
      <c r="F25" s="50"/>
      <c r="G25" s="50">
        <v>1.58</v>
      </c>
      <c r="H25" s="50">
        <v>4.28</v>
      </c>
      <c r="I25" s="50">
        <v>47</v>
      </c>
      <c r="J25" s="270"/>
      <c r="K25" s="272"/>
      <c r="L25" s="270"/>
      <c r="M25" s="270"/>
    </row>
    <row r="26" spans="1:13">
      <c r="A26" s="48">
        <v>2017</v>
      </c>
      <c r="B26" s="49" t="s">
        <v>290</v>
      </c>
      <c r="C26" s="49" t="s">
        <v>288</v>
      </c>
      <c r="D26" s="50">
        <v>1380</v>
      </c>
      <c r="E26" s="50">
        <v>2</v>
      </c>
      <c r="F26" s="50">
        <v>0</v>
      </c>
      <c r="G26" s="50">
        <v>1317</v>
      </c>
      <c r="H26" s="50">
        <v>66.625</v>
      </c>
      <c r="I26" s="50">
        <v>161</v>
      </c>
      <c r="J26" s="268">
        <f t="shared" ref="J26" si="9">D26+D28</f>
        <v>2148</v>
      </c>
      <c r="K26" s="268">
        <f t="shared" ref="K26" si="10">SUM(D26:E29)</f>
        <v>2239.46</v>
      </c>
      <c r="L26" s="268">
        <f>G26+G28</f>
        <v>1821.2249999999999</v>
      </c>
      <c r="M26" s="268">
        <f t="shared" ref="M26" si="11">J26+L26</f>
        <v>3969.2249999999999</v>
      </c>
    </row>
    <row r="27" spans="1:13">
      <c r="A27" s="51"/>
      <c r="B27" s="52" t="s">
        <v>290</v>
      </c>
      <c r="C27" s="52" t="s">
        <v>289</v>
      </c>
      <c r="D27" s="50">
        <v>12.950000000000003</v>
      </c>
      <c r="E27" s="50">
        <v>14</v>
      </c>
      <c r="F27" s="50"/>
      <c r="G27" s="50">
        <v>1.575</v>
      </c>
      <c r="H27" s="50">
        <v>5.7750000000000004</v>
      </c>
      <c r="I27" s="50">
        <v>32</v>
      </c>
      <c r="J27" s="269"/>
      <c r="K27" s="269"/>
      <c r="L27" s="269"/>
      <c r="M27" s="269"/>
    </row>
    <row r="28" spans="1:13">
      <c r="A28" s="51"/>
      <c r="B28" s="52" t="s">
        <v>287</v>
      </c>
      <c r="C28" s="52" t="s">
        <v>288</v>
      </c>
      <c r="D28" s="50">
        <v>768</v>
      </c>
      <c r="E28" s="50">
        <v>22</v>
      </c>
      <c r="F28" s="50"/>
      <c r="G28" s="50">
        <v>504.22500000000002</v>
      </c>
      <c r="H28" s="50">
        <v>21.375</v>
      </c>
      <c r="I28" s="50"/>
      <c r="J28" s="269"/>
      <c r="K28" s="269"/>
      <c r="L28" s="269"/>
      <c r="M28" s="269"/>
    </row>
    <row r="29" spans="1:13">
      <c r="A29" s="53"/>
      <c r="B29" s="52" t="s">
        <v>287</v>
      </c>
      <c r="C29" s="52" t="s">
        <v>289</v>
      </c>
      <c r="D29" s="50">
        <v>35.710000000000015</v>
      </c>
      <c r="E29" s="50">
        <v>4.8</v>
      </c>
      <c r="F29" s="50"/>
      <c r="G29" s="50">
        <v>22.960600000000003</v>
      </c>
      <c r="H29" s="50">
        <v>1.6</v>
      </c>
      <c r="I29" s="50"/>
      <c r="J29" s="270"/>
      <c r="K29" s="270"/>
      <c r="L29" s="270"/>
      <c r="M29" s="270"/>
    </row>
    <row r="30" spans="1:13">
      <c r="A30" s="48">
        <v>2018</v>
      </c>
      <c r="B30" s="49" t="s">
        <v>290</v>
      </c>
      <c r="C30" s="49" t="s">
        <v>288</v>
      </c>
      <c r="D30" s="50">
        <v>1324</v>
      </c>
      <c r="E30" s="50">
        <v>2</v>
      </c>
      <c r="F30" s="50">
        <v>0</v>
      </c>
      <c r="G30" s="50">
        <v>1314</v>
      </c>
      <c r="H30" s="50">
        <v>73</v>
      </c>
      <c r="I30" s="50">
        <v>91</v>
      </c>
      <c r="J30" s="268">
        <f t="shared" ref="J30" si="12">D30+D32</f>
        <v>2121</v>
      </c>
      <c r="K30" s="268">
        <f t="shared" ref="K30" si="13">SUM(D30:E33)</f>
        <v>2204.87</v>
      </c>
      <c r="L30" s="268">
        <f>G30+G32</f>
        <v>1825</v>
      </c>
      <c r="M30" s="268">
        <f t="shared" ref="M30" si="14">J30+L30</f>
        <v>3946</v>
      </c>
    </row>
    <row r="31" spans="1:13">
      <c r="A31" s="51"/>
      <c r="B31" s="52" t="s">
        <v>290</v>
      </c>
      <c r="C31" s="52" t="s">
        <v>289</v>
      </c>
      <c r="D31" s="50">
        <v>11.750000000000002</v>
      </c>
      <c r="E31" s="50">
        <v>5</v>
      </c>
      <c r="F31" s="50"/>
      <c r="G31" s="50">
        <v>0.7</v>
      </c>
      <c r="H31" s="50">
        <v>4.5750000000000002</v>
      </c>
      <c r="I31" s="50">
        <v>19</v>
      </c>
      <c r="J31" s="269"/>
      <c r="K31" s="269"/>
      <c r="L31" s="269"/>
      <c r="M31" s="269"/>
    </row>
    <row r="32" spans="1:13">
      <c r="A32" s="51"/>
      <c r="B32" s="52" t="s">
        <v>287</v>
      </c>
      <c r="C32" s="52" t="s">
        <v>288</v>
      </c>
      <c r="D32" s="50">
        <v>797</v>
      </c>
      <c r="E32" s="50">
        <v>24</v>
      </c>
      <c r="F32" s="50"/>
      <c r="G32" s="50">
        <v>511</v>
      </c>
      <c r="H32" s="50">
        <v>14</v>
      </c>
      <c r="I32" s="50"/>
      <c r="J32" s="269"/>
      <c r="K32" s="269"/>
      <c r="L32" s="269"/>
      <c r="M32" s="269"/>
    </row>
    <row r="33" spans="1:14">
      <c r="A33" s="53"/>
      <c r="B33" s="52" t="s">
        <v>287</v>
      </c>
      <c r="C33" s="52" t="s">
        <v>289</v>
      </c>
      <c r="D33" s="50">
        <v>34.520000000000024</v>
      </c>
      <c r="E33" s="50">
        <v>6.5999999999999988</v>
      </c>
      <c r="F33" s="50"/>
      <c r="G33" s="50">
        <v>23.1785</v>
      </c>
      <c r="H33" s="50">
        <v>0.6</v>
      </c>
      <c r="I33" s="50"/>
      <c r="J33" s="270"/>
      <c r="K33" s="270"/>
      <c r="L33" s="270"/>
      <c r="M33" s="270"/>
    </row>
    <row r="34" spans="1:14">
      <c r="A34" s="48">
        <v>2019</v>
      </c>
      <c r="B34" s="49" t="s">
        <v>290</v>
      </c>
      <c r="C34" s="49" t="s">
        <v>288</v>
      </c>
      <c r="D34" s="50">
        <v>1199</v>
      </c>
      <c r="E34" s="50">
        <v>6</v>
      </c>
      <c r="F34" s="50">
        <v>87</v>
      </c>
      <c r="G34" s="50">
        <v>1242</v>
      </c>
      <c r="H34" s="50">
        <v>14</v>
      </c>
      <c r="I34" s="50">
        <v>133</v>
      </c>
      <c r="J34" s="268">
        <f t="shared" ref="J34" si="15">D34+D36</f>
        <v>1937</v>
      </c>
      <c r="K34" s="268">
        <f t="shared" ref="K34" si="16">SUM(D34:E37)</f>
        <v>2006.2874999999999</v>
      </c>
      <c r="L34" s="268">
        <f>G34+G36</f>
        <v>1748</v>
      </c>
      <c r="M34" s="268">
        <f>J34+L34</f>
        <v>3685</v>
      </c>
    </row>
    <row r="35" spans="1:14">
      <c r="A35" s="51"/>
      <c r="B35" s="52" t="s">
        <v>290</v>
      </c>
      <c r="C35" s="52" t="s">
        <v>289</v>
      </c>
      <c r="D35" s="50">
        <v>6.0374999999999996</v>
      </c>
      <c r="E35" s="50"/>
      <c r="F35" s="50"/>
      <c r="G35" s="50"/>
      <c r="H35" s="50">
        <v>2.5750000000000002</v>
      </c>
      <c r="I35" s="50"/>
      <c r="J35" s="269"/>
      <c r="K35" s="269"/>
      <c r="L35" s="269"/>
      <c r="M35" s="269"/>
    </row>
    <row r="36" spans="1:14">
      <c r="A36" s="51"/>
      <c r="B36" s="52" t="s">
        <v>287</v>
      </c>
      <c r="C36" s="52" t="s">
        <v>288</v>
      </c>
      <c r="D36" s="50">
        <v>738</v>
      </c>
      <c r="E36" s="50">
        <v>15</v>
      </c>
      <c r="F36" s="50"/>
      <c r="G36" s="50">
        <v>506</v>
      </c>
      <c r="H36" s="50">
        <v>11</v>
      </c>
      <c r="I36" s="50"/>
      <c r="J36" s="269"/>
      <c r="K36" s="269"/>
      <c r="L36" s="269"/>
      <c r="M36" s="269"/>
    </row>
    <row r="37" spans="1:14">
      <c r="A37" s="53"/>
      <c r="B37" s="52" t="s">
        <v>287</v>
      </c>
      <c r="C37" s="52" t="s">
        <v>289</v>
      </c>
      <c r="D37" s="50">
        <v>34.97000000000002</v>
      </c>
      <c r="E37" s="50">
        <v>7.2799999999999985</v>
      </c>
      <c r="F37" s="50"/>
      <c r="G37" s="50">
        <v>18.028500000000001</v>
      </c>
      <c r="H37" s="50">
        <v>1.2</v>
      </c>
      <c r="I37" s="50"/>
      <c r="J37" s="270"/>
      <c r="K37" s="270"/>
      <c r="L37" s="270"/>
      <c r="M37" s="270"/>
    </row>
    <row r="38" spans="1:14">
      <c r="A38" s="54">
        <v>2020</v>
      </c>
      <c r="B38" s="49" t="s">
        <v>290</v>
      </c>
      <c r="C38" s="49" t="s">
        <v>288</v>
      </c>
      <c r="D38" s="50">
        <v>789</v>
      </c>
      <c r="E38" s="50">
        <v>7</v>
      </c>
      <c r="F38" s="50">
        <v>104</v>
      </c>
      <c r="G38" s="50">
        <v>1448</v>
      </c>
      <c r="H38" s="50">
        <v>22</v>
      </c>
      <c r="I38" s="50">
        <v>139</v>
      </c>
      <c r="J38" s="268">
        <f>D38+D40</f>
        <v>1430</v>
      </c>
      <c r="K38" s="268">
        <f t="shared" ref="K38" si="17">SUM(D38:E41)</f>
        <v>1498.2050000000002</v>
      </c>
      <c r="L38" s="268">
        <f>G38+G40</f>
        <v>1914</v>
      </c>
      <c r="M38" s="268">
        <f t="shared" ref="M38" si="18">J38+L38</f>
        <v>3344</v>
      </c>
    </row>
    <row r="39" spans="1:14">
      <c r="A39" s="55"/>
      <c r="B39" s="52" t="s">
        <v>290</v>
      </c>
      <c r="C39" s="52" t="s">
        <v>289</v>
      </c>
      <c r="D39" s="50">
        <v>3.8250000000000002</v>
      </c>
      <c r="E39" s="50"/>
      <c r="F39" s="50"/>
      <c r="G39" s="50">
        <v>2.35</v>
      </c>
      <c r="H39" s="50">
        <v>0.5</v>
      </c>
      <c r="I39" s="50"/>
      <c r="J39" s="269"/>
      <c r="K39" s="269"/>
      <c r="L39" s="269"/>
      <c r="M39" s="269"/>
    </row>
    <row r="40" spans="1:14">
      <c r="A40" s="55"/>
      <c r="B40" s="52" t="s">
        <v>287</v>
      </c>
      <c r="C40" s="52" t="s">
        <v>288</v>
      </c>
      <c r="D40" s="50">
        <v>641</v>
      </c>
      <c r="E40" s="50">
        <v>20</v>
      </c>
      <c r="F40" s="50"/>
      <c r="G40" s="50">
        <v>466</v>
      </c>
      <c r="H40" s="50">
        <v>18</v>
      </c>
      <c r="I40" s="50"/>
      <c r="J40" s="269"/>
      <c r="K40" s="269"/>
      <c r="L40" s="269"/>
      <c r="M40" s="269"/>
    </row>
    <row r="41" spans="1:14">
      <c r="A41" s="56"/>
      <c r="B41" s="52" t="s">
        <v>287</v>
      </c>
      <c r="C41" s="52" t="s">
        <v>289</v>
      </c>
      <c r="D41" s="50">
        <v>29.460000000000019</v>
      </c>
      <c r="E41" s="50">
        <v>7.9199999999999982</v>
      </c>
      <c r="F41" s="50"/>
      <c r="G41" s="50">
        <v>14.3428</v>
      </c>
      <c r="H41" s="50">
        <v>1.7999999999999998</v>
      </c>
      <c r="I41" s="50"/>
      <c r="J41" s="270"/>
      <c r="K41" s="270"/>
      <c r="L41" s="270"/>
      <c r="M41" s="270"/>
    </row>
    <row r="42" spans="1:14">
      <c r="A42" s="54">
        <v>2021</v>
      </c>
      <c r="B42" s="49" t="s">
        <v>290</v>
      </c>
      <c r="C42" s="49" t="s">
        <v>288</v>
      </c>
      <c r="D42" s="241">
        <v>842.36</v>
      </c>
      <c r="E42" s="241">
        <v>5</v>
      </c>
      <c r="F42" s="241"/>
      <c r="G42" s="241">
        <v>1482.64</v>
      </c>
      <c r="H42" s="241">
        <v>10</v>
      </c>
      <c r="I42" s="241"/>
      <c r="J42" s="268">
        <v>1468.3600000000001</v>
      </c>
      <c r="K42" s="268">
        <v>1529.175</v>
      </c>
      <c r="L42" s="268">
        <v>1940.64</v>
      </c>
      <c r="M42" s="271">
        <v>3409</v>
      </c>
      <c r="N42" s="273">
        <v>3515.8471</v>
      </c>
    </row>
    <row r="43" spans="1:14">
      <c r="A43" s="55"/>
      <c r="B43" s="52" t="s">
        <v>290</v>
      </c>
      <c r="C43" s="52" t="s">
        <v>289</v>
      </c>
      <c r="D43" s="241">
        <v>1.5249999999999999</v>
      </c>
      <c r="E43" s="241"/>
      <c r="F43" s="241"/>
      <c r="G43" s="241">
        <v>1.95</v>
      </c>
      <c r="H43" s="241">
        <v>1.625</v>
      </c>
      <c r="I43" s="241"/>
      <c r="J43" s="269"/>
      <c r="K43" s="269"/>
      <c r="L43" s="269"/>
      <c r="M43" s="268"/>
      <c r="N43" s="268"/>
    </row>
    <row r="44" spans="1:14">
      <c r="A44" s="55"/>
      <c r="B44" s="52" t="s">
        <v>287</v>
      </c>
      <c r="C44" s="52" t="s">
        <v>288</v>
      </c>
      <c r="D44" s="241">
        <v>626</v>
      </c>
      <c r="E44" s="241">
        <v>20</v>
      </c>
      <c r="F44" s="241"/>
      <c r="G44" s="241">
        <v>458</v>
      </c>
      <c r="H44" s="241">
        <v>20</v>
      </c>
      <c r="I44" s="241"/>
      <c r="J44" s="269"/>
      <c r="K44" s="269"/>
      <c r="L44" s="269"/>
      <c r="M44" s="268"/>
      <c r="N44" s="268"/>
    </row>
    <row r="45" spans="1:14">
      <c r="A45" s="56"/>
      <c r="B45" s="52" t="s">
        <v>287</v>
      </c>
      <c r="C45" s="52" t="s">
        <v>289</v>
      </c>
      <c r="D45" s="241">
        <v>22.049999999999997</v>
      </c>
      <c r="E45" s="241">
        <v>12.239999999999997</v>
      </c>
      <c r="F45" s="241"/>
      <c r="G45" s="241">
        <v>10.6571</v>
      </c>
      <c r="H45" s="241">
        <v>1.7999999999999998</v>
      </c>
      <c r="I45" s="241"/>
      <c r="J45" s="270"/>
      <c r="K45" s="270"/>
      <c r="L45" s="270"/>
      <c r="M45" s="272"/>
      <c r="N45" s="272"/>
    </row>
    <row r="46" spans="1:14">
      <c r="A46" s="54">
        <v>2022</v>
      </c>
      <c r="B46" s="49" t="s">
        <v>290</v>
      </c>
      <c r="C46" s="49" t="s">
        <v>288</v>
      </c>
      <c r="D46" s="241">
        <v>886</v>
      </c>
      <c r="E46" s="241">
        <v>6</v>
      </c>
      <c r="F46" s="241"/>
      <c r="G46" s="241">
        <v>1514</v>
      </c>
      <c r="H46" s="241">
        <v>9</v>
      </c>
      <c r="I46" s="241"/>
      <c r="J46" s="268">
        <v>1519</v>
      </c>
      <c r="K46" s="268">
        <v>1609</v>
      </c>
      <c r="L46" s="268">
        <v>2016</v>
      </c>
      <c r="M46" s="271">
        <f>L46+J46</f>
        <v>3535</v>
      </c>
      <c r="N46" s="273">
        <f>SUM(D46:I49)</f>
        <v>3654.4749999999999</v>
      </c>
    </row>
    <row r="47" spans="1:14">
      <c r="A47" s="55"/>
      <c r="B47" s="52" t="s">
        <v>290</v>
      </c>
      <c r="C47" s="52" t="s">
        <v>289</v>
      </c>
      <c r="D47" s="241">
        <v>1.5249999999999999</v>
      </c>
      <c r="E47" s="241"/>
      <c r="F47" s="241"/>
      <c r="G47" s="241">
        <v>1.95</v>
      </c>
      <c r="H47" s="241">
        <v>1</v>
      </c>
      <c r="I47" s="241"/>
      <c r="J47" s="269"/>
      <c r="K47" s="269"/>
      <c r="L47" s="269"/>
      <c r="M47" s="268"/>
      <c r="N47" s="268"/>
    </row>
    <row r="48" spans="1:14">
      <c r="A48" s="55"/>
      <c r="B48" s="52" t="s">
        <v>287</v>
      </c>
      <c r="C48" s="52" t="s">
        <v>288</v>
      </c>
      <c r="D48" s="241">
        <v>633</v>
      </c>
      <c r="E48" s="241">
        <v>50</v>
      </c>
      <c r="F48" s="241"/>
      <c r="G48" s="241">
        <v>502</v>
      </c>
      <c r="H48" s="241">
        <v>13</v>
      </c>
      <c r="I48" s="241"/>
      <c r="J48" s="269"/>
      <c r="K48" s="269"/>
      <c r="L48" s="269"/>
      <c r="M48" s="268"/>
      <c r="N48" s="268"/>
    </row>
    <row r="49" spans="1:14">
      <c r="A49" s="56"/>
      <c r="B49" s="52" t="s">
        <v>287</v>
      </c>
      <c r="C49" s="52" t="s">
        <v>289</v>
      </c>
      <c r="D49" s="241">
        <v>21</v>
      </c>
      <c r="E49" s="241">
        <v>11</v>
      </c>
      <c r="F49" s="241"/>
      <c r="G49" s="241">
        <v>5</v>
      </c>
      <c r="H49" s="241"/>
      <c r="I49" s="241"/>
      <c r="J49" s="270"/>
      <c r="K49" s="270"/>
      <c r="L49" s="270"/>
      <c r="M49" s="272"/>
      <c r="N49" s="272"/>
    </row>
    <row r="50" spans="1:14">
      <c r="A50" s="41"/>
      <c r="B50" s="57"/>
      <c r="C50" s="57"/>
    </row>
    <row r="51" spans="1:14">
      <c r="A51" s="58" t="s">
        <v>291</v>
      </c>
      <c r="C51" s="43" t="s">
        <v>292</v>
      </c>
    </row>
    <row r="52" spans="1:14">
      <c r="A52" t="s">
        <v>293</v>
      </c>
      <c r="C52" s="43" t="s">
        <v>294</v>
      </c>
    </row>
  </sheetData>
  <mergeCells count="55">
    <mergeCell ref="D3:F3"/>
    <mergeCell ref="G3:I3"/>
    <mergeCell ref="J3:J5"/>
    <mergeCell ref="K3:K5"/>
    <mergeCell ref="L3:L5"/>
    <mergeCell ref="J14:J17"/>
    <mergeCell ref="K14:K17"/>
    <mergeCell ref="L14:L17"/>
    <mergeCell ref="M14:M17"/>
    <mergeCell ref="A4:C4"/>
    <mergeCell ref="D4:E4"/>
    <mergeCell ref="G4:H4"/>
    <mergeCell ref="J6:J9"/>
    <mergeCell ref="K6:K9"/>
    <mergeCell ref="L6:L9"/>
    <mergeCell ref="M3:M5"/>
    <mergeCell ref="M6:M9"/>
    <mergeCell ref="J10:J13"/>
    <mergeCell ref="K10:K13"/>
    <mergeCell ref="L10:L13"/>
    <mergeCell ref="M10:M13"/>
    <mergeCell ref="J18:J21"/>
    <mergeCell ref="K18:K21"/>
    <mergeCell ref="L18:L21"/>
    <mergeCell ref="M18:M21"/>
    <mergeCell ref="J22:J25"/>
    <mergeCell ref="K22:K25"/>
    <mergeCell ref="L22:L25"/>
    <mergeCell ref="M22:M25"/>
    <mergeCell ref="J26:J29"/>
    <mergeCell ref="K26:K29"/>
    <mergeCell ref="L26:L29"/>
    <mergeCell ref="M26:M29"/>
    <mergeCell ref="J30:J33"/>
    <mergeCell ref="K30:K33"/>
    <mergeCell ref="L30:L33"/>
    <mergeCell ref="M30:M33"/>
    <mergeCell ref="J34:J37"/>
    <mergeCell ref="K34:K37"/>
    <mergeCell ref="L34:L37"/>
    <mergeCell ref="M34:M37"/>
    <mergeCell ref="J38:J41"/>
    <mergeCell ref="K38:K41"/>
    <mergeCell ref="L38:L41"/>
    <mergeCell ref="M38:M41"/>
    <mergeCell ref="J42:J45"/>
    <mergeCell ref="K42:K45"/>
    <mergeCell ref="L42:L45"/>
    <mergeCell ref="M42:M45"/>
    <mergeCell ref="N42:N45"/>
    <mergeCell ref="J46:J49"/>
    <mergeCell ref="K46:K49"/>
    <mergeCell ref="L46:L49"/>
    <mergeCell ref="M46:M49"/>
    <mergeCell ref="N46:N49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H37"/>
  <sheetViews>
    <sheetView showGridLines="0" topLeftCell="A10" zoomScale="75" zoomScaleNormal="75" workbookViewId="0">
      <selection activeCell="C91" sqref="C91"/>
    </sheetView>
  </sheetViews>
  <sheetFormatPr defaultRowHeight="14.5"/>
  <cols>
    <col min="1" max="1" width="4.54296875" customWidth="1"/>
    <col min="2" max="2" width="6.54296875" customWidth="1"/>
    <col min="3" max="3" width="23.54296875" customWidth="1"/>
    <col min="4" max="4" width="20.453125" customWidth="1"/>
    <col min="5" max="5" width="20.81640625" customWidth="1"/>
    <col min="6" max="6" width="16.453125" customWidth="1"/>
    <col min="7" max="7" width="14.54296875" customWidth="1"/>
    <col min="8" max="8" width="13.81640625" customWidth="1"/>
  </cols>
  <sheetData>
    <row r="2" spans="1:8" ht="21">
      <c r="B2" s="13" t="str">
        <f ca="1">MID(CELL("filename",A6),FIND("]",CELL("filename",A6))+1,256)</f>
        <v>Materials Calculation</v>
      </c>
      <c r="C2" s="13"/>
      <c r="D2" s="13"/>
      <c r="E2" s="13"/>
      <c r="F2" s="13"/>
      <c r="G2" s="13"/>
      <c r="H2" s="13"/>
    </row>
    <row r="4" spans="1:8">
      <c r="B4" s="14" t="s">
        <v>0</v>
      </c>
      <c r="C4" s="4"/>
      <c r="D4" s="15"/>
    </row>
    <row r="5" spans="1:8">
      <c r="B5" s="16" t="s">
        <v>13</v>
      </c>
      <c r="C5" s="8"/>
      <c r="D5" s="17"/>
    </row>
    <row r="7" spans="1:8" ht="15.5">
      <c r="B7" s="5" t="str">
        <f ca="1">B2</f>
        <v>Materials Calculation</v>
      </c>
      <c r="C7" s="18"/>
      <c r="D7" s="18"/>
      <c r="E7" s="18"/>
      <c r="F7" s="18"/>
      <c r="G7" s="18"/>
      <c r="H7" s="18"/>
    </row>
    <row r="8" spans="1:8">
      <c r="B8" s="6"/>
      <c r="C8" s="19"/>
      <c r="D8" s="3"/>
      <c r="E8" s="3"/>
      <c r="F8" s="3"/>
    </row>
    <row r="9" spans="1:8">
      <c r="B9" s="7" t="s">
        <v>2</v>
      </c>
      <c r="C9" s="20"/>
      <c r="D9" s="20" t="s">
        <v>3</v>
      </c>
      <c r="E9" s="20"/>
      <c r="F9" s="20"/>
      <c r="G9" s="20"/>
      <c r="H9" s="20"/>
    </row>
    <row r="11" spans="1:8" ht="43.5">
      <c r="A11" s="23"/>
      <c r="B11" s="22" t="s">
        <v>4</v>
      </c>
      <c r="C11" s="22" t="s">
        <v>5</v>
      </c>
      <c r="D11" s="22" t="s">
        <v>14</v>
      </c>
      <c r="E11" s="22" t="s">
        <v>15</v>
      </c>
      <c r="F11" s="22" t="s">
        <v>16</v>
      </c>
      <c r="G11" s="22" t="s">
        <v>17</v>
      </c>
      <c r="H11" s="22" t="s">
        <v>18</v>
      </c>
    </row>
    <row r="12" spans="1:8">
      <c r="A12" s="23"/>
      <c r="B12" s="22"/>
      <c r="C12" s="22"/>
      <c r="D12" s="22" t="s">
        <v>9</v>
      </c>
      <c r="E12" s="22" t="s">
        <v>10</v>
      </c>
      <c r="F12" s="22" t="s">
        <v>19</v>
      </c>
      <c r="G12" s="22" t="s">
        <v>20</v>
      </c>
      <c r="H12" s="22" t="s">
        <v>21</v>
      </c>
    </row>
    <row r="13" spans="1:8">
      <c r="B13" s="24">
        <v>1992</v>
      </c>
      <c r="C13" s="24" t="s">
        <v>12</v>
      </c>
      <c r="D13" s="25">
        <f>INDEX('Calendar Year Conversions'!$G$13:$G$37,MATCH('Materials Calculation'!B13,'Calendar Year Conversions'!$D$13:$D$37,0))</f>
        <v>201.54999999999998</v>
      </c>
      <c r="E13" s="25" t="e">
        <f>INDEX('Calendar Year Conversions'!$F$13:$F$37,MATCH('Materials Calculation'!B13,'Calendar Year Conversions'!$D$13:$D$37,0))</f>
        <v>#REF!</v>
      </c>
      <c r="F13" s="26" t="e">
        <f>D13-E13</f>
        <v>#REF!</v>
      </c>
      <c r="G13" s="34">
        <f>HLOOKUP(B13,'Canadian GDP Price Index'!$D$5:$AH$6,2,0)/100</f>
        <v>0.72599999999999998</v>
      </c>
      <c r="H13" s="26" t="e">
        <f>F13/G13</f>
        <v>#REF!</v>
      </c>
    </row>
    <row r="14" spans="1:8">
      <c r="B14" s="24">
        <v>1993</v>
      </c>
      <c r="C14" s="24" t="s">
        <v>12</v>
      </c>
      <c r="D14" s="25">
        <f>INDEX('Calendar Year Conversions'!$G$13:$G$37,MATCH('Materials Calculation'!B14,'Calendar Year Conversions'!$D$13:$D$37,0))</f>
        <v>217.5</v>
      </c>
      <c r="E14" s="25" t="e">
        <f>INDEX('Calendar Year Conversions'!$F$13:$F$37,MATCH('Materials Calculation'!B14,'Calendar Year Conversions'!$D$13:$D$37,0))</f>
        <v>#REF!</v>
      </c>
      <c r="F14" s="26" t="e">
        <f t="shared" ref="F14:F37" si="0">D14-E14</f>
        <v>#REF!</v>
      </c>
      <c r="G14" s="34">
        <f>HLOOKUP(B14,'Canadian GDP Price Index'!$D$5:$AH$6,2,0)/100</f>
        <v>0.73499999999999999</v>
      </c>
      <c r="H14" s="26" t="e">
        <f t="shared" ref="H14:H37" si="1">F14/G14</f>
        <v>#REF!</v>
      </c>
    </row>
    <row r="15" spans="1:8">
      <c r="B15" s="24">
        <v>1994</v>
      </c>
      <c r="C15" s="24" t="s">
        <v>12</v>
      </c>
      <c r="D15" s="25">
        <f>INDEX('Calendar Year Conversions'!$G$13:$G$37,MATCH('Materials Calculation'!B15,'Calendar Year Conversions'!$D$13:$D$37,0))</f>
        <v>226.95000000000002</v>
      </c>
      <c r="E15" s="25" t="e">
        <f>INDEX('Calendar Year Conversions'!$F$13:$F$37,MATCH('Materials Calculation'!B15,'Calendar Year Conversions'!$D$13:$D$37,0))</f>
        <v>#REF!</v>
      </c>
      <c r="F15" s="26" t="e">
        <f t="shared" si="0"/>
        <v>#REF!</v>
      </c>
      <c r="G15" s="34">
        <f>HLOOKUP(B15,'Canadian GDP Price Index'!$D$5:$AH$6,2,0)/100</f>
        <v>0.746</v>
      </c>
      <c r="H15" s="26" t="e">
        <f t="shared" si="1"/>
        <v>#REF!</v>
      </c>
    </row>
    <row r="16" spans="1:8">
      <c r="B16" s="24">
        <v>1995</v>
      </c>
      <c r="C16" s="24" t="s">
        <v>12</v>
      </c>
      <c r="D16" s="25">
        <f>INDEX('Calendar Year Conversions'!$G$13:$G$37,MATCH('Materials Calculation'!B16,'Calendar Year Conversions'!$D$13:$D$37,0))</f>
        <v>235.27500000000001</v>
      </c>
      <c r="E16" s="25" t="e">
        <f>INDEX('Calendar Year Conversions'!$F$13:$F$37,MATCH('Materials Calculation'!B16,'Calendar Year Conversions'!$D$13:$D$37,0))</f>
        <v>#REF!</v>
      </c>
      <c r="F16" s="26" t="e">
        <f t="shared" si="0"/>
        <v>#REF!</v>
      </c>
      <c r="G16" s="34">
        <f>HLOOKUP(B16,'Canadian GDP Price Index'!$D$5:$AH$6,2,0)/100</f>
        <v>0.76300000000000001</v>
      </c>
      <c r="H16" s="26" t="e">
        <f t="shared" si="1"/>
        <v>#REF!</v>
      </c>
    </row>
    <row r="17" spans="2:8">
      <c r="B17" s="24">
        <v>1996</v>
      </c>
      <c r="C17" s="24" t="s">
        <v>12</v>
      </c>
      <c r="D17" s="25">
        <f>INDEX('Calendar Year Conversions'!$G$13:$G$37,MATCH('Materials Calculation'!B17,'Calendar Year Conversions'!$D$13:$D$37,0))</f>
        <v>249.375</v>
      </c>
      <c r="E17" s="25" t="e">
        <f>INDEX('Calendar Year Conversions'!$F$13:$F$37,MATCH('Materials Calculation'!B17,'Calendar Year Conversions'!$D$13:$D$37,0))</f>
        <v>#REF!</v>
      </c>
      <c r="F17" s="26" t="e">
        <f t="shared" si="0"/>
        <v>#REF!</v>
      </c>
      <c r="G17" s="34">
        <f>HLOOKUP(B17,'Canadian GDP Price Index'!$D$5:$AH$6,2,0)/100</f>
        <v>0.77599999999999991</v>
      </c>
      <c r="H17" s="26" t="e">
        <f t="shared" si="1"/>
        <v>#REF!</v>
      </c>
    </row>
    <row r="18" spans="2:8">
      <c r="B18" s="24">
        <v>1997</v>
      </c>
      <c r="C18" s="24" t="s">
        <v>12</v>
      </c>
      <c r="D18" s="25">
        <f>INDEX('Calendar Year Conversions'!$G$13:$G$37,MATCH('Materials Calculation'!B18,'Calendar Year Conversions'!$D$13:$D$37,0))</f>
        <v>256.52500000000003</v>
      </c>
      <c r="E18" s="25" t="e">
        <f>INDEX('Calendar Year Conversions'!$F$13:$F$37,MATCH('Materials Calculation'!B18,'Calendar Year Conversions'!$D$13:$D$37,0))</f>
        <v>#REF!</v>
      </c>
      <c r="F18" s="26" t="e">
        <f t="shared" si="0"/>
        <v>#REF!</v>
      </c>
      <c r="G18" s="34">
        <f>HLOOKUP(B18,'Canadian GDP Price Index'!$D$5:$AH$6,2,0)/100</f>
        <v>0.78500000000000003</v>
      </c>
      <c r="H18" s="26" t="e">
        <f t="shared" si="1"/>
        <v>#REF!</v>
      </c>
    </row>
    <row r="19" spans="2:8">
      <c r="B19" s="24">
        <v>1998</v>
      </c>
      <c r="C19" s="24" t="s">
        <v>12</v>
      </c>
      <c r="D19" s="25">
        <f>INDEX('Calendar Year Conversions'!$G$13:$G$37,MATCH('Materials Calculation'!B19,'Calendar Year Conversions'!$D$13:$D$37,0))</f>
        <v>246.57499999999999</v>
      </c>
      <c r="E19" s="25" t="e">
        <f>INDEX('Calendar Year Conversions'!$F$13:$F$37,MATCH('Materials Calculation'!B19,'Calendar Year Conversions'!$D$13:$D$37,0))</f>
        <v>#REF!</v>
      </c>
      <c r="F19" s="26" t="e">
        <f t="shared" si="0"/>
        <v>#REF!</v>
      </c>
      <c r="G19" s="34">
        <f>HLOOKUP(B19,'Canadian GDP Price Index'!$D$5:$AH$6,2,0)/100</f>
        <v>0.78400000000000003</v>
      </c>
      <c r="H19" s="26" t="e">
        <f t="shared" si="1"/>
        <v>#REF!</v>
      </c>
    </row>
    <row r="20" spans="2:8">
      <c r="B20" s="24">
        <v>1999</v>
      </c>
      <c r="C20" s="24" t="s">
        <v>12</v>
      </c>
      <c r="D20" s="25">
        <f>INDEX('Calendar Year Conversions'!$G$13:$G$37,MATCH('Materials Calculation'!B20,'Calendar Year Conversions'!$D$13:$D$37,0))</f>
        <v>252.95</v>
      </c>
      <c r="E20" s="25" t="e">
        <f>INDEX('Calendar Year Conversions'!$F$13:$F$37,MATCH('Materials Calculation'!B20,'Calendar Year Conversions'!$D$13:$D$37,0))</f>
        <v>#REF!</v>
      </c>
      <c r="F20" s="26" t="e">
        <f t="shared" si="0"/>
        <v>#REF!</v>
      </c>
      <c r="G20" s="34">
        <f>HLOOKUP(B20,'Canadian GDP Price Index'!$D$5:$AH$6,2,0)/100</f>
        <v>0.79799999999999993</v>
      </c>
      <c r="H20" s="26" t="e">
        <f t="shared" si="1"/>
        <v>#REF!</v>
      </c>
    </row>
    <row r="21" spans="2:8">
      <c r="B21" s="24">
        <v>2000</v>
      </c>
      <c r="C21" s="24" t="s">
        <v>12</v>
      </c>
      <c r="D21" s="25">
        <f>INDEX('Calendar Year Conversions'!$G$13:$G$37,MATCH('Materials Calculation'!B21,'Calendar Year Conversions'!$D$13:$D$37,0))</f>
        <v>237.89999999999998</v>
      </c>
      <c r="E21" s="25" t="e">
        <f>INDEX('Calendar Year Conversions'!$F$13:$F$37,MATCH('Materials Calculation'!B21,'Calendar Year Conversions'!$D$13:$D$37,0))</f>
        <v>#REF!</v>
      </c>
      <c r="F21" s="26" t="e">
        <f t="shared" si="0"/>
        <v>#REF!</v>
      </c>
      <c r="G21" s="34">
        <f>HLOOKUP(B21,'Canadian GDP Price Index'!$D$5:$AH$6,2,0)/100</f>
        <v>0.83299999999999996</v>
      </c>
      <c r="H21" s="26" t="e">
        <f t="shared" si="1"/>
        <v>#REF!</v>
      </c>
    </row>
    <row r="22" spans="2:8">
      <c r="B22" s="24">
        <v>2001</v>
      </c>
      <c r="C22" s="24" t="s">
        <v>12</v>
      </c>
      <c r="D22" s="25">
        <f>INDEX('Calendar Year Conversions'!$G$13:$G$37,MATCH('Materials Calculation'!B22,'Calendar Year Conversions'!$D$13:$D$37,0))</f>
        <v>251.72499999999999</v>
      </c>
      <c r="E22" s="25" t="e">
        <f>INDEX('Calendar Year Conversions'!$F$13:$F$37,MATCH('Materials Calculation'!B22,'Calendar Year Conversions'!$D$13:$D$37,0))</f>
        <v>#REF!</v>
      </c>
      <c r="F22" s="26" t="e">
        <f t="shared" si="0"/>
        <v>#REF!</v>
      </c>
      <c r="G22" s="34">
        <f>HLOOKUP(B22,'Canadian GDP Price Index'!$D$5:$AH$6,2,0)/100</f>
        <v>0.84699999999999998</v>
      </c>
      <c r="H22" s="26" t="e">
        <f t="shared" si="1"/>
        <v>#REF!</v>
      </c>
    </row>
    <row r="23" spans="2:8">
      <c r="B23" s="24">
        <v>2002</v>
      </c>
      <c r="C23" s="24" t="s">
        <v>12</v>
      </c>
      <c r="D23" s="25">
        <f>INDEX('Calendar Year Conversions'!$G$13:$G$37,MATCH('Materials Calculation'!B23,'Calendar Year Conversions'!$D$13:$D$37,0))</f>
        <v>257.05</v>
      </c>
      <c r="E23" s="25" t="e">
        <f>INDEX('Calendar Year Conversions'!$F$13:$F$37,MATCH('Materials Calculation'!B23,'Calendar Year Conversions'!$D$13:$D$37,0))</f>
        <v>#REF!</v>
      </c>
      <c r="F23" s="26" t="e">
        <f t="shared" si="0"/>
        <v>#REF!</v>
      </c>
      <c r="G23" s="34">
        <f>HLOOKUP(B23,'Canadian GDP Price Index'!$D$5:$AH$6,2,0)/100</f>
        <v>0.85699999999999998</v>
      </c>
      <c r="H23" s="26" t="e">
        <f t="shared" si="1"/>
        <v>#REF!</v>
      </c>
    </row>
    <row r="24" spans="2:8">
      <c r="B24" s="24">
        <v>2003</v>
      </c>
      <c r="C24" s="24" t="s">
        <v>12</v>
      </c>
      <c r="D24" s="25">
        <f>INDEX('Calendar Year Conversions'!$G$13:$G$37,MATCH('Materials Calculation'!B24,'Calendar Year Conversions'!$D$13:$D$37,0))</f>
        <v>292.5</v>
      </c>
      <c r="E24" s="25" t="e">
        <f>INDEX('Calendar Year Conversions'!$F$13:$F$37,MATCH('Materials Calculation'!B24,'Calendar Year Conversions'!$D$13:$D$37,0))</f>
        <v>#REF!</v>
      </c>
      <c r="F24" s="26" t="e">
        <f t="shared" si="0"/>
        <v>#REF!</v>
      </c>
      <c r="G24" s="34">
        <f>HLOOKUP(B24,'Canadian GDP Price Index'!$D$5:$AH$6,2,0)/100</f>
        <v>0.88500000000000001</v>
      </c>
      <c r="H24" s="26" t="e">
        <f t="shared" si="1"/>
        <v>#REF!</v>
      </c>
    </row>
    <row r="25" spans="2:8">
      <c r="B25" s="24">
        <v>2004</v>
      </c>
      <c r="C25" s="24" t="s">
        <v>12</v>
      </c>
      <c r="D25" s="25">
        <f>INDEX('Calendar Year Conversions'!$G$13:$G$37,MATCH('Materials Calculation'!B25,'Calendar Year Conversions'!$D$13:$D$37,0))</f>
        <v>305.375</v>
      </c>
      <c r="E25" s="25" t="e">
        <f>INDEX('Calendar Year Conversions'!$F$13:$F$37,MATCH('Materials Calculation'!B25,'Calendar Year Conversions'!$D$13:$D$37,0))</f>
        <v>#REF!</v>
      </c>
      <c r="F25" s="26" t="e">
        <f t="shared" si="0"/>
        <v>#REF!</v>
      </c>
      <c r="G25" s="34">
        <f>HLOOKUP(B25,'Canadian GDP Price Index'!$D$5:$AH$6,2,0)/100</f>
        <v>0.91400000000000003</v>
      </c>
      <c r="H25" s="26" t="e">
        <f t="shared" si="1"/>
        <v>#REF!</v>
      </c>
    </row>
    <row r="26" spans="2:8">
      <c r="B26" s="24">
        <v>2005</v>
      </c>
      <c r="C26" s="24" t="s">
        <v>12</v>
      </c>
      <c r="D26" s="25">
        <f>INDEX('Calendar Year Conversions'!$G$13:$G$37,MATCH('Materials Calculation'!B26,'Calendar Year Conversions'!$D$13:$D$37,0))</f>
        <v>312.5</v>
      </c>
      <c r="E26" s="25" t="e">
        <f>INDEX('Calendar Year Conversions'!$F$13:$F$37,MATCH('Materials Calculation'!B26,'Calendar Year Conversions'!$D$13:$D$37,0))</f>
        <v>#REF!</v>
      </c>
      <c r="F26" s="26" t="e">
        <f t="shared" si="0"/>
        <v>#REF!</v>
      </c>
      <c r="G26" s="34">
        <f>HLOOKUP(B26,'Canadian GDP Price Index'!$D$5:$AH$6,2,0)/100</f>
        <v>0.94299999999999995</v>
      </c>
      <c r="H26" s="26" t="e">
        <f t="shared" si="1"/>
        <v>#REF!</v>
      </c>
    </row>
    <row r="27" spans="2:8">
      <c r="B27" s="24">
        <v>2006</v>
      </c>
      <c r="C27" s="24" t="s">
        <v>12</v>
      </c>
      <c r="D27" s="25">
        <f>INDEX('Calendar Year Conversions'!$G$13:$G$37,MATCH('Materials Calculation'!B27,'Calendar Year Conversions'!$D$13:$D$37,0))</f>
        <v>327.02449999999999</v>
      </c>
      <c r="E27" s="25" t="e">
        <f>INDEX('Calendar Year Conversions'!$F$13:$F$37,MATCH('Materials Calculation'!B27,'Calendar Year Conversions'!$D$13:$D$37,0))</f>
        <v>#REF!</v>
      </c>
      <c r="F27" s="26" t="e">
        <f t="shared" si="0"/>
        <v>#REF!</v>
      </c>
      <c r="G27" s="34">
        <f>HLOOKUP(B27,'Canadian GDP Price Index'!$D$5:$AH$6,2,0)/100</f>
        <v>0.96799999999999997</v>
      </c>
      <c r="H27" s="26" t="e">
        <f t="shared" si="1"/>
        <v>#REF!</v>
      </c>
    </row>
    <row r="28" spans="2:8">
      <c r="B28" s="24">
        <v>2007</v>
      </c>
      <c r="C28" s="24" t="s">
        <v>12</v>
      </c>
      <c r="D28" s="25">
        <f>INDEX('Calendar Year Conversions'!$G$13:$G$37,MATCH('Materials Calculation'!B28,'Calendar Year Conversions'!$D$13:$D$37,0))</f>
        <v>341.54899999999998</v>
      </c>
      <c r="E28" s="25" t="e">
        <f>INDEX('Calendar Year Conversions'!$F$13:$F$37,MATCH('Materials Calculation'!B28,'Calendar Year Conversions'!$D$13:$D$37,0))</f>
        <v>#REF!</v>
      </c>
      <c r="F28" s="26" t="e">
        <f t="shared" si="0"/>
        <v>#REF!</v>
      </c>
      <c r="G28" s="34">
        <f>HLOOKUP(B28,'Canadian GDP Price Index'!$D$5:$AH$6,2,0)/100</f>
        <v>1</v>
      </c>
      <c r="H28" s="26" t="e">
        <f t="shared" si="1"/>
        <v>#REF!</v>
      </c>
    </row>
    <row r="29" spans="2:8">
      <c r="B29" s="24">
        <v>2008</v>
      </c>
      <c r="C29" s="24" t="s">
        <v>12</v>
      </c>
      <c r="D29" s="25">
        <f>INDEX('Calendar Year Conversions'!$G$13:$G$37,MATCH('Materials Calculation'!B29,'Calendar Year Conversions'!$D$13:$D$37,0))</f>
        <v>346.32299999999998</v>
      </c>
      <c r="E29" s="25" t="e">
        <f>INDEX('Calendar Year Conversions'!$F$13:$F$37,MATCH('Materials Calculation'!B29,'Calendar Year Conversions'!$D$13:$D$37,0))</f>
        <v>#REF!</v>
      </c>
      <c r="F29" s="26" t="e">
        <f t="shared" si="0"/>
        <v>#REF!</v>
      </c>
      <c r="G29" s="34">
        <f>HLOOKUP(B29,'Canadian GDP Price Index'!$D$5:$AH$6,2,0)/100</f>
        <v>1.04</v>
      </c>
      <c r="H29" s="26" t="e">
        <f t="shared" si="1"/>
        <v>#REF!</v>
      </c>
    </row>
    <row r="30" spans="2:8">
      <c r="B30" s="24">
        <v>2009</v>
      </c>
      <c r="C30" s="24" t="s">
        <v>12</v>
      </c>
      <c r="D30" s="25">
        <f>INDEX('Calendar Year Conversions'!$G$13:$G$37,MATCH('Materials Calculation'!B30,'Calendar Year Conversions'!$D$13:$D$37,0))</f>
        <v>336.98599999999999</v>
      </c>
      <c r="E30" s="25" t="e">
        <f>INDEX('Calendar Year Conversions'!$F$13:$F$37,MATCH('Materials Calculation'!B30,'Calendar Year Conversions'!$D$13:$D$37,0))</f>
        <v>#REF!</v>
      </c>
      <c r="F30" s="26" t="e">
        <f t="shared" si="0"/>
        <v>#REF!</v>
      </c>
      <c r="G30" s="34">
        <f>HLOOKUP(B30,'Canadian GDP Price Index'!$D$5:$AH$6,2,0)/100</f>
        <v>1.016</v>
      </c>
      <c r="H30" s="26" t="e">
        <f t="shared" si="1"/>
        <v>#REF!</v>
      </c>
    </row>
    <row r="31" spans="2:8">
      <c r="B31" s="24">
        <v>2010</v>
      </c>
      <c r="C31" s="24" t="s">
        <v>12</v>
      </c>
      <c r="D31" s="25">
        <f>INDEX('Calendar Year Conversions'!$G$13:$G$37,MATCH('Materials Calculation'!B31,'Calendar Year Conversions'!$D$13:$D$37,0))</f>
        <v>346.74599999999998</v>
      </c>
      <c r="E31" s="25" t="e">
        <f>INDEX('Calendar Year Conversions'!$F$13:$F$37,MATCH('Materials Calculation'!B31,'Calendar Year Conversions'!$D$13:$D$37,0))</f>
        <v>#REF!</v>
      </c>
      <c r="F31" s="26" t="e">
        <f t="shared" si="0"/>
        <v>#REF!</v>
      </c>
      <c r="G31" s="34">
        <f>HLOOKUP(B31,'Canadian GDP Price Index'!$D$5:$AH$6,2,0)/100</f>
        <v>1.0449999999999999</v>
      </c>
      <c r="H31" s="26" t="e">
        <f t="shared" si="1"/>
        <v>#REF!</v>
      </c>
    </row>
    <row r="32" spans="2:8">
      <c r="B32" s="24">
        <v>2011</v>
      </c>
      <c r="C32" s="24" t="s">
        <v>12</v>
      </c>
      <c r="D32" s="25">
        <f>INDEX('Calendar Year Conversions'!$G$13:$G$37,MATCH('Materials Calculation'!B32,'Calendar Year Conversions'!$D$13:$D$37,0))</f>
        <v>360.51100000000002</v>
      </c>
      <c r="E32" s="25" t="e">
        <f>INDEX('Calendar Year Conversions'!$F$13:$F$37,MATCH('Materials Calculation'!B32,'Calendar Year Conversions'!$D$13:$D$37,0))</f>
        <v>#REF!</v>
      </c>
      <c r="F32" s="26" t="e">
        <f t="shared" si="0"/>
        <v>#REF!</v>
      </c>
      <c r="G32" s="34">
        <f>HLOOKUP(B32,'Canadian GDP Price Index'!$D$5:$AH$6,2,0)/100</f>
        <v>1.079</v>
      </c>
      <c r="H32" s="26" t="e">
        <f t="shared" si="1"/>
        <v>#REF!</v>
      </c>
    </row>
    <row r="33" spans="2:8">
      <c r="B33" s="24">
        <v>2012</v>
      </c>
      <c r="C33" s="24" t="s">
        <v>12</v>
      </c>
      <c r="D33" s="25">
        <f>INDEX('Calendar Year Conversions'!$G$13:$G$37,MATCH('Materials Calculation'!B33,'Calendar Year Conversions'!$D$13:$D$37,0))</f>
        <v>391.4</v>
      </c>
      <c r="E33" s="25" t="e">
        <f>INDEX('Calendar Year Conversions'!$F$13:$F$37,MATCH('Materials Calculation'!B33,'Calendar Year Conversions'!$D$13:$D$37,0))</f>
        <v>#REF!</v>
      </c>
      <c r="F33" s="26" t="e">
        <f t="shared" si="0"/>
        <v>#REF!</v>
      </c>
      <c r="G33" s="34">
        <f>HLOOKUP(B33,'Canadian GDP Price Index'!$D$5:$AH$6,2,0)/100</f>
        <v>1.0920000000000001</v>
      </c>
      <c r="H33" s="26" t="e">
        <f t="shared" si="1"/>
        <v>#REF!</v>
      </c>
    </row>
    <row r="34" spans="2:8">
      <c r="B34" s="24">
        <v>2013</v>
      </c>
      <c r="C34" s="24" t="s">
        <v>12</v>
      </c>
      <c r="D34" s="25">
        <f>INDEX('Calendar Year Conversions'!$G$13:$G$37,MATCH('Materials Calculation'!B34,'Calendar Year Conversions'!$D$13:$D$37,0))</f>
        <v>415.5</v>
      </c>
      <c r="E34" s="25" t="e">
        <f>INDEX('Calendar Year Conversions'!$F$13:$F$37,MATCH('Materials Calculation'!B34,'Calendar Year Conversions'!$D$13:$D$37,0))</f>
        <v>#REF!</v>
      </c>
      <c r="F34" s="26" t="e">
        <f t="shared" si="0"/>
        <v>#REF!</v>
      </c>
      <c r="G34" s="34">
        <f>HLOOKUP(B34,'Canadian GDP Price Index'!$D$5:$AH$6,2,0)/100</f>
        <v>1.1100000000000001</v>
      </c>
      <c r="H34" s="26" t="e">
        <f t="shared" si="1"/>
        <v>#REF!</v>
      </c>
    </row>
    <row r="35" spans="2:8">
      <c r="B35" s="24">
        <v>2014</v>
      </c>
      <c r="C35" s="24" t="s">
        <v>12</v>
      </c>
      <c r="D35" s="25">
        <f>INDEX('Calendar Year Conversions'!$G$13:$G$37,MATCH('Materials Calculation'!B35,'Calendar Year Conversions'!$D$13:$D$37,0))</f>
        <v>408.13400000000001</v>
      </c>
      <c r="E35" s="25" t="e">
        <f>INDEX('Calendar Year Conversions'!$F$13:$F$37,MATCH('Materials Calculation'!B35,'Calendar Year Conversions'!$D$13:$D$37,0))</f>
        <v>#REF!</v>
      </c>
      <c r="F35" s="26" t="e">
        <f t="shared" si="0"/>
        <v>#REF!</v>
      </c>
      <c r="G35" s="34">
        <f>HLOOKUP(B35,'Canadian GDP Price Index'!$D$5:$AH$6,2,0)/100</f>
        <v>1.131</v>
      </c>
      <c r="H35" s="26" t="e">
        <f t="shared" si="1"/>
        <v>#REF!</v>
      </c>
    </row>
    <row r="36" spans="2:8">
      <c r="B36" s="24">
        <v>2015</v>
      </c>
      <c r="C36" s="24" t="s">
        <v>12</v>
      </c>
      <c r="D36" s="25">
        <f>INDEX('Calendar Year Conversions'!$G$13:$G$37,MATCH('Materials Calculation'!B36,'Calendar Year Conversions'!$D$13:$D$37,0))</f>
        <v>430.90300000000002</v>
      </c>
      <c r="E36" s="25" t="e">
        <f>INDEX('Calendar Year Conversions'!$F$13:$F$37,MATCH('Materials Calculation'!B36,'Calendar Year Conversions'!$D$13:$D$37,0))</f>
        <v>#REF!</v>
      </c>
      <c r="F36" s="26" t="e">
        <f t="shared" si="0"/>
        <v>#REF!</v>
      </c>
      <c r="G36" s="34">
        <f>HLOOKUP(B36,'Canadian GDP Price Index'!$D$5:$AH$6,2,0)/100</f>
        <v>1.1220000000000001</v>
      </c>
      <c r="H36" s="26" t="e">
        <f t="shared" si="1"/>
        <v>#REF!</v>
      </c>
    </row>
    <row r="37" spans="2:8">
      <c r="B37" s="24">
        <v>2016</v>
      </c>
      <c r="C37" s="24" t="s">
        <v>12</v>
      </c>
      <c r="D37" s="25">
        <f>INDEX('Calendar Year Conversions'!$G$13:$G$37,MATCH('Materials Calculation'!B37,'Calendar Year Conversions'!$D$13:$D$37,0))</f>
        <v>449.7</v>
      </c>
      <c r="E37" s="25" t="e">
        <f>INDEX('Calendar Year Conversions'!$F$13:$F$37,MATCH('Materials Calculation'!B37,'Calendar Year Conversions'!$D$13:$D$37,0))</f>
        <v>#REF!</v>
      </c>
      <c r="F37" s="26" t="e">
        <f t="shared" si="0"/>
        <v>#REF!</v>
      </c>
      <c r="G37" s="34">
        <f>HLOOKUP(B37,'Canadian GDP Price Index'!$D$5:$AH$6,2,0)/100</f>
        <v>1.129</v>
      </c>
      <c r="H37" s="26" t="e">
        <f t="shared" si="1"/>
        <v>#REF!</v>
      </c>
    </row>
  </sheetData>
  <pageMargins left="0.35" right="0.2" top="1" bottom="0.75" header="0.3" footer="0.3"/>
  <pageSetup scale="80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G37"/>
  <sheetViews>
    <sheetView showGridLines="0" topLeftCell="A10" zoomScale="75" zoomScaleNormal="75" workbookViewId="0">
      <selection activeCell="C22" sqref="C22"/>
    </sheetView>
  </sheetViews>
  <sheetFormatPr defaultRowHeight="14.5"/>
  <cols>
    <col min="2" max="2" width="5" customWidth="1"/>
    <col min="3" max="3" width="23.54296875" customWidth="1"/>
    <col min="4" max="4" width="14.453125" customWidth="1"/>
    <col min="5" max="6" width="12.453125" customWidth="1"/>
    <col min="7" max="7" width="13.453125" customWidth="1"/>
  </cols>
  <sheetData>
    <row r="2" spans="2:7" ht="21">
      <c r="B2" s="13" t="str">
        <f ca="1">MID(CELL("filename",A6),FIND("]",CELL("filename",A6))+1,256)</f>
        <v>Calendar Year Conversions</v>
      </c>
      <c r="C2" s="13"/>
      <c r="D2" s="13"/>
      <c r="E2" s="13"/>
      <c r="F2" s="13"/>
      <c r="G2" s="13"/>
    </row>
    <row r="4" spans="2:7">
      <c r="B4" s="14" t="s">
        <v>0</v>
      </c>
      <c r="C4" s="4"/>
      <c r="D4" s="15"/>
    </row>
    <row r="5" spans="2:7">
      <c r="B5" s="16" t="s">
        <v>22</v>
      </c>
      <c r="C5" s="8"/>
      <c r="D5" s="17"/>
    </row>
    <row r="7" spans="2:7" ht="15.5">
      <c r="B7" s="5" t="s">
        <v>23</v>
      </c>
      <c r="C7" s="18"/>
      <c r="D7" s="18"/>
      <c r="E7" s="18"/>
      <c r="F7" s="18"/>
      <c r="G7" s="18"/>
    </row>
    <row r="8" spans="2:7">
      <c r="B8" s="6"/>
      <c r="C8" s="19"/>
      <c r="D8" s="3"/>
      <c r="E8" s="3"/>
    </row>
    <row r="9" spans="2:7">
      <c r="B9" s="7" t="s">
        <v>2</v>
      </c>
      <c r="C9" s="20"/>
      <c r="D9" s="20" t="s">
        <v>24</v>
      </c>
      <c r="E9" s="20"/>
      <c r="F9" s="20"/>
      <c r="G9" s="20"/>
    </row>
    <row r="11" spans="2:7">
      <c r="B11" s="1"/>
      <c r="C11" s="1"/>
      <c r="D11" s="1"/>
      <c r="E11" s="249"/>
      <c r="F11" s="249"/>
      <c r="G11" s="11" t="s">
        <v>25</v>
      </c>
    </row>
    <row r="12" spans="2:7" ht="58">
      <c r="B12" s="1"/>
      <c r="C12" s="1" t="s">
        <v>5</v>
      </c>
      <c r="D12" s="1" t="s">
        <v>4</v>
      </c>
      <c r="E12" s="1" t="s">
        <v>26</v>
      </c>
      <c r="F12" s="1" t="s">
        <v>27</v>
      </c>
      <c r="G12" s="2" t="s">
        <v>28</v>
      </c>
    </row>
    <row r="13" spans="2:7">
      <c r="B13" s="10">
        <v>1</v>
      </c>
      <c r="C13" s="9" t="s">
        <v>12</v>
      </c>
      <c r="D13" s="9">
        <v>1992</v>
      </c>
      <c r="E13" s="21">
        <f>(IF($D13=1990,"-",IF($D13&gt;2004,'2. EGD'!P9,(('2. EGD'!P9*(9/12))+('2. EGD'!P10*(3/12))))))</f>
        <v>1303.75</v>
      </c>
      <c r="F13" s="21" t="e">
        <f>(IF($D13=1990,"-",IF($D13&gt;2004,'2. EGD'!#REF!,(('2. EGD'!#REF!*(9/12))+('2. EGD'!#REF!*(3/12))))))</f>
        <v>#REF!</v>
      </c>
      <c r="G13" s="21">
        <f>(IF($D13=1990,"-",IF($D13&gt;2004,'2. EGD'!E9,(('2. EGD'!E9*(9/12))+('2. EGD'!E10*(3/12))))))</f>
        <v>201.54999999999998</v>
      </c>
    </row>
    <row r="14" spans="2:7">
      <c r="B14" s="10">
        <f t="shared" ref="B14:B37" si="0">B13+1</f>
        <v>2</v>
      </c>
      <c r="C14" s="9" t="s">
        <v>12</v>
      </c>
      <c r="D14" s="9">
        <v>1993</v>
      </c>
      <c r="E14" s="21">
        <f>(IF($D14=1990,"-",IF($D14&gt;2004,'2. EGD'!P10,(('2. EGD'!P10*(9/12))+('2. EGD'!P11*(3/12))))))</f>
        <v>1317</v>
      </c>
      <c r="F14" s="21" t="e">
        <f>(IF($D14=1990,"-",IF($D14&gt;2004,'2. EGD'!#REF!,(('2. EGD'!#REF!*(9/12))+('2. EGD'!#REF!*(3/12))))))</f>
        <v>#REF!</v>
      </c>
      <c r="G14" s="21">
        <f>(IF($D14=1990,"-",IF($D14&gt;2004,'2. EGD'!E10,(('2. EGD'!E10*(9/12))+('2. EGD'!E11*(3/12))))))</f>
        <v>217.5</v>
      </c>
    </row>
    <row r="15" spans="2:7">
      <c r="B15" s="10">
        <f t="shared" si="0"/>
        <v>3</v>
      </c>
      <c r="C15" s="9" t="s">
        <v>12</v>
      </c>
      <c r="D15" s="9">
        <v>1994</v>
      </c>
      <c r="E15" s="21">
        <f>(IF($D15=1990,"-",IF($D15&gt;2004,'2. EGD'!P11,(('2. EGD'!P11*(9/12))+('2. EGD'!P12*(3/12))))))</f>
        <v>1334.25</v>
      </c>
      <c r="F15" s="21" t="e">
        <f>(IF($D15=1990,"-",IF($D15&gt;2004,'2. EGD'!#REF!,(('2. EGD'!#REF!*(9/12))+('2. EGD'!#REF!*(3/12))))))</f>
        <v>#REF!</v>
      </c>
      <c r="G15" s="21">
        <f>(IF($D15=1990,"-",IF($D15&gt;2004,'2. EGD'!E11,(('2. EGD'!E11*(9/12))+('2. EGD'!E12*(3/12))))))</f>
        <v>226.95000000000002</v>
      </c>
    </row>
    <row r="16" spans="2:7">
      <c r="B16" s="10">
        <f t="shared" si="0"/>
        <v>4</v>
      </c>
      <c r="C16" s="9" t="s">
        <v>12</v>
      </c>
      <c r="D16" s="9">
        <v>1995</v>
      </c>
      <c r="E16" s="21">
        <f>(IF($D16=1990,"-",IF($D16&gt;2004,'2. EGD'!P12,(('2. EGD'!P12*(9/12))+('2. EGD'!P13*(3/12))))))</f>
        <v>1348.5</v>
      </c>
      <c r="F16" s="21" t="e">
        <f>(IF($D16=1990,"-",IF($D16&gt;2004,'2. EGD'!#REF!,(('2. EGD'!#REF!*(9/12))+('2. EGD'!#REF!*(3/12))))))</f>
        <v>#REF!</v>
      </c>
      <c r="G16" s="21">
        <f>(IF($D16=1990,"-",IF($D16&gt;2004,'2. EGD'!E12,(('2. EGD'!E12*(9/12))+('2. EGD'!E13*(3/12))))))</f>
        <v>235.27500000000001</v>
      </c>
    </row>
    <row r="17" spans="2:7">
      <c r="B17" s="10">
        <f t="shared" si="0"/>
        <v>5</v>
      </c>
      <c r="C17" s="9" t="s">
        <v>12</v>
      </c>
      <c r="D17" s="9">
        <v>1996</v>
      </c>
      <c r="E17" s="21">
        <f>(IF($D17=1990,"-",IF($D17&gt;2004,'2. EGD'!P13,(('2. EGD'!P13*(9/12))+('2. EGD'!P14*(3/12))))))</f>
        <v>1421.25</v>
      </c>
      <c r="F17" s="21" t="e">
        <f>(IF($D17=1990,"-",IF($D17&gt;2004,'2. EGD'!#REF!,(('2. EGD'!#REF!*(9/12))+('2. EGD'!#REF!*(3/12))))))</f>
        <v>#REF!</v>
      </c>
      <c r="G17" s="21">
        <f>(IF($D17=1990,"-",IF($D17&gt;2004,'2. EGD'!E13,(('2. EGD'!E13*(9/12))+('2. EGD'!E14*(3/12))))))</f>
        <v>249.375</v>
      </c>
    </row>
    <row r="18" spans="2:7">
      <c r="B18" s="10">
        <f t="shared" si="0"/>
        <v>6</v>
      </c>
      <c r="C18" s="9" t="s">
        <v>12</v>
      </c>
      <c r="D18" s="9">
        <v>1997</v>
      </c>
      <c r="E18" s="21">
        <f>(IF($D18=1990,"-",IF($D18&gt;2004,'2. EGD'!P14,(('2. EGD'!P14*(9/12))+('2. EGD'!P15*(3/12))))))</f>
        <v>1601.5287499999999</v>
      </c>
      <c r="F18" s="21" t="e">
        <f>(IF($D18=1990,"-",IF($D18&gt;2004,'2. EGD'!#REF!,(('2. EGD'!#REF!*(9/12))+('2. EGD'!#REF!*(3/12))))))</f>
        <v>#REF!</v>
      </c>
      <c r="G18" s="21">
        <f>(IF($D18=1990,"-",IF($D18&gt;2004,'2. EGD'!E14,(('2. EGD'!E14*(9/12))+('2. EGD'!E15*(3/12))))))</f>
        <v>256.52500000000003</v>
      </c>
    </row>
    <row r="19" spans="2:7">
      <c r="B19" s="10">
        <f t="shared" si="0"/>
        <v>7</v>
      </c>
      <c r="C19" s="9" t="s">
        <v>12</v>
      </c>
      <c r="D19" s="9">
        <v>1998</v>
      </c>
      <c r="E19" s="21">
        <f>(IF($D19=1990,"-",IF($D19&gt;2004,'2. EGD'!P15,(('2. EGD'!P15*(9/12))+('2. EGD'!P16*(3/12))))))</f>
        <v>1690.115</v>
      </c>
      <c r="F19" s="21" t="e">
        <f>(IF($D19=1990,"-",IF($D19&gt;2004,'2. EGD'!#REF!,(('2. EGD'!#REF!*(9/12))+('2. EGD'!#REF!*(3/12))))))</f>
        <v>#REF!</v>
      </c>
      <c r="G19" s="21">
        <f>(IF($D19=1990,"-",IF($D19&gt;2004,'2. EGD'!E15,(('2. EGD'!E15*(9/12))+('2. EGD'!E16*(3/12))))))</f>
        <v>246.57499999999999</v>
      </c>
    </row>
    <row r="20" spans="2:7">
      <c r="B20" s="10">
        <f t="shared" si="0"/>
        <v>8</v>
      </c>
      <c r="C20" s="9" t="s">
        <v>12</v>
      </c>
      <c r="D20" s="9">
        <v>1999</v>
      </c>
      <c r="E20" s="21">
        <f>(IF($D20=1990,"-",IF($D20&gt;2004,'2. EGD'!P16,(('2. EGD'!P16*(9/12))+('2. EGD'!P17*(3/12))))))</f>
        <v>1719.6437500000002</v>
      </c>
      <c r="F20" s="21" t="e">
        <f>(IF($D20=1990,"-",IF($D20&gt;2004,'2. EGD'!#REF!,(('2. EGD'!#REF!*(9/12))+('2. EGD'!#REF!*(3/12))))))</f>
        <v>#REF!</v>
      </c>
      <c r="G20" s="21">
        <f>(IF($D20=1990,"-",IF($D20&gt;2004,'2. EGD'!E16,(('2. EGD'!E16*(9/12))+('2. EGD'!E17*(3/12))))))</f>
        <v>252.95</v>
      </c>
    </row>
    <row r="21" spans="2:7">
      <c r="B21" s="10">
        <f t="shared" si="0"/>
        <v>9</v>
      </c>
      <c r="C21" s="9" t="s">
        <v>12</v>
      </c>
      <c r="D21" s="9">
        <v>2000</v>
      </c>
      <c r="E21" s="21">
        <f>(IF($D21=1990,"-",IF($D21&gt;2004,'2. EGD'!P17,(('2. EGD'!P17*(9/12))+('2. EGD'!P18*(3/12))))))</f>
        <v>1784.5050000000001</v>
      </c>
      <c r="F21" s="21" t="e">
        <f>(IF($D21=1990,"-",IF($D21&gt;2004,'2. EGD'!#REF!,(('2. EGD'!#REF!*(9/12))+('2. EGD'!#REF!*(3/12))))))</f>
        <v>#REF!</v>
      </c>
      <c r="G21" s="21">
        <f>(IF($D21=1990,"-",IF($D21&gt;2004,'2. EGD'!E17,(('2. EGD'!E17*(9/12))+('2. EGD'!E18*(3/12))))))</f>
        <v>237.89999999999998</v>
      </c>
    </row>
    <row r="22" spans="2:7">
      <c r="B22" s="10">
        <f t="shared" si="0"/>
        <v>10</v>
      </c>
      <c r="C22" s="9" t="s">
        <v>12</v>
      </c>
      <c r="D22" s="9">
        <v>2001</v>
      </c>
      <c r="E22" s="21">
        <f>(IF($D22=1990,"-",IF($D22&gt;2004,'2. EGD'!P18,(('2. EGD'!P18*(9/12))+('2. EGD'!P19*(3/12))))))</f>
        <v>1724.6025000000002</v>
      </c>
      <c r="F22" s="21" t="e">
        <f>(IF($D22=1990,"-",IF($D22&gt;2004,'2. EGD'!#REF!,(('2. EGD'!#REF!*(9/12))+('2. EGD'!#REF!*(3/12))))))</f>
        <v>#REF!</v>
      </c>
      <c r="G22" s="21">
        <f>(IF($D22=1990,"-",IF($D22&gt;2004,'2. EGD'!E18,(('2. EGD'!E18*(9/12))+('2. EGD'!E19*(3/12))))))</f>
        <v>251.72499999999999</v>
      </c>
    </row>
    <row r="23" spans="2:7">
      <c r="B23" s="10">
        <f t="shared" si="0"/>
        <v>11</v>
      </c>
      <c r="C23" s="9" t="s">
        <v>12</v>
      </c>
      <c r="D23" s="9">
        <v>2002</v>
      </c>
      <c r="E23" s="21">
        <f>(IF($D23=1990,"-",IF($D23&gt;2004,'2. EGD'!P19,(('2. EGD'!P19*(9/12))+('2. EGD'!P20*(3/12))))))</f>
        <v>1785.9249999999997</v>
      </c>
      <c r="F23" s="21" t="e">
        <f>(IF($D23=1990,"-",IF($D23&gt;2004,'2. EGD'!#REF!,(('2. EGD'!#REF!*(9/12))+('2. EGD'!#REF!*(3/12))))))</f>
        <v>#REF!</v>
      </c>
      <c r="G23" s="21">
        <f>(IF($D23=1990,"-",IF($D23&gt;2004,'2. EGD'!E19,(('2. EGD'!E19*(9/12))+('2. EGD'!E20*(3/12))))))</f>
        <v>257.05</v>
      </c>
    </row>
    <row r="24" spans="2:7">
      <c r="B24" s="10">
        <f t="shared" si="0"/>
        <v>12</v>
      </c>
      <c r="C24" s="9" t="s">
        <v>12</v>
      </c>
      <c r="D24" s="9">
        <v>2003</v>
      </c>
      <c r="E24" s="21">
        <f>(IF($D24=1990,"-",IF($D24&gt;2004,'2. EGD'!P20,(('2. EGD'!P20*(9/12))+('2. EGD'!P21*(3/12))))))</f>
        <v>1873.52</v>
      </c>
      <c r="F24" s="21" t="e">
        <f>(IF($D24=1990,"-",IF($D24&gt;2004,'2. EGD'!#REF!,(('2. EGD'!#REF!*(9/12))+('2. EGD'!#REF!*(3/12))))))</f>
        <v>#REF!</v>
      </c>
      <c r="G24" s="21">
        <f>(IF($D24=1990,"-",IF($D24&gt;2004,'2. EGD'!E20,(('2. EGD'!E20*(9/12))+('2. EGD'!E21*(3/12))))))</f>
        <v>292.5</v>
      </c>
    </row>
    <row r="25" spans="2:7">
      <c r="B25" s="10">
        <f t="shared" si="0"/>
        <v>13</v>
      </c>
      <c r="C25" s="9" t="s">
        <v>12</v>
      </c>
      <c r="D25" s="9">
        <v>2004</v>
      </c>
      <c r="E25" s="21">
        <f>(IF($D25=1990,"-",IF($D25&gt;2004,'2. EGD'!P21,(('2. EGD'!P21*(9/12))+('2. EGD'!P22*(3/12))))))</f>
        <v>1915.25</v>
      </c>
      <c r="F25" s="21" t="e">
        <f>(IF($D25=1990,"-",IF($D25&gt;2004,'2. EGD'!#REF!,(('2. EGD'!#REF!*(9/12))+('2. EGD'!#REF!*(3/12))))))</f>
        <v>#REF!</v>
      </c>
      <c r="G25" s="21">
        <f>(IF($D25=1990,"-",IF($D25&gt;2004,'2. EGD'!E21,(('2. EGD'!E21*(9/12))+('2. EGD'!E22*(3/12))))))</f>
        <v>305.375</v>
      </c>
    </row>
    <row r="26" spans="2:7">
      <c r="B26" s="10">
        <f t="shared" si="0"/>
        <v>14</v>
      </c>
      <c r="C26" s="9" t="s">
        <v>12</v>
      </c>
      <c r="D26" s="9">
        <v>2005</v>
      </c>
      <c r="E26" s="21">
        <f>(IF($D26=1990,"-",IF($D26&gt;2004,'2. EGD'!P22,(('2. EGD'!P22*(9/12))+('2. EGD'!P23*(3/12))))))</f>
        <v>1994.72</v>
      </c>
      <c r="F26" s="21" t="e">
        <f>(IF($D26=1990,"-",IF($D26&gt;2004,'2. EGD'!#REF!,(('2. EGD'!#REF!*(9/12))+('2. EGD'!#REF!*(3/12))))))</f>
        <v>#REF!</v>
      </c>
      <c r="G26" s="21">
        <f>(IF($D26=1990,"-",IF($D26&gt;2004,'2. EGD'!E22,(('2. EGD'!E22*(9/12))+('2. EGD'!E23*(3/12))))))</f>
        <v>312.5</v>
      </c>
    </row>
    <row r="27" spans="2:7">
      <c r="B27" s="10">
        <f t="shared" si="0"/>
        <v>15</v>
      </c>
      <c r="C27" s="9" t="s">
        <v>12</v>
      </c>
      <c r="D27" s="9">
        <v>2006</v>
      </c>
      <c r="E27" s="21">
        <f>(IF($D27=1990,"-",IF($D27&gt;2004,'2. EGD'!P23,(('2. EGD'!P23*(9/12))+('2. EGD'!P24*(3/12))))))</f>
        <v>1923.85</v>
      </c>
      <c r="F27" s="21" t="e">
        <f>(IF($D27=1990,"-",IF($D27&gt;2004,'2. EGD'!#REF!,(('2. EGD'!#REF!*(9/12))+('2. EGD'!#REF!*(3/12))))))</f>
        <v>#REF!</v>
      </c>
      <c r="G27" s="21">
        <f>(IF($D27=1990,"-",IF($D27&gt;2004,'2. EGD'!E23,(('2. EGD'!E23*(9/12))+('2. EGD'!E24*(3/12))))))</f>
        <v>327.02449999999999</v>
      </c>
    </row>
    <row r="28" spans="2:7">
      <c r="B28" s="10">
        <f t="shared" si="0"/>
        <v>16</v>
      </c>
      <c r="C28" s="9" t="s">
        <v>12</v>
      </c>
      <c r="D28" s="9">
        <v>2007</v>
      </c>
      <c r="E28" s="21">
        <f>(IF($D28=1990,"-",IF($D28&gt;2004,'2. EGD'!P24,(('2. EGD'!P24*(9/12))+('2. EGD'!P25*(3/12))))))</f>
        <v>1992.63</v>
      </c>
      <c r="F28" s="21" t="e">
        <f>(IF($D28=1990,"-",IF($D28&gt;2004,'2. EGD'!#REF!,(('2. EGD'!#REF!*(9/12))+('2. EGD'!#REF!*(3/12))))))</f>
        <v>#REF!</v>
      </c>
      <c r="G28" s="21">
        <f>(IF($D28=1990,"-",IF($D28&gt;2004,'2. EGD'!E24,(('2. EGD'!E24*(9/12))+('2. EGD'!E25*(3/12))))))</f>
        <v>341.54899999999998</v>
      </c>
    </row>
    <row r="29" spans="2:7">
      <c r="B29" s="10">
        <f t="shared" si="0"/>
        <v>17</v>
      </c>
      <c r="C29" s="9" t="s">
        <v>12</v>
      </c>
      <c r="D29" s="9">
        <v>2008</v>
      </c>
      <c r="E29" s="21">
        <f>(IF($D29=1990,"-",IF($D29&gt;2004,'2. EGD'!P25,(('2. EGD'!P25*(9/12))+('2. EGD'!P26*(3/12))))))</f>
        <v>1940.14</v>
      </c>
      <c r="F29" s="21" t="e">
        <f>(IF($D29=1990,"-",IF($D29&gt;2004,'2. EGD'!#REF!,(('2. EGD'!#REF!*(9/12))+('2. EGD'!#REF!*(3/12))))))</f>
        <v>#REF!</v>
      </c>
      <c r="G29" s="21">
        <f>(IF($D29=1990,"-",IF($D29&gt;2004,'2. EGD'!E25,(('2. EGD'!E25*(9/12))+('2. EGD'!E26*(3/12))))))</f>
        <v>346.32299999999998</v>
      </c>
    </row>
    <row r="30" spans="2:7">
      <c r="B30" s="10">
        <f t="shared" si="0"/>
        <v>18</v>
      </c>
      <c r="C30" s="9" t="s">
        <v>12</v>
      </c>
      <c r="D30" s="9">
        <v>2009</v>
      </c>
      <c r="E30" s="21">
        <f>(IF($D30=1990,"-",IF($D30&gt;2004,'2. EGD'!P26,(('2. EGD'!P26*(9/12))+('2. EGD'!P27*(3/12))))))</f>
        <v>1887.2799999999997</v>
      </c>
      <c r="F30" s="21" t="e">
        <f>(IF($D30=1990,"-",IF($D30&gt;2004,'2. EGD'!#REF!,(('2. EGD'!#REF!*(9/12))+('2. EGD'!#REF!*(3/12))))))</f>
        <v>#REF!</v>
      </c>
      <c r="G30" s="21">
        <f>(IF($D30=1990,"-",IF($D30&gt;2004,'2. EGD'!E26,(('2. EGD'!E26*(9/12))+('2. EGD'!E27*(3/12))))))</f>
        <v>336.98599999999999</v>
      </c>
    </row>
    <row r="31" spans="2:7">
      <c r="B31" s="10">
        <f t="shared" si="0"/>
        <v>19</v>
      </c>
      <c r="C31" s="9" t="s">
        <v>12</v>
      </c>
      <c r="D31" s="9">
        <v>2010</v>
      </c>
      <c r="E31" s="21">
        <f>(IF($D31=1990,"-",IF($D31&gt;2004,'2. EGD'!P27,(('2. EGD'!P27*(9/12))+('2. EGD'!P28*(3/12))))))</f>
        <v>1942.3200000000002</v>
      </c>
      <c r="F31" s="21" t="e">
        <f>(IF($D31=1990,"-",IF($D31&gt;2004,'2. EGD'!#REF!,(('2. EGD'!#REF!*(9/12))+('2. EGD'!#REF!*(3/12))))))</f>
        <v>#REF!</v>
      </c>
      <c r="G31" s="21">
        <f>(IF($D31=1990,"-",IF($D31&gt;2004,'2. EGD'!E27,(('2. EGD'!E27*(9/12))+('2. EGD'!E28*(3/12))))))</f>
        <v>346.74599999999998</v>
      </c>
    </row>
    <row r="32" spans="2:7">
      <c r="B32" s="10">
        <f t="shared" si="0"/>
        <v>20</v>
      </c>
      <c r="C32" s="9" t="s">
        <v>12</v>
      </c>
      <c r="D32" s="9">
        <v>2011</v>
      </c>
      <c r="E32" s="21">
        <f>(IF($D32=1990,"-",IF($D32&gt;2004,'2. EGD'!P28,(('2. EGD'!P28*(9/12))+('2. EGD'!P29*(3/12))))))</f>
        <v>2008.27</v>
      </c>
      <c r="F32" s="21" t="e">
        <f>(IF($D32=1990,"-",IF($D32&gt;2004,'2. EGD'!#REF!,(('2. EGD'!#REF!*(9/12))+('2. EGD'!#REF!*(3/12))))))</f>
        <v>#REF!</v>
      </c>
      <c r="G32" s="21">
        <f>(IF($D32=1990,"-",IF($D32&gt;2004,'2. EGD'!E28,(('2. EGD'!E28*(9/12))+('2. EGD'!E29*(3/12))))))</f>
        <v>360.51100000000002</v>
      </c>
    </row>
    <row r="33" spans="2:7">
      <c r="B33" s="10">
        <f t="shared" si="0"/>
        <v>21</v>
      </c>
      <c r="C33" s="9" t="s">
        <v>12</v>
      </c>
      <c r="D33" s="9">
        <v>2012</v>
      </c>
      <c r="E33" s="21">
        <f>(IF($D33=1990,"-",IF($D33&gt;2004,'2. EGD'!P29,(('2. EGD'!P29*(9/12))+('2. EGD'!P30*(3/12))))))</f>
        <v>2103.67</v>
      </c>
      <c r="F33" s="21" t="e">
        <f>(IF($D33=1990,"-",IF($D33&gt;2004,'2. EGD'!#REF!,(('2. EGD'!#REF!*(9/12))+('2. EGD'!#REF!*(3/12))))))</f>
        <v>#REF!</v>
      </c>
      <c r="G33" s="21">
        <f>(IF($D33=1990,"-",IF($D33&gt;2004,'2. EGD'!E29,(('2. EGD'!E29*(9/12))+('2. EGD'!E30*(3/12))))))</f>
        <v>391.4</v>
      </c>
    </row>
    <row r="34" spans="2:7">
      <c r="B34" s="10">
        <f t="shared" si="0"/>
        <v>22</v>
      </c>
      <c r="C34" s="9" t="s">
        <v>12</v>
      </c>
      <c r="D34" s="9">
        <v>2013</v>
      </c>
      <c r="E34" s="21">
        <f>(IF($D34=1990,"-",IF($D34&gt;2004,'2. EGD'!P30,(('2. EGD'!P30*(9/12))+('2. EGD'!P31*(3/12))))))</f>
        <v>2213.3000000000002</v>
      </c>
      <c r="F34" s="21" t="e">
        <f>(IF($D34=1990,"-",IF($D34&gt;2004,'2. EGD'!#REF!,(('2. EGD'!#REF!*(9/12))+('2. EGD'!#REF!*(3/12))))))</f>
        <v>#REF!</v>
      </c>
      <c r="G34" s="21">
        <f>(IF($D34=1990,"-",IF($D34&gt;2004,'2. EGD'!E30,(('2. EGD'!E30*(9/12))+('2. EGD'!E31*(3/12))))))</f>
        <v>415.5</v>
      </c>
    </row>
    <row r="35" spans="2:7">
      <c r="B35" s="10">
        <f t="shared" si="0"/>
        <v>23</v>
      </c>
      <c r="C35" s="9" t="s">
        <v>12</v>
      </c>
      <c r="D35" s="9">
        <v>2014</v>
      </c>
      <c r="E35" s="21">
        <f>(IF($D35=1990,"-",IF($D35&gt;2004,'2. EGD'!P31,(('2. EGD'!P31*(9/12))+('2. EGD'!P32*(3/12))))))</f>
        <v>2186.29</v>
      </c>
      <c r="F35" s="21" t="e">
        <f>(IF($D35=1990,"-",IF($D35&gt;2004,'2. EGD'!#REF!,(('2. EGD'!#REF!*(9/12))+('2. EGD'!#REF!*(3/12))))))</f>
        <v>#REF!</v>
      </c>
      <c r="G35" s="21">
        <f>(IF($D35=1990,"-",IF($D35&gt;2004,'2. EGD'!E31,(('2. EGD'!E31*(9/12))+('2. EGD'!E32*(3/12))))))</f>
        <v>408.13400000000001</v>
      </c>
    </row>
    <row r="36" spans="2:7">
      <c r="B36" s="10">
        <f t="shared" si="0"/>
        <v>24</v>
      </c>
      <c r="C36" s="9" t="s">
        <v>12</v>
      </c>
      <c r="D36" s="9">
        <v>2015</v>
      </c>
      <c r="E36" s="21">
        <f>(IF($D36=1990,"-",IF($D36&gt;2004,'2. EGD'!P32,(('2. EGD'!P32*(9/12))+('2. EGD'!P33*(3/12))))))</f>
        <v>2113.4</v>
      </c>
      <c r="F36" s="21" t="e">
        <f>(IF($D36=1990,"-",IF($D36&gt;2004,'2. EGD'!#REF!,(('2. EGD'!#REF!*(9/12))+('2. EGD'!#REF!*(3/12))))))</f>
        <v>#REF!</v>
      </c>
      <c r="G36" s="21">
        <f>(IF($D36=1990,"-",IF($D36&gt;2004,'2. EGD'!E32,(('2. EGD'!E32*(9/12))+('2. EGD'!E33*(3/12))))))</f>
        <v>430.90300000000002</v>
      </c>
    </row>
    <row r="37" spans="2:7">
      <c r="B37" s="10">
        <f t="shared" si="0"/>
        <v>25</v>
      </c>
      <c r="C37" s="9" t="s">
        <v>12</v>
      </c>
      <c r="D37" s="9">
        <v>2016</v>
      </c>
      <c r="E37" s="21">
        <f>(IF($D37=1990,"-",IF($D37&gt;2004,'2. EGD'!P33,(('2. EGD'!P33*(9/12))+('2. EGD'!#REF!*(3/12))))))</f>
        <v>2052.31</v>
      </c>
      <c r="F37" s="21" t="e">
        <f>(IF($D37=1990,"-",IF($D37&gt;2004,'2. EGD'!#REF!,(('2. EGD'!#REF!*(9/12))+('2. EGD'!#REF!*(3/12))))))</f>
        <v>#REF!</v>
      </c>
      <c r="G37" s="21">
        <f>(IF($D37=1990,"-",IF($D37&gt;2004,'2. EGD'!E33,(('2. EGD'!E33*(9/12))+('2. EGD'!#REF!*(3/12))))))</f>
        <v>449.7</v>
      </c>
    </row>
  </sheetData>
  <mergeCells count="1">
    <mergeCell ref="E11:F11"/>
  </mergeCells>
  <pageMargins left="0.2" right="0.2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D339-0502-4AB2-9428-9A12963C6E6F}">
  <dimension ref="B1:S31"/>
  <sheetViews>
    <sheetView showGridLines="0" topLeftCell="A3" zoomScale="70" zoomScaleNormal="70" zoomScaleSheetLayoutView="85" workbookViewId="0">
      <pane xSplit="4" ySplit="6" topLeftCell="E9" activePane="bottomRight" state="frozen"/>
      <selection pane="topRight" activeCell="E3" sqref="E3"/>
      <selection pane="bottomLeft" activeCell="A10" sqref="A10"/>
      <selection pane="bottomRight" activeCell="O10" sqref="O10:Q10"/>
    </sheetView>
  </sheetViews>
  <sheetFormatPr defaultColWidth="8.54296875" defaultRowHeight="14.5"/>
  <cols>
    <col min="1" max="1" width="5.81640625" style="37" customWidth="1"/>
    <col min="2" max="2" width="6.453125" style="37" customWidth="1"/>
    <col min="3" max="3" width="30.81640625" style="73" customWidth="1"/>
    <col min="4" max="4" width="13.1796875" style="73" customWidth="1"/>
    <col min="5" max="5" width="16.453125" style="37" customWidth="1"/>
    <col min="6" max="6" width="20.54296875" style="73" customWidth="1"/>
    <col min="7" max="8" width="13.453125" style="37" customWidth="1"/>
    <col min="9" max="9" width="15.54296875" style="37" customWidth="1"/>
    <col min="10" max="10" width="20.54296875" style="73" customWidth="1"/>
    <col min="11" max="17" width="13.453125" style="37" customWidth="1"/>
    <col min="18" max="18" width="12.453125" style="37" customWidth="1"/>
    <col min="19" max="19" width="20.54296875" style="73" customWidth="1"/>
    <col min="20" max="16384" width="8.54296875" style="37"/>
  </cols>
  <sheetData>
    <row r="1" spans="2:19" hidden="1"/>
    <row r="2" spans="2:19" hidden="1"/>
    <row r="3" spans="2:19" ht="19.5">
      <c r="B3" s="72" t="s">
        <v>29</v>
      </c>
    </row>
    <row r="4" spans="2:19" ht="17">
      <c r="B4" s="75" t="s">
        <v>30</v>
      </c>
    </row>
    <row r="5" spans="2:19">
      <c r="B5" s="37" t="s">
        <v>31</v>
      </c>
    </row>
    <row r="6" spans="2:19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50"/>
      <c r="M6" s="250"/>
      <c r="N6" s="250"/>
      <c r="O6" s="83"/>
      <c r="P6" s="83"/>
      <c r="Q6" s="83"/>
      <c r="R6" s="83"/>
      <c r="S6" s="83"/>
    </row>
    <row r="7" spans="2:19" ht="43.5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03" t="s">
        <v>41</v>
      </c>
      <c r="O7" s="113" t="s">
        <v>42</v>
      </c>
      <c r="P7" s="107" t="s">
        <v>43</v>
      </c>
      <c r="Q7" s="114" t="s">
        <v>44</v>
      </c>
      <c r="R7" s="119" t="s">
        <v>45</v>
      </c>
      <c r="S7" s="120" t="s">
        <v>46</v>
      </c>
    </row>
    <row r="8" spans="2:19" s="99" customFormat="1" ht="15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50</v>
      </c>
      <c r="J8" s="198"/>
      <c r="K8" s="104" t="s">
        <v>51</v>
      </c>
      <c r="L8" s="251" t="s">
        <v>52</v>
      </c>
      <c r="M8" s="252"/>
      <c r="N8" s="253"/>
      <c r="O8" s="254" t="s">
        <v>53</v>
      </c>
      <c r="P8" s="255"/>
      <c r="Q8" s="256"/>
      <c r="R8" s="225" t="s">
        <v>54</v>
      </c>
      <c r="S8" s="122"/>
    </row>
    <row r="9" spans="2:19" ht="28" customHeight="1">
      <c r="B9" s="130">
        <v>1</v>
      </c>
      <c r="C9" s="79" t="s">
        <v>55</v>
      </c>
      <c r="D9" s="79">
        <v>2019</v>
      </c>
      <c r="E9" s="109">
        <v>914.6</v>
      </c>
      <c r="F9" s="80" t="s">
        <v>56</v>
      </c>
      <c r="G9" s="81">
        <f>DSM!I29</f>
        <v>113.5</v>
      </c>
      <c r="H9" s="81">
        <f>'Bad debt'!F32</f>
        <v>12.290000000000001</v>
      </c>
      <c r="I9" s="81">
        <v>343</v>
      </c>
      <c r="J9" s="223" t="s">
        <v>57</v>
      </c>
      <c r="K9" s="94">
        <f>E9-G9-H9-I9</f>
        <v>445.81000000000006</v>
      </c>
      <c r="L9" s="128">
        <f>('2. EGD'!$E$35/('2. EGD'!$E$35+'3. UG'!$E$31))*'1. EGI'!K9*'EGD allocations'!$F$20+('3. UG'!$E$31/('3. UG'!$E$31+'2. EGD'!$E$35))*'1. EGI'!K9*'LUG allocations'!$G$15</f>
        <v>305.74588633931796</v>
      </c>
      <c r="M9" s="105">
        <f>('2. EGD'!$E$35/('2. EGD'!$E$35+'3. UG'!$E$31))*'1. EGI'!K9*'EGD allocations'!$F$19+('3. UG'!$E$31/('3. UG'!$E$31+'2. EGD'!$E$35))*'1. EGI'!K9*'LUG allocations'!$G$11</f>
        <v>96.962940680150382</v>
      </c>
      <c r="N9" s="159">
        <f>('3. UG'!$E$31/('3. UG'!$E$31+'2. EGD'!$E$35))*'1. EGI'!K9*'LUG allocations'!$G$12</f>
        <v>43.101172980531686</v>
      </c>
      <c r="O9" s="151">
        <f>('2. EGD'!$E$35/('2. EGD'!$E$35+'3. UG'!$E$31))*'1. EGI'!I9*'EGD allocations'!$F$20+('3. UG'!$E$31/('3. UG'!$E$31+'2. EGD'!$E$35))*'1. EGI'!I9*'LUG allocations'!$G$15</f>
        <v>235.2366232574102</v>
      </c>
      <c r="P9" s="108">
        <f>('2. EGD'!$E$35/('2. EGD'!$E$35+'3. UG'!$E$31))*'1. EGI'!I9*'EGD allocations'!$F$19+('3. UG'!$E$31/('3. UG'!$E$31+'2. EGD'!$E$35))*'1. EGI'!I9*'LUG allocations'!$G$11</f>
        <v>74.601935024543153</v>
      </c>
      <c r="Q9" s="118">
        <f>('3. UG'!$E$31/('3. UG'!$E$31+'2. EGD'!$E$35))*'1. EGI'!I9*'LUG allocations'!$G$12</f>
        <v>33.161441718046625</v>
      </c>
      <c r="R9" s="123">
        <f>SUM('2012-2022 labor'!D34:E37,'2012-2022 labor'!G34:H37)</f>
        <v>3801.0909999999994</v>
      </c>
      <c r="S9" s="124" t="s">
        <v>58</v>
      </c>
    </row>
    <row r="10" spans="2:19" ht="28" customHeight="1" thickBot="1">
      <c r="B10" s="131">
        <f t="shared" ref="B10" si="0">B9+1</f>
        <v>2</v>
      </c>
      <c r="C10" s="132" t="s">
        <v>55</v>
      </c>
      <c r="D10" s="132">
        <v>2020</v>
      </c>
      <c r="E10" s="110">
        <v>948.5</v>
      </c>
      <c r="F10" s="111" t="s">
        <v>56</v>
      </c>
      <c r="G10" s="112">
        <f>DSM!I30</f>
        <v>117.4</v>
      </c>
      <c r="H10" s="112">
        <f>'Bad debt'!F33</f>
        <v>15</v>
      </c>
      <c r="I10" s="112">
        <v>313</v>
      </c>
      <c r="J10" s="224" t="s">
        <v>57</v>
      </c>
      <c r="K10" s="95">
        <f>E10-G10-H10-I10</f>
        <v>503.1</v>
      </c>
      <c r="L10" s="129">
        <f>('2. EGD'!$E$35/('2. EGD'!$E$35+'3. UG'!$E$31))*'1. EGI'!K10*'EGD allocations'!$F$20+('3. UG'!$E$31/('3. UG'!$E$31+'2. EGD'!$E$35))*'1. EGI'!K10*'LUG allocations'!$G$15</f>
        <v>345.03657481283699</v>
      </c>
      <c r="M10" s="106">
        <f>('2. EGD'!$E$35/('2. EGD'!$E$35+'3. UG'!$E$31))*'1. EGI'!K10*'EGD allocations'!$F$19+('3. UG'!$E$31/('3. UG'!$E$31+'2. EGD'!$E$35))*'1. EGI'!K10*'LUG allocations'!$G$11</f>
        <v>109.42342131442466</v>
      </c>
      <c r="N10" s="160">
        <f>('3. UG'!$E$31/('3. UG'!$E$31+'2. EGD'!$E$35))*'1. EGI'!K10*'LUG allocations'!$G$12</f>
        <v>48.640003872738362</v>
      </c>
      <c r="O10" s="153">
        <f>('2. EGD'!$E$35/('2. EGD'!$E$35+'3. UG'!$E$31))*'1. EGI'!I10*'EGD allocations'!$F$20+('3. UG'!$E$31/('3. UG'!$E$31+'2. EGD'!$E$35))*'1. EGI'!I10*'LUG allocations'!$G$15</f>
        <v>214.66199148562507</v>
      </c>
      <c r="P10" s="117">
        <f>('2. EGD'!$E$35/('2. EGD'!$E$35+'3. UG'!$E$31))*'1. EGI'!I10*'EGD allocations'!$F$19+('3. UG'!$E$31/('3. UG'!$E$31+'2. EGD'!$E$35))*'1. EGI'!I10*'LUG allocations'!$G$11</f>
        <v>68.076984439306145</v>
      </c>
      <c r="Q10" s="161">
        <f>('3. UG'!$E$31/('3. UG'!$E$31+'2. EGD'!$E$35))*'1. EGI'!I10*'LUG allocations'!$G$12</f>
        <v>30.261024075068786</v>
      </c>
      <c r="R10" s="125">
        <f>SUM('2012-2022 labor'!D38:E41,'2012-2022 labor'!G38:H41)</f>
        <v>3471.1977999999999</v>
      </c>
      <c r="S10" s="126" t="s">
        <v>58</v>
      </c>
    </row>
    <row r="11" spans="2:19" ht="28" customHeight="1">
      <c r="B11" s="130"/>
      <c r="C11" s="79" t="s">
        <v>55</v>
      </c>
      <c r="D11" s="79">
        <v>2021</v>
      </c>
      <c r="E11" s="245">
        <v>920.6</v>
      </c>
      <c r="F11" s="80"/>
      <c r="G11" s="81">
        <f>132.1-15.1</f>
        <v>117</v>
      </c>
      <c r="H11" s="81">
        <v>13.7</v>
      </c>
      <c r="I11" s="81">
        <v>327.73899999999998</v>
      </c>
      <c r="J11" s="223" t="s">
        <v>57</v>
      </c>
      <c r="K11" s="244">
        <v>462.161</v>
      </c>
      <c r="L11" s="246">
        <v>316.18034432194975</v>
      </c>
      <c r="M11" s="247">
        <v>101.29865840150757</v>
      </c>
      <c r="N11" s="248">
        <v>44.681997276542702</v>
      </c>
      <c r="O11" s="151">
        <v>224.21759920835268</v>
      </c>
      <c r="P11" s="108">
        <v>71.835401528583517</v>
      </c>
      <c r="Q11" s="118">
        <v>31.685999263063795</v>
      </c>
      <c r="R11" s="123">
        <v>3516</v>
      </c>
      <c r="S11" s="124" t="s">
        <v>58</v>
      </c>
    </row>
    <row r="12" spans="2:19" ht="28" customHeight="1" thickBot="1">
      <c r="B12" s="131"/>
      <c r="C12" s="132" t="s">
        <v>55</v>
      </c>
      <c r="D12" s="132">
        <v>2022</v>
      </c>
      <c r="E12" s="110">
        <v>1002.3</v>
      </c>
      <c r="F12" s="111"/>
      <c r="G12" s="112">
        <f>132.10691727-14.207</f>
        <v>117.89991727</v>
      </c>
      <c r="H12" s="112">
        <v>15.376589970000001</v>
      </c>
      <c r="I12" s="112">
        <v>348.6</v>
      </c>
      <c r="J12" s="223" t="s">
        <v>57</v>
      </c>
      <c r="K12" s="95">
        <f>E12-G12-H12-I12</f>
        <v>520.42349275999982</v>
      </c>
      <c r="L12" s="129">
        <v>356.24497358579606</v>
      </c>
      <c r="M12" s="106">
        <v>114.13466565706568</v>
      </c>
      <c r="N12" s="160">
        <v>50.343853517138236</v>
      </c>
      <c r="O12" s="153">
        <v>238.48933170611903</v>
      </c>
      <c r="P12" s="117">
        <v>76.407815282478481</v>
      </c>
      <c r="Q12" s="161">
        <v>33.702853011402489</v>
      </c>
      <c r="R12" s="125">
        <v>3654</v>
      </c>
      <c r="S12" s="126" t="s">
        <v>59</v>
      </c>
    </row>
    <row r="13" spans="2:19" s="92" customFormat="1">
      <c r="B13" s="87"/>
      <c r="C13" s="88"/>
      <c r="D13" s="88"/>
      <c r="E13" s="89"/>
      <c r="F13" s="90"/>
      <c r="G13" s="89"/>
      <c r="H13" s="89"/>
      <c r="I13" s="89"/>
      <c r="J13" s="90"/>
      <c r="K13" s="91"/>
      <c r="L13" s="257" t="s">
        <v>60</v>
      </c>
      <c r="M13" s="258"/>
      <c r="N13" s="258"/>
      <c r="O13" s="258"/>
      <c r="P13" s="258"/>
      <c r="Q13" s="259"/>
      <c r="R13" s="89"/>
      <c r="S13" s="90"/>
    </row>
    <row r="14" spans="2:19" s="92" customFormat="1">
      <c r="B14" s="93" t="s">
        <v>61</v>
      </c>
      <c r="C14" s="133"/>
      <c r="D14" s="133"/>
      <c r="E14" s="134"/>
      <c r="F14" s="133"/>
      <c r="G14" s="134"/>
      <c r="H14" s="134"/>
      <c r="I14" s="134">
        <f>'2. EGD'!I35+'3. UG'!I31</f>
        <v>415.49</v>
      </c>
      <c r="J14" s="133"/>
      <c r="O14" s="134"/>
      <c r="R14" s="140"/>
      <c r="S14" s="135"/>
    </row>
    <row r="15" spans="2:19" s="92" customFormat="1">
      <c r="B15" s="222">
        <v>1</v>
      </c>
      <c r="C15" s="133" t="s">
        <v>62</v>
      </c>
      <c r="D15" s="133"/>
      <c r="F15" s="133"/>
      <c r="J15" s="133"/>
      <c r="S15" s="133"/>
    </row>
    <row r="16" spans="2:19" s="92" customFormat="1">
      <c r="C16" s="133" t="s">
        <v>63</v>
      </c>
      <c r="D16" s="133"/>
      <c r="F16" s="133"/>
      <c r="J16" s="133"/>
      <c r="S16" s="133"/>
    </row>
    <row r="17" spans="2:19" s="92" customFormat="1">
      <c r="C17" s="92" t="s">
        <v>64</v>
      </c>
      <c r="D17" s="133"/>
      <c r="F17" s="133"/>
      <c r="G17" s="136"/>
      <c r="H17" s="136"/>
      <c r="I17" s="136"/>
      <c r="J17" s="137"/>
      <c r="K17" s="136"/>
      <c r="L17" s="136"/>
      <c r="M17" s="136"/>
      <c r="N17" s="136"/>
      <c r="O17" s="136"/>
      <c r="P17" s="136"/>
      <c r="Q17" s="136"/>
      <c r="S17" s="133"/>
    </row>
    <row r="18" spans="2:19" s="92" customFormat="1">
      <c r="C18" s="133"/>
      <c r="D18" s="133"/>
      <c r="F18" s="133"/>
      <c r="G18" s="138"/>
      <c r="H18" s="138"/>
      <c r="I18" s="138"/>
      <c r="J18" s="139"/>
      <c r="K18" s="138"/>
      <c r="L18" s="138"/>
      <c r="M18" s="138"/>
      <c r="N18" s="138"/>
      <c r="O18" s="138"/>
      <c r="P18" s="138"/>
      <c r="Q18" s="138"/>
      <c r="S18" s="133"/>
    </row>
    <row r="19" spans="2:19" s="92" customFormat="1">
      <c r="C19" s="228" t="s">
        <v>65</v>
      </c>
      <c r="D19" s="227">
        <v>2019</v>
      </c>
      <c r="E19" s="227">
        <v>2020</v>
      </c>
      <c r="F19" s="227">
        <v>2021</v>
      </c>
      <c r="G19" s="227">
        <v>2022</v>
      </c>
      <c r="H19" s="138"/>
      <c r="I19" s="138"/>
      <c r="J19" s="139"/>
      <c r="K19" s="138"/>
      <c r="L19" s="138"/>
      <c r="M19" s="138"/>
      <c r="N19" s="138"/>
      <c r="O19" s="138"/>
      <c r="P19" s="138"/>
      <c r="Q19" s="138"/>
      <c r="S19" s="133"/>
    </row>
    <row r="20" spans="2:19" s="92" customFormat="1" ht="43.5">
      <c r="C20" s="36" t="s">
        <v>66</v>
      </c>
      <c r="D20" s="226">
        <v>343</v>
      </c>
      <c r="E20" s="226">
        <v>313</v>
      </c>
      <c r="F20" s="240">
        <v>327.73899999999998</v>
      </c>
      <c r="G20" s="243">
        <v>348.6</v>
      </c>
      <c r="H20" s="138"/>
      <c r="I20" s="221" t="s">
        <v>67</v>
      </c>
      <c r="J20" s="139"/>
      <c r="K20" s="138"/>
      <c r="L20" s="138"/>
      <c r="M20" s="138"/>
      <c r="N20" s="138"/>
      <c r="O20" s="138"/>
      <c r="P20" s="138"/>
      <c r="Q20" s="138"/>
      <c r="S20" s="133"/>
    </row>
    <row r="21" spans="2:19" s="92" customFormat="1" ht="29">
      <c r="C21" s="36" t="s">
        <v>68</v>
      </c>
      <c r="D21" s="226">
        <v>395</v>
      </c>
      <c r="E21" s="226">
        <v>355</v>
      </c>
      <c r="F21" s="242">
        <v>404.3</v>
      </c>
      <c r="G21" s="92">
        <v>398.9</v>
      </c>
      <c r="H21" s="138"/>
      <c r="I21" s="138"/>
      <c r="J21" s="139"/>
      <c r="K21" s="138"/>
      <c r="L21" s="138"/>
      <c r="M21" s="138"/>
      <c r="N21" s="138"/>
      <c r="O21" s="138"/>
      <c r="P21" s="138"/>
      <c r="Q21" s="138"/>
      <c r="S21" s="133"/>
    </row>
    <row r="22" spans="2:19" s="92" customFormat="1">
      <c r="C22" s="36"/>
      <c r="D22" s="226"/>
      <c r="E22" s="226"/>
      <c r="F22" s="133"/>
      <c r="G22" s="138"/>
      <c r="H22" s="138"/>
      <c r="I22" s="138"/>
      <c r="J22" s="139"/>
      <c r="K22" s="138"/>
      <c r="L22" s="138"/>
      <c r="M22" s="138"/>
      <c r="N22" s="138"/>
      <c r="O22" s="138"/>
      <c r="P22" s="138"/>
      <c r="Q22" s="138"/>
      <c r="S22" s="133"/>
    </row>
    <row r="23" spans="2:19" s="92" customFormat="1">
      <c r="C23" s="133"/>
      <c r="D23" s="133"/>
      <c r="F23" s="133"/>
      <c r="G23" s="138"/>
      <c r="H23" s="138"/>
      <c r="I23" s="138"/>
      <c r="J23" s="139"/>
      <c r="K23" s="138"/>
      <c r="L23" s="138"/>
      <c r="M23" s="138"/>
      <c r="N23" s="138"/>
      <c r="O23" s="138"/>
      <c r="P23" s="138"/>
      <c r="Q23" s="138"/>
      <c r="S23" s="133"/>
    </row>
    <row r="24" spans="2:19" s="92" customFormat="1">
      <c r="B24" s="222">
        <v>2</v>
      </c>
      <c r="C24" s="133" t="s">
        <v>69</v>
      </c>
      <c r="D24" s="133"/>
      <c r="F24" s="133"/>
      <c r="J24" s="133"/>
      <c r="S24" s="133"/>
    </row>
    <row r="25" spans="2:19" s="92" customFormat="1">
      <c r="D25" s="133"/>
      <c r="F25" s="133"/>
      <c r="J25" s="133"/>
      <c r="S25" s="133"/>
    </row>
    <row r="26" spans="2:19" s="92" customFormat="1">
      <c r="D26" s="133"/>
      <c r="F26" s="133"/>
      <c r="J26" s="133"/>
      <c r="S26" s="133"/>
    </row>
    <row r="27" spans="2:19" s="92" customFormat="1">
      <c r="D27" s="133"/>
      <c r="F27" s="133"/>
      <c r="J27" s="133"/>
      <c r="S27" s="133"/>
    </row>
    <row r="29" spans="2:19">
      <c r="C29" s="37"/>
      <c r="D29" s="37"/>
    </row>
    <row r="30" spans="2:19">
      <c r="C30" s="37"/>
      <c r="D30" s="37"/>
    </row>
    <row r="31" spans="2:19">
      <c r="C31" s="37"/>
      <c r="D31" s="37"/>
    </row>
  </sheetData>
  <mergeCells count="4">
    <mergeCell ref="L6:N6"/>
    <mergeCell ref="L8:N8"/>
    <mergeCell ref="O8:Q8"/>
    <mergeCell ref="L13:Q13"/>
  </mergeCells>
  <pageMargins left="0.7" right="0.2" top="0.75" bottom="0.75" header="0.3" footer="0.3"/>
  <pageSetup scale="60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Q45"/>
  <sheetViews>
    <sheetView showGridLines="0" topLeftCell="A3" zoomScale="80" zoomScaleNormal="80" zoomScaleSheetLayoutView="85" workbookViewId="0">
      <pane xSplit="4" ySplit="6" topLeftCell="E23" activePane="bottomRight" state="frozen"/>
      <selection pane="topRight" activeCell="E3" sqref="E3"/>
      <selection pane="bottomLeft" activeCell="A10" sqref="A10"/>
      <selection pane="bottomRight" activeCell="G31" sqref="G31"/>
    </sheetView>
  </sheetViews>
  <sheetFormatPr defaultColWidth="8.54296875" defaultRowHeight="14.5"/>
  <cols>
    <col min="1" max="1" width="5.81640625" style="37" customWidth="1"/>
    <col min="2" max="2" width="6.453125" style="37" customWidth="1"/>
    <col min="3" max="3" width="30.81640625" style="73" customWidth="1"/>
    <col min="4" max="4" width="13.1796875" style="73" customWidth="1"/>
    <col min="5" max="5" width="15.54296875" style="37" customWidth="1"/>
    <col min="6" max="6" width="20.54296875" style="73" customWidth="1"/>
    <col min="7" max="8" width="13.453125" style="37" customWidth="1"/>
    <col min="9" max="9" width="15.54296875" style="37" customWidth="1"/>
    <col min="10" max="10" width="20.54296875" style="73" customWidth="1"/>
    <col min="11" max="15" width="13.453125" style="37" customWidth="1"/>
    <col min="16" max="16" width="12.453125" style="37" customWidth="1"/>
    <col min="17" max="17" width="20.54296875" style="73" customWidth="1"/>
    <col min="18" max="16384" width="8.54296875" style="37"/>
  </cols>
  <sheetData>
    <row r="1" spans="2:17" hidden="1"/>
    <row r="2" spans="2:17" hidden="1"/>
    <row r="3" spans="2:17" ht="19.5">
      <c r="B3" s="72" t="s">
        <v>29</v>
      </c>
    </row>
    <row r="4" spans="2:17" ht="17">
      <c r="B4" s="74" t="s">
        <v>70</v>
      </c>
    </row>
    <row r="5" spans="2:17">
      <c r="B5" s="37" t="s">
        <v>31</v>
      </c>
    </row>
    <row r="6" spans="2:17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50"/>
      <c r="M6" s="250"/>
      <c r="N6" s="83"/>
      <c r="O6" s="83"/>
      <c r="P6" s="83"/>
      <c r="Q6" s="83"/>
    </row>
    <row r="7" spans="2:17" ht="43.5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13" t="s">
        <v>42</v>
      </c>
      <c r="O7" s="107" t="s">
        <v>43</v>
      </c>
      <c r="P7" s="119" t="s">
        <v>45</v>
      </c>
      <c r="Q7" s="120" t="s">
        <v>46</v>
      </c>
    </row>
    <row r="8" spans="2:17" s="99" customFormat="1" ht="28.5" customHeight="1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71</v>
      </c>
      <c r="J8" s="198"/>
      <c r="K8" s="104" t="s">
        <v>51</v>
      </c>
      <c r="L8" s="251" t="s">
        <v>52</v>
      </c>
      <c r="M8" s="252"/>
      <c r="N8" s="260" t="s">
        <v>53</v>
      </c>
      <c r="O8" s="261"/>
      <c r="P8" s="121"/>
      <c r="Q8" s="122"/>
    </row>
    <row r="9" spans="2:17" ht="28" customHeight="1">
      <c r="B9" s="130">
        <v>1</v>
      </c>
      <c r="C9" s="79" t="s">
        <v>12</v>
      </c>
      <c r="D9" s="79">
        <v>1992</v>
      </c>
      <c r="E9" s="109">
        <v>197.1</v>
      </c>
      <c r="F9" s="80" t="s">
        <v>72</v>
      </c>
      <c r="G9" s="82"/>
      <c r="H9" s="81">
        <f>'Bad debt'!B5</f>
        <v>5</v>
      </c>
      <c r="I9" s="81">
        <v>35.9</v>
      </c>
      <c r="J9" s="80" t="s">
        <v>73</v>
      </c>
      <c r="K9" s="94">
        <f t="shared" ref="K9:K35" si="0">E9-G9-H9-I9</f>
        <v>156.19999999999999</v>
      </c>
      <c r="L9" s="128">
        <f t="shared" ref="L9:L33" si="1">K9*0.7</f>
        <v>109.33999999999999</v>
      </c>
      <c r="M9" s="105">
        <f t="shared" ref="M9:M33" si="2">K9*0.3</f>
        <v>46.859999999999992</v>
      </c>
      <c r="N9" s="115">
        <f t="shared" ref="N9:N33" si="3">I9*0.7</f>
        <v>25.13</v>
      </c>
      <c r="O9" s="108">
        <f t="shared" ref="O9:O33" si="4">I9*0.3</f>
        <v>10.77</v>
      </c>
      <c r="P9" s="123">
        <v>1301</v>
      </c>
      <c r="Q9" s="124" t="s">
        <v>74</v>
      </c>
    </row>
    <row r="10" spans="2:17" ht="28" customHeight="1">
      <c r="B10" s="130">
        <f t="shared" ref="B10:B35" si="5">B9+1</f>
        <v>2</v>
      </c>
      <c r="C10" s="79" t="s">
        <v>12</v>
      </c>
      <c r="D10" s="79">
        <v>1993</v>
      </c>
      <c r="E10" s="109">
        <v>214.9</v>
      </c>
      <c r="F10" s="80" t="s">
        <v>75</v>
      </c>
      <c r="G10" s="82"/>
      <c r="H10" s="81">
        <f>'Bad debt'!B6</f>
        <v>9</v>
      </c>
      <c r="I10" s="81">
        <v>36.5</v>
      </c>
      <c r="J10" s="80" t="s">
        <v>76</v>
      </c>
      <c r="K10" s="94">
        <f t="shared" si="0"/>
        <v>169.4</v>
      </c>
      <c r="L10" s="128">
        <f t="shared" si="1"/>
        <v>118.58</v>
      </c>
      <c r="M10" s="105">
        <f t="shared" si="2"/>
        <v>50.82</v>
      </c>
      <c r="N10" s="115">
        <f t="shared" si="3"/>
        <v>25.549999999999997</v>
      </c>
      <c r="O10" s="108">
        <f t="shared" si="4"/>
        <v>10.95</v>
      </c>
      <c r="P10" s="123">
        <v>1312</v>
      </c>
      <c r="Q10" s="124" t="s">
        <v>77</v>
      </c>
    </row>
    <row r="11" spans="2:17" ht="28" customHeight="1">
      <c r="B11" s="130">
        <f t="shared" si="5"/>
        <v>3</v>
      </c>
      <c r="C11" s="79" t="s">
        <v>12</v>
      </c>
      <c r="D11" s="79">
        <v>1994</v>
      </c>
      <c r="E11" s="109">
        <v>225.3</v>
      </c>
      <c r="F11" s="80" t="s">
        <v>78</v>
      </c>
      <c r="G11" s="82"/>
      <c r="H11" s="81">
        <f>'Bad debt'!B7</f>
        <v>7.4</v>
      </c>
      <c r="I11" s="81">
        <v>39</v>
      </c>
      <c r="J11" s="80" t="s">
        <v>79</v>
      </c>
      <c r="K11" s="94">
        <f t="shared" si="0"/>
        <v>178.9</v>
      </c>
      <c r="L11" s="128">
        <f t="shared" si="1"/>
        <v>125.22999999999999</v>
      </c>
      <c r="M11" s="105">
        <f t="shared" si="2"/>
        <v>53.67</v>
      </c>
      <c r="N11" s="115">
        <f t="shared" si="3"/>
        <v>27.299999999999997</v>
      </c>
      <c r="O11" s="108">
        <f t="shared" si="4"/>
        <v>11.7</v>
      </c>
      <c r="P11" s="123">
        <v>1332</v>
      </c>
      <c r="Q11" s="124" t="s">
        <v>80</v>
      </c>
    </row>
    <row r="12" spans="2:17" ht="28" customHeight="1">
      <c r="B12" s="130">
        <f t="shared" si="5"/>
        <v>4</v>
      </c>
      <c r="C12" s="79" t="s">
        <v>12</v>
      </c>
      <c r="D12" s="79">
        <v>1995</v>
      </c>
      <c r="E12" s="109">
        <v>231.9</v>
      </c>
      <c r="F12" s="80" t="s">
        <v>81</v>
      </c>
      <c r="G12" s="81">
        <f>DSM!F5</f>
        <v>1.8675431100573208</v>
      </c>
      <c r="H12" s="81">
        <f>'Bad debt'!B8</f>
        <v>6.8</v>
      </c>
      <c r="I12" s="81">
        <v>39.6</v>
      </c>
      <c r="J12" s="80" t="s">
        <v>82</v>
      </c>
      <c r="K12" s="94">
        <f t="shared" si="0"/>
        <v>183.63245688994269</v>
      </c>
      <c r="L12" s="128">
        <f t="shared" si="1"/>
        <v>128.54271982295987</v>
      </c>
      <c r="M12" s="105">
        <f t="shared" si="2"/>
        <v>55.089737066982806</v>
      </c>
      <c r="N12" s="115">
        <f t="shared" si="3"/>
        <v>27.72</v>
      </c>
      <c r="O12" s="108">
        <f t="shared" si="4"/>
        <v>11.88</v>
      </c>
      <c r="P12" s="123">
        <v>1341</v>
      </c>
      <c r="Q12" s="124" t="s">
        <v>83</v>
      </c>
    </row>
    <row r="13" spans="2:17" ht="28" customHeight="1">
      <c r="B13" s="130">
        <f t="shared" si="5"/>
        <v>5</v>
      </c>
      <c r="C13" s="79" t="s">
        <v>12</v>
      </c>
      <c r="D13" s="79">
        <v>1996</v>
      </c>
      <c r="E13" s="109">
        <v>245.4</v>
      </c>
      <c r="F13" s="80" t="s">
        <v>84</v>
      </c>
      <c r="G13" s="81">
        <f>DSM!F6</f>
        <v>2.4742803456260902</v>
      </c>
      <c r="H13" s="81">
        <f>'Bad debt'!B9</f>
        <v>6.4</v>
      </c>
      <c r="I13" s="81">
        <v>38.4</v>
      </c>
      <c r="J13" s="80" t="s">
        <v>85</v>
      </c>
      <c r="K13" s="94">
        <f t="shared" si="0"/>
        <v>198.12571965437391</v>
      </c>
      <c r="L13" s="128">
        <f t="shared" si="1"/>
        <v>138.68800375806174</v>
      </c>
      <c r="M13" s="105">
        <f t="shared" si="2"/>
        <v>59.43771589631217</v>
      </c>
      <c r="N13" s="115">
        <f t="shared" si="3"/>
        <v>26.88</v>
      </c>
      <c r="O13" s="108">
        <f t="shared" si="4"/>
        <v>11.52</v>
      </c>
      <c r="P13" s="123">
        <v>1371</v>
      </c>
      <c r="Q13" s="124" t="s">
        <v>86</v>
      </c>
    </row>
    <row r="14" spans="2:17" ht="28" customHeight="1">
      <c r="B14" s="130">
        <f t="shared" si="5"/>
        <v>6</v>
      </c>
      <c r="C14" s="79" t="s">
        <v>12</v>
      </c>
      <c r="D14" s="79">
        <v>1997</v>
      </c>
      <c r="E14" s="109">
        <v>261.3</v>
      </c>
      <c r="F14" s="80" t="s">
        <v>87</v>
      </c>
      <c r="G14" s="81">
        <f>DSM!F7</f>
        <v>2.5152216217742795</v>
      </c>
      <c r="H14" s="81">
        <f>'Bad debt'!B10</f>
        <v>5.7</v>
      </c>
      <c r="I14" s="81">
        <v>39.6</v>
      </c>
      <c r="J14" s="80" t="s">
        <v>88</v>
      </c>
      <c r="K14" s="94">
        <f t="shared" si="0"/>
        <v>213.48477837822574</v>
      </c>
      <c r="L14" s="128">
        <f t="shared" si="1"/>
        <v>149.439344864758</v>
      </c>
      <c r="M14" s="105">
        <f t="shared" si="2"/>
        <v>64.045433513467714</v>
      </c>
      <c r="N14" s="115">
        <f t="shared" si="3"/>
        <v>27.72</v>
      </c>
      <c r="O14" s="108">
        <f t="shared" si="4"/>
        <v>11.88</v>
      </c>
      <c r="P14" s="123">
        <v>1572</v>
      </c>
      <c r="Q14" s="124" t="s">
        <v>89</v>
      </c>
    </row>
    <row r="15" spans="2:17" ht="28" customHeight="1">
      <c r="B15" s="130">
        <f t="shared" si="5"/>
        <v>7</v>
      </c>
      <c r="C15" s="79" t="s">
        <v>12</v>
      </c>
      <c r="D15" s="79">
        <v>1998</v>
      </c>
      <c r="E15" s="109">
        <v>242.2</v>
      </c>
      <c r="F15" s="80" t="s">
        <v>90</v>
      </c>
      <c r="G15" s="81">
        <f>DSM!F8</f>
        <v>3.0766868396466673</v>
      </c>
      <c r="H15" s="82"/>
      <c r="I15" s="81">
        <f>AVERAGE(I14,I17)</f>
        <v>59.652092096000004</v>
      </c>
      <c r="J15" s="80" t="s">
        <v>91</v>
      </c>
      <c r="K15" s="94">
        <f t="shared" si="0"/>
        <v>179.4712210643533</v>
      </c>
      <c r="L15" s="128">
        <f t="shared" si="1"/>
        <v>125.6298547450473</v>
      </c>
      <c r="M15" s="105">
        <f t="shared" si="2"/>
        <v>53.84136631930599</v>
      </c>
      <c r="N15" s="115">
        <f t="shared" si="3"/>
        <v>41.756464467199997</v>
      </c>
      <c r="O15" s="108">
        <f t="shared" si="4"/>
        <v>17.8956276288</v>
      </c>
      <c r="P15" s="123">
        <f>AVERAGE(P14,P17)</f>
        <v>1690.115</v>
      </c>
      <c r="Q15" s="124" t="s">
        <v>91</v>
      </c>
    </row>
    <row r="16" spans="2:17" ht="28" customHeight="1">
      <c r="B16" s="130">
        <f t="shared" si="5"/>
        <v>8</v>
      </c>
      <c r="C16" s="79" t="s">
        <v>12</v>
      </c>
      <c r="D16" s="79">
        <v>1999</v>
      </c>
      <c r="E16" s="109">
        <v>259.7</v>
      </c>
      <c r="F16" s="80" t="s">
        <v>92</v>
      </c>
      <c r="G16" s="81">
        <f>DSM!F9</f>
        <v>5.5847023349650113</v>
      </c>
      <c r="H16" s="82"/>
      <c r="I16" s="81">
        <f>AVERAGE(I14,I17)</f>
        <v>59.652092096000004</v>
      </c>
      <c r="J16" s="80" t="s">
        <v>91</v>
      </c>
      <c r="K16" s="94">
        <f t="shared" si="0"/>
        <v>194.46320556903498</v>
      </c>
      <c r="L16" s="128">
        <f t="shared" si="1"/>
        <v>136.12424389832447</v>
      </c>
      <c r="M16" s="105">
        <f t="shared" si="2"/>
        <v>58.338961670710489</v>
      </c>
      <c r="N16" s="115">
        <f t="shared" si="3"/>
        <v>41.756464467199997</v>
      </c>
      <c r="O16" s="108">
        <f t="shared" si="4"/>
        <v>17.8956276288</v>
      </c>
      <c r="P16" s="123">
        <f>AVERAGE(P14,P17)</f>
        <v>1690.115</v>
      </c>
      <c r="Q16" s="124" t="s">
        <v>91</v>
      </c>
    </row>
    <row r="17" spans="2:17" ht="28" customHeight="1">
      <c r="B17" s="130">
        <f t="shared" si="5"/>
        <v>9</v>
      </c>
      <c r="C17" s="79" t="s">
        <v>12</v>
      </c>
      <c r="D17" s="79">
        <v>2000</v>
      </c>
      <c r="E17" s="109">
        <v>232.7</v>
      </c>
      <c r="F17" s="80" t="s">
        <v>92</v>
      </c>
      <c r="G17" s="81">
        <f>DSM!F10</f>
        <v>7.9923387204713592</v>
      </c>
      <c r="H17" s="82"/>
      <c r="I17" s="81">
        <f>SUM('2000'!E4:E7)/1000000</f>
        <v>79.704184192</v>
      </c>
      <c r="J17" s="80" t="s">
        <v>93</v>
      </c>
      <c r="K17" s="94">
        <f t="shared" si="0"/>
        <v>145.00347708752861</v>
      </c>
      <c r="L17" s="128">
        <f t="shared" si="1"/>
        <v>101.50243396127001</v>
      </c>
      <c r="M17" s="105">
        <f t="shared" si="2"/>
        <v>43.50104312625858</v>
      </c>
      <c r="N17" s="115">
        <f t="shared" si="3"/>
        <v>55.792928934399995</v>
      </c>
      <c r="O17" s="108">
        <f t="shared" si="4"/>
        <v>23.911255257600001</v>
      </c>
      <c r="P17" s="123">
        <f>SUM('2000'!D4:D7)</f>
        <v>1808.23</v>
      </c>
      <c r="Q17" s="124" t="s">
        <v>93</v>
      </c>
    </row>
    <row r="18" spans="2:17" ht="28" customHeight="1">
      <c r="B18" s="130">
        <f t="shared" si="5"/>
        <v>10</v>
      </c>
      <c r="C18" s="79" t="s">
        <v>12</v>
      </c>
      <c r="D18" s="79">
        <v>2001</v>
      </c>
      <c r="E18" s="109">
        <v>253.5</v>
      </c>
      <c r="F18" s="80" t="s">
        <v>92</v>
      </c>
      <c r="G18" s="81">
        <f>DSM!F11</f>
        <v>10.586385697762672</v>
      </c>
      <c r="H18" s="82"/>
      <c r="I18" s="81">
        <f>SUM('2001'!E4:E7)/1000000</f>
        <v>78.235121180000021</v>
      </c>
      <c r="J18" s="80" t="s">
        <v>94</v>
      </c>
      <c r="K18" s="94">
        <f t="shared" si="0"/>
        <v>164.67849312223731</v>
      </c>
      <c r="L18" s="128">
        <f t="shared" si="1"/>
        <v>115.27494518556611</v>
      </c>
      <c r="M18" s="105">
        <f t="shared" si="2"/>
        <v>49.403547936671195</v>
      </c>
      <c r="N18" s="115">
        <f t="shared" si="3"/>
        <v>54.764584826000011</v>
      </c>
      <c r="O18" s="108">
        <f t="shared" si="4"/>
        <v>23.470536354000007</v>
      </c>
      <c r="P18" s="123">
        <f>SUM('2001'!D4:D7)</f>
        <v>1713.3300000000002</v>
      </c>
      <c r="Q18" s="124" t="s">
        <v>94</v>
      </c>
    </row>
    <row r="19" spans="2:17" ht="28" customHeight="1">
      <c r="B19" s="130">
        <f t="shared" si="5"/>
        <v>11</v>
      </c>
      <c r="C19" s="79" t="s">
        <v>12</v>
      </c>
      <c r="D19" s="79">
        <v>2002</v>
      </c>
      <c r="E19" s="109">
        <v>246.4</v>
      </c>
      <c r="F19" s="80" t="s">
        <v>92</v>
      </c>
      <c r="G19" s="81">
        <f>DSM!F12</f>
        <v>9.4275676665661159</v>
      </c>
      <c r="H19" s="82"/>
      <c r="I19" s="81">
        <f>SUM('2002'!E4:E7)/1000000</f>
        <v>82.902184883999993</v>
      </c>
      <c r="J19" s="80" t="s">
        <v>95</v>
      </c>
      <c r="K19" s="94">
        <f t="shared" si="0"/>
        <v>154.07024744943391</v>
      </c>
      <c r="L19" s="128">
        <f t="shared" si="1"/>
        <v>107.84917321460372</v>
      </c>
      <c r="M19" s="105">
        <f t="shared" si="2"/>
        <v>46.221074234830169</v>
      </c>
      <c r="N19" s="115">
        <f t="shared" si="3"/>
        <v>58.031529418799991</v>
      </c>
      <c r="O19" s="108">
        <f t="shared" si="4"/>
        <v>24.870655465199999</v>
      </c>
      <c r="P19" s="123">
        <f>SUM('2002'!D4:D7)</f>
        <v>1758.4199999999998</v>
      </c>
      <c r="Q19" s="124" t="s">
        <v>95</v>
      </c>
    </row>
    <row r="20" spans="2:17" ht="28" customHeight="1">
      <c r="B20" s="130">
        <f t="shared" si="5"/>
        <v>12</v>
      </c>
      <c r="C20" s="79" t="s">
        <v>12</v>
      </c>
      <c r="D20" s="79">
        <v>2003</v>
      </c>
      <c r="E20" s="109">
        <v>289</v>
      </c>
      <c r="F20" s="80" t="s">
        <v>96</v>
      </c>
      <c r="G20" s="81">
        <f>DSM!F13</f>
        <v>10.217782377280367</v>
      </c>
      <c r="H20" s="81">
        <f>'Bad debt'!B16</f>
        <v>10.32</v>
      </c>
      <c r="I20" s="81">
        <f>SUM('2003'!E4:E7)/1000000</f>
        <v>94.888864322000018</v>
      </c>
      <c r="J20" s="80" t="s">
        <v>97</v>
      </c>
      <c r="K20" s="94">
        <f t="shared" si="0"/>
        <v>173.57335330071965</v>
      </c>
      <c r="L20" s="128">
        <f t="shared" si="1"/>
        <v>121.50134731050375</v>
      </c>
      <c r="M20" s="105">
        <f t="shared" si="2"/>
        <v>52.072005990215892</v>
      </c>
      <c r="N20" s="115">
        <f t="shared" si="3"/>
        <v>66.422205025400004</v>
      </c>
      <c r="O20" s="108">
        <f t="shared" si="4"/>
        <v>28.466659296600003</v>
      </c>
      <c r="P20" s="123">
        <f>SUM('2003'!D4:D7)</f>
        <v>1868.4399999999998</v>
      </c>
      <c r="Q20" s="124" t="s">
        <v>97</v>
      </c>
    </row>
    <row r="21" spans="2:17" ht="28" customHeight="1">
      <c r="B21" s="130">
        <f t="shared" si="5"/>
        <v>13</v>
      </c>
      <c r="C21" s="79" t="s">
        <v>12</v>
      </c>
      <c r="D21" s="79">
        <v>2004</v>
      </c>
      <c r="E21" s="109">
        <v>303</v>
      </c>
      <c r="F21" s="80" t="s">
        <v>98</v>
      </c>
      <c r="G21" s="81">
        <f>DSM!F14</f>
        <v>11.252677953794008</v>
      </c>
      <c r="H21" s="82"/>
      <c r="I21" s="81">
        <f>SUM('2004'!E4:E7)/1000000</f>
        <v>102.950895109</v>
      </c>
      <c r="J21" s="80" t="s">
        <v>99</v>
      </c>
      <c r="K21" s="94">
        <f t="shared" si="0"/>
        <v>188.79642693720598</v>
      </c>
      <c r="L21" s="128">
        <f t="shared" si="1"/>
        <v>132.15749885604419</v>
      </c>
      <c r="M21" s="105">
        <f t="shared" si="2"/>
        <v>56.638928081161794</v>
      </c>
      <c r="N21" s="115">
        <f t="shared" si="3"/>
        <v>72.065626576299991</v>
      </c>
      <c r="O21" s="108">
        <f t="shared" si="4"/>
        <v>30.8852685327</v>
      </c>
      <c r="P21" s="123">
        <f>SUM('2004'!D4:D7)</f>
        <v>1888.76</v>
      </c>
      <c r="Q21" s="124" t="s">
        <v>99</v>
      </c>
    </row>
    <row r="22" spans="2:17" ht="28" customHeight="1">
      <c r="B22" s="130">
        <f t="shared" si="5"/>
        <v>14</v>
      </c>
      <c r="C22" s="79" t="s">
        <v>12</v>
      </c>
      <c r="D22" s="79">
        <v>2005</v>
      </c>
      <c r="E22" s="109">
        <v>312.5</v>
      </c>
      <c r="F22" s="80" t="s">
        <v>100</v>
      </c>
      <c r="G22" s="81">
        <f>DSM!F15</f>
        <v>16.541907562374725</v>
      </c>
      <c r="H22" s="81">
        <f>'Bad debt'!B18</f>
        <v>14.6</v>
      </c>
      <c r="I22" s="81">
        <f>SUM('2005'!E4:E7)/1000000</f>
        <v>115.363551331</v>
      </c>
      <c r="J22" s="80" t="s">
        <v>101</v>
      </c>
      <c r="K22" s="94">
        <f t="shared" si="0"/>
        <v>165.99454110662526</v>
      </c>
      <c r="L22" s="128">
        <f t="shared" si="1"/>
        <v>116.19617877463767</v>
      </c>
      <c r="M22" s="105">
        <f t="shared" si="2"/>
        <v>49.798362331987576</v>
      </c>
      <c r="N22" s="115">
        <f t="shared" si="3"/>
        <v>80.754485931699989</v>
      </c>
      <c r="O22" s="108">
        <f t="shared" si="4"/>
        <v>34.6090653993</v>
      </c>
      <c r="P22" s="123">
        <f>SUM('2005'!D4:D7)</f>
        <v>1994.72</v>
      </c>
      <c r="Q22" s="124" t="s">
        <v>101</v>
      </c>
    </row>
    <row r="23" spans="2:17" ht="28" customHeight="1">
      <c r="B23" s="130">
        <f t="shared" si="5"/>
        <v>15</v>
      </c>
      <c r="C23" s="79" t="s">
        <v>12</v>
      </c>
      <c r="D23" s="79">
        <v>2006</v>
      </c>
      <c r="E23" s="109">
        <f>AVERAGE(E22,E24)</f>
        <v>327.02449999999999</v>
      </c>
      <c r="F23" s="80" t="s">
        <v>102</v>
      </c>
      <c r="G23" s="81">
        <f>DSM!F16</f>
        <v>16.620229703991214</v>
      </c>
      <c r="H23" s="81">
        <v>15.450273413029002</v>
      </c>
      <c r="I23" s="81">
        <f>SUM('2006'!E4:E7)/1000000</f>
        <v>121.03473588599999</v>
      </c>
      <c r="J23" s="80" t="s">
        <v>103</v>
      </c>
      <c r="K23" s="94">
        <f t="shared" si="0"/>
        <v>173.91926099697983</v>
      </c>
      <c r="L23" s="128">
        <f t="shared" si="1"/>
        <v>121.74348269788587</v>
      </c>
      <c r="M23" s="105">
        <f t="shared" si="2"/>
        <v>52.175778299093949</v>
      </c>
      <c r="N23" s="115">
        <f t="shared" si="3"/>
        <v>84.724315120199989</v>
      </c>
      <c r="O23" s="108">
        <f t="shared" si="4"/>
        <v>36.310420765799996</v>
      </c>
      <c r="P23" s="123">
        <f>SUM('2006'!D4:D7)</f>
        <v>1923.85</v>
      </c>
      <c r="Q23" s="124" t="s">
        <v>103</v>
      </c>
    </row>
    <row r="24" spans="2:17" ht="28" customHeight="1">
      <c r="B24" s="130">
        <f t="shared" si="5"/>
        <v>16</v>
      </c>
      <c r="C24" s="79" t="s">
        <v>12</v>
      </c>
      <c r="D24" s="79">
        <v>2007</v>
      </c>
      <c r="E24" s="109">
        <v>341.54899999999998</v>
      </c>
      <c r="F24" s="80" t="s">
        <v>104</v>
      </c>
      <c r="G24" s="81">
        <f>DSM!F17</f>
        <v>18.956688034267078</v>
      </c>
      <c r="H24" s="81">
        <v>15.204959147373</v>
      </c>
      <c r="I24" s="81">
        <f>SUM('2007'!E4:E7)/1000000</f>
        <v>128.13031628500002</v>
      </c>
      <c r="J24" s="80" t="s">
        <v>105</v>
      </c>
      <c r="K24" s="94">
        <f t="shared" si="0"/>
        <v>179.25703653335987</v>
      </c>
      <c r="L24" s="128">
        <f t="shared" si="1"/>
        <v>125.47992557335189</v>
      </c>
      <c r="M24" s="105">
        <f t="shared" si="2"/>
        <v>53.77711096000796</v>
      </c>
      <c r="N24" s="115">
        <f t="shared" si="3"/>
        <v>89.691221399500009</v>
      </c>
      <c r="O24" s="108">
        <f t="shared" si="4"/>
        <v>38.439094885500005</v>
      </c>
      <c r="P24" s="123">
        <f>SUM('2007'!D4:D7)</f>
        <v>1992.63</v>
      </c>
      <c r="Q24" s="124" t="s">
        <v>105</v>
      </c>
    </row>
    <row r="25" spans="2:17" ht="28" customHeight="1">
      <c r="B25" s="130">
        <f t="shared" si="5"/>
        <v>17</v>
      </c>
      <c r="C25" s="79" t="s">
        <v>12</v>
      </c>
      <c r="D25" s="79">
        <v>2008</v>
      </c>
      <c r="E25" s="109">
        <v>346.32299999999998</v>
      </c>
      <c r="F25" s="80" t="s">
        <v>106</v>
      </c>
      <c r="G25" s="81">
        <f>DSM!F18</f>
        <v>19.904522435980432</v>
      </c>
      <c r="H25" s="81">
        <v>16.661752441371004</v>
      </c>
      <c r="I25" s="81">
        <f>SUM('2008'!E4:E7)/1000000</f>
        <v>128.37208154999999</v>
      </c>
      <c r="J25" s="80" t="s">
        <v>107</v>
      </c>
      <c r="K25" s="94">
        <f t="shared" si="0"/>
        <v>181.38464357264857</v>
      </c>
      <c r="L25" s="128">
        <f t="shared" si="1"/>
        <v>126.96925050085399</v>
      </c>
      <c r="M25" s="105">
        <f t="shared" si="2"/>
        <v>54.415393071794568</v>
      </c>
      <c r="N25" s="115">
        <f t="shared" si="3"/>
        <v>89.860457084999993</v>
      </c>
      <c r="O25" s="108">
        <f t="shared" si="4"/>
        <v>38.511624464999997</v>
      </c>
      <c r="P25" s="123">
        <f>SUM('2008'!D4:D7)</f>
        <v>1940.14</v>
      </c>
      <c r="Q25" s="124" t="s">
        <v>107</v>
      </c>
    </row>
    <row r="26" spans="2:17" ht="28" customHeight="1">
      <c r="B26" s="130">
        <f t="shared" si="5"/>
        <v>18</v>
      </c>
      <c r="C26" s="79" t="s">
        <v>12</v>
      </c>
      <c r="D26" s="79">
        <v>2009</v>
      </c>
      <c r="E26" s="109">
        <v>336.98599999999999</v>
      </c>
      <c r="F26" s="80" t="s">
        <v>108</v>
      </c>
      <c r="G26" s="81">
        <f>DSM!F19</f>
        <v>20.852356837693783</v>
      </c>
      <c r="H26" s="81">
        <v>17.830823924675968</v>
      </c>
      <c r="I26" s="81">
        <f>SUM('2009'!E4:E7)/1000000</f>
        <v>131.098209064</v>
      </c>
      <c r="J26" s="80" t="s">
        <v>109</v>
      </c>
      <c r="K26" s="94">
        <f t="shared" si="0"/>
        <v>167.20461017363027</v>
      </c>
      <c r="L26" s="128">
        <f t="shared" si="1"/>
        <v>117.04322712154118</v>
      </c>
      <c r="M26" s="105">
        <f t="shared" si="2"/>
        <v>50.161383052089079</v>
      </c>
      <c r="N26" s="115">
        <f t="shared" si="3"/>
        <v>91.768746344799993</v>
      </c>
      <c r="O26" s="108">
        <f t="shared" si="4"/>
        <v>39.329462719200002</v>
      </c>
      <c r="P26" s="123">
        <f>SUM('2009'!D4:D7)</f>
        <v>1887.2799999999997</v>
      </c>
      <c r="Q26" s="124" t="s">
        <v>109</v>
      </c>
    </row>
    <row r="27" spans="2:17" ht="28" customHeight="1">
      <c r="B27" s="130">
        <f t="shared" si="5"/>
        <v>19</v>
      </c>
      <c r="C27" s="79" t="s">
        <v>12</v>
      </c>
      <c r="D27" s="79">
        <v>2010</v>
      </c>
      <c r="E27" s="109">
        <v>346.74599999999998</v>
      </c>
      <c r="F27" s="80" t="s">
        <v>110</v>
      </c>
      <c r="G27" s="81">
        <f>DSM!F20</f>
        <v>21.972524766991384</v>
      </c>
      <c r="H27" s="81">
        <v>11.499940054225453</v>
      </c>
      <c r="I27" s="81">
        <f>SUM('2010'!E4:E7)/1000000</f>
        <v>140.93822827699998</v>
      </c>
      <c r="J27" s="80" t="s">
        <v>111</v>
      </c>
      <c r="K27" s="94">
        <f t="shared" si="0"/>
        <v>172.33530690178313</v>
      </c>
      <c r="L27" s="128">
        <f t="shared" si="1"/>
        <v>120.63471483124817</v>
      </c>
      <c r="M27" s="105">
        <f t="shared" si="2"/>
        <v>51.700592070534938</v>
      </c>
      <c r="N27" s="115">
        <f t="shared" si="3"/>
        <v>98.65675979389998</v>
      </c>
      <c r="O27" s="108">
        <f t="shared" si="4"/>
        <v>42.281468483099992</v>
      </c>
      <c r="P27" s="123">
        <f>SUM('2010'!D4:D7)</f>
        <v>1942.3200000000002</v>
      </c>
      <c r="Q27" s="124" t="s">
        <v>111</v>
      </c>
    </row>
    <row r="28" spans="2:17" ht="28" customHeight="1">
      <c r="B28" s="130">
        <f t="shared" si="5"/>
        <v>20</v>
      </c>
      <c r="C28" s="79" t="s">
        <v>12</v>
      </c>
      <c r="D28" s="79">
        <v>2011</v>
      </c>
      <c r="E28" s="109">
        <v>360.51100000000002</v>
      </c>
      <c r="F28" s="80" t="s">
        <v>112</v>
      </c>
      <c r="G28" s="81">
        <f>DSM!F21</f>
        <v>23.00652593249686</v>
      </c>
      <c r="H28" s="81">
        <v>18.613552858380242</v>
      </c>
      <c r="I28" s="81">
        <f>SUM('2011'!E4:E7)/1000000</f>
        <v>152.74270264200001</v>
      </c>
      <c r="J28" s="80" t="s">
        <v>113</v>
      </c>
      <c r="K28" s="94">
        <f t="shared" si="0"/>
        <v>166.14821856712294</v>
      </c>
      <c r="L28" s="128">
        <f t="shared" si="1"/>
        <v>116.30375299698605</v>
      </c>
      <c r="M28" s="105">
        <f t="shared" si="2"/>
        <v>49.844465570136883</v>
      </c>
      <c r="N28" s="115">
        <f t="shared" si="3"/>
        <v>106.9198918494</v>
      </c>
      <c r="O28" s="108">
        <f t="shared" si="4"/>
        <v>45.822810792600002</v>
      </c>
      <c r="P28" s="123">
        <f>SUM('2011'!D4:D7)</f>
        <v>2008.27</v>
      </c>
      <c r="Q28" s="124" t="s">
        <v>113</v>
      </c>
    </row>
    <row r="29" spans="2:17" ht="28" customHeight="1">
      <c r="B29" s="130">
        <f t="shared" si="5"/>
        <v>21</v>
      </c>
      <c r="C29" s="79" t="s">
        <v>12</v>
      </c>
      <c r="D29" s="79">
        <v>2012</v>
      </c>
      <c r="E29" s="109">
        <v>391.4</v>
      </c>
      <c r="F29" s="80" t="s">
        <v>114</v>
      </c>
      <c r="G29" s="81">
        <f>DSM!F22</f>
        <v>24.212860625586586</v>
      </c>
      <c r="H29" s="81">
        <v>9.4590738314952958</v>
      </c>
      <c r="I29" s="81">
        <f>SUM('2012'!E4:E7)/1000000</f>
        <v>167.07074530599999</v>
      </c>
      <c r="J29" s="80" t="s">
        <v>115</v>
      </c>
      <c r="K29" s="94">
        <f t="shared" si="0"/>
        <v>190.65732023691811</v>
      </c>
      <c r="L29" s="128">
        <f t="shared" si="1"/>
        <v>133.46012416584267</v>
      </c>
      <c r="M29" s="105">
        <f t="shared" si="2"/>
        <v>57.197196071075432</v>
      </c>
      <c r="N29" s="115">
        <f t="shared" si="3"/>
        <v>116.94952171419999</v>
      </c>
      <c r="O29" s="108">
        <f t="shared" si="4"/>
        <v>50.121223591799996</v>
      </c>
      <c r="P29" s="123">
        <f>SUM('2012'!D4:D7)</f>
        <v>2103.67</v>
      </c>
      <c r="Q29" s="124" t="s">
        <v>115</v>
      </c>
    </row>
    <row r="30" spans="2:17" ht="28" customHeight="1">
      <c r="B30" s="130">
        <f t="shared" si="5"/>
        <v>22</v>
      </c>
      <c r="C30" s="79" t="s">
        <v>12</v>
      </c>
      <c r="D30" s="79">
        <v>2013</v>
      </c>
      <c r="E30" s="109">
        <v>415.5</v>
      </c>
      <c r="F30" s="80" t="s">
        <v>116</v>
      </c>
      <c r="G30" s="81">
        <f>DSM!F23</f>
        <v>27.228697358310896</v>
      </c>
      <c r="H30" s="81">
        <v>9.2930113801511567</v>
      </c>
      <c r="I30" s="81">
        <f>SUM('2013'!E4:E7)/1000000</f>
        <v>179.52918772799998</v>
      </c>
      <c r="J30" s="80" t="s">
        <v>117</v>
      </c>
      <c r="K30" s="94">
        <f t="shared" si="0"/>
        <v>199.44910353353796</v>
      </c>
      <c r="L30" s="128">
        <f t="shared" si="1"/>
        <v>139.61437247347658</v>
      </c>
      <c r="M30" s="105">
        <f t="shared" si="2"/>
        <v>59.834731060061387</v>
      </c>
      <c r="N30" s="115">
        <f t="shared" si="3"/>
        <v>125.67043140959998</v>
      </c>
      <c r="O30" s="108">
        <f t="shared" si="4"/>
        <v>53.85875631839999</v>
      </c>
      <c r="P30" s="123">
        <f>SUM('2013'!D4:D7)</f>
        <v>2213.3000000000002</v>
      </c>
      <c r="Q30" s="124" t="s">
        <v>117</v>
      </c>
    </row>
    <row r="31" spans="2:17" ht="28" customHeight="1">
      <c r="B31" s="130">
        <f t="shared" si="5"/>
        <v>23</v>
      </c>
      <c r="C31" s="79" t="s">
        <v>12</v>
      </c>
      <c r="D31" s="79">
        <v>2014</v>
      </c>
      <c r="E31" s="109">
        <v>408.13400000000001</v>
      </c>
      <c r="F31" s="80" t="s">
        <v>118</v>
      </c>
      <c r="G31" s="81">
        <f>DSM!F24</f>
        <v>27.745697941063636</v>
      </c>
      <c r="H31" s="81">
        <v>12.147455687779585</v>
      </c>
      <c r="I31" s="81">
        <f>SUM('2014'!E4:E7)/1000000</f>
        <v>181.47240776799998</v>
      </c>
      <c r="J31" s="80" t="s">
        <v>119</v>
      </c>
      <c r="K31" s="94">
        <f t="shared" si="0"/>
        <v>186.76843860315682</v>
      </c>
      <c r="L31" s="128">
        <f t="shared" si="1"/>
        <v>130.73790702220978</v>
      </c>
      <c r="M31" s="105">
        <f t="shared" si="2"/>
        <v>56.030531580947049</v>
      </c>
      <c r="N31" s="115">
        <f t="shared" si="3"/>
        <v>127.03068543759998</v>
      </c>
      <c r="O31" s="108">
        <f t="shared" si="4"/>
        <v>54.44172233039999</v>
      </c>
      <c r="P31" s="123">
        <f>SUM('2014'!D4:D7)</f>
        <v>2186.29</v>
      </c>
      <c r="Q31" s="124" t="s">
        <v>119</v>
      </c>
    </row>
    <row r="32" spans="2:17" ht="28" customHeight="1">
      <c r="B32" s="130">
        <f t="shared" si="5"/>
        <v>24</v>
      </c>
      <c r="C32" s="79" t="s">
        <v>12</v>
      </c>
      <c r="D32" s="79">
        <v>2015</v>
      </c>
      <c r="E32" s="109">
        <v>430.90300000000002</v>
      </c>
      <c r="F32" s="80" t="s">
        <v>120</v>
      </c>
      <c r="G32" s="81">
        <f>DSM!F25</f>
        <v>28.551143504614092</v>
      </c>
      <c r="H32" s="81">
        <v>10.032639375511506</v>
      </c>
      <c r="I32" s="81">
        <f>SUM('2015'!E4:E7)/1000000</f>
        <v>178.67468093700001</v>
      </c>
      <c r="J32" s="80" t="s">
        <v>121</v>
      </c>
      <c r="K32" s="94">
        <f t="shared" si="0"/>
        <v>213.64453618287439</v>
      </c>
      <c r="L32" s="128">
        <f t="shared" si="1"/>
        <v>149.55117532801205</v>
      </c>
      <c r="M32" s="105">
        <f t="shared" si="2"/>
        <v>64.093360854862311</v>
      </c>
      <c r="N32" s="115">
        <f t="shared" si="3"/>
        <v>125.0722766559</v>
      </c>
      <c r="O32" s="108">
        <f t="shared" si="4"/>
        <v>53.6024042811</v>
      </c>
      <c r="P32" s="123">
        <f>SUM('2015'!D4:D7)</f>
        <v>2113.4</v>
      </c>
      <c r="Q32" s="124" t="s">
        <v>121</v>
      </c>
    </row>
    <row r="33" spans="2:17" ht="28" customHeight="1">
      <c r="B33" s="130">
        <f t="shared" si="5"/>
        <v>25</v>
      </c>
      <c r="C33" s="79" t="s">
        <v>12</v>
      </c>
      <c r="D33" s="79">
        <v>2016</v>
      </c>
      <c r="E33" s="109">
        <v>449.7</v>
      </c>
      <c r="F33" s="80" t="s">
        <v>122</v>
      </c>
      <c r="G33" s="81">
        <f>DSM!F26</f>
        <v>49.996838992257366</v>
      </c>
      <c r="H33" s="81">
        <v>7.0733040319881919</v>
      </c>
      <c r="I33" s="81">
        <f>SUM('2016'!E4:E7)/1000000</f>
        <v>175.15831291800001</v>
      </c>
      <c r="J33" s="80" t="s">
        <v>123</v>
      </c>
      <c r="K33" s="94">
        <f t="shared" si="0"/>
        <v>217.47154405775441</v>
      </c>
      <c r="L33" s="128">
        <f t="shared" si="1"/>
        <v>152.23008084042809</v>
      </c>
      <c r="M33" s="105">
        <f t="shared" si="2"/>
        <v>65.241463217326327</v>
      </c>
      <c r="N33" s="115">
        <f t="shared" si="3"/>
        <v>122.6108190426</v>
      </c>
      <c r="O33" s="108">
        <f t="shared" si="4"/>
        <v>52.547493875400001</v>
      </c>
      <c r="P33" s="123">
        <f>SUM('2016'!D4:D7)</f>
        <v>2052.31</v>
      </c>
      <c r="Q33" s="124" t="s">
        <v>123</v>
      </c>
    </row>
    <row r="34" spans="2:17" ht="28" customHeight="1">
      <c r="B34" s="130">
        <f t="shared" si="5"/>
        <v>26</v>
      </c>
      <c r="C34" s="79" t="s">
        <v>12</v>
      </c>
      <c r="D34" s="79">
        <v>2017</v>
      </c>
      <c r="E34" s="109">
        <v>431.5</v>
      </c>
      <c r="F34" s="80" t="s">
        <v>124</v>
      </c>
      <c r="G34" s="81">
        <f>DSM!F27</f>
        <v>54.651457668805463</v>
      </c>
      <c r="H34" s="81">
        <v>6.000000012854537</v>
      </c>
      <c r="I34" s="81">
        <v>170</v>
      </c>
      <c r="J34" s="80" t="s">
        <v>125</v>
      </c>
      <c r="K34" s="94">
        <f t="shared" si="0"/>
        <v>200.84854231834004</v>
      </c>
      <c r="L34" s="128">
        <f>K34*0.66</f>
        <v>132.56003793010444</v>
      </c>
      <c r="M34" s="105">
        <f>K34*0.34</f>
        <v>68.288504388235623</v>
      </c>
      <c r="N34" s="115">
        <f>I34*0.66</f>
        <v>112.2</v>
      </c>
      <c r="O34" s="108">
        <f>I34*0.34</f>
        <v>57.800000000000004</v>
      </c>
      <c r="P34" s="123">
        <f>SUM('2012-2022 labor'!G26:H29)</f>
        <v>1941.1356000000003</v>
      </c>
      <c r="Q34" s="124" t="s">
        <v>126</v>
      </c>
    </row>
    <row r="35" spans="2:17" ht="28" customHeight="1" thickBot="1">
      <c r="B35" s="131">
        <f t="shared" si="5"/>
        <v>27</v>
      </c>
      <c r="C35" s="132" t="s">
        <v>12</v>
      </c>
      <c r="D35" s="132">
        <v>2018</v>
      </c>
      <c r="E35" s="110">
        <v>437.4</v>
      </c>
      <c r="F35" s="111" t="s">
        <v>127</v>
      </c>
      <c r="G35" s="112">
        <f>DSM!F28</f>
        <v>59.126939408025272</v>
      </c>
      <c r="H35" s="112">
        <v>6.1719999078244063</v>
      </c>
      <c r="I35" s="112">
        <v>171</v>
      </c>
      <c r="J35" s="111" t="s">
        <v>125</v>
      </c>
      <c r="K35" s="95">
        <f t="shared" si="0"/>
        <v>201.1010606841503</v>
      </c>
      <c r="L35" s="129">
        <f>K35*0.66</f>
        <v>132.72670005153921</v>
      </c>
      <c r="M35" s="106">
        <f>K35*0.34</f>
        <v>68.374360632611101</v>
      </c>
      <c r="N35" s="116">
        <f>I35*0.66</f>
        <v>112.86</v>
      </c>
      <c r="O35" s="117">
        <f>I35*0.34</f>
        <v>58.140000000000008</v>
      </c>
      <c r="P35" s="125">
        <f>SUM('2012-2022 labor'!G30:H33)</f>
        <v>1941.0535</v>
      </c>
      <c r="Q35" s="126" t="s">
        <v>126</v>
      </c>
    </row>
    <row r="36" spans="2:17" s="92" customFormat="1" ht="28" customHeight="1">
      <c r="B36" s="87"/>
      <c r="C36" s="88"/>
      <c r="D36" s="88"/>
      <c r="E36" s="89"/>
      <c r="F36" s="90"/>
      <c r="G36" s="89"/>
      <c r="H36" s="89"/>
      <c r="I36" s="89"/>
      <c r="J36" s="90"/>
      <c r="K36" s="91"/>
      <c r="L36" s="91"/>
      <c r="M36" s="91"/>
      <c r="N36" s="89"/>
      <c r="O36" s="91"/>
      <c r="P36" s="89"/>
      <c r="Q36" s="90"/>
    </row>
    <row r="37" spans="2:17" s="92" customFormat="1">
      <c r="B37" s="93" t="s">
        <v>61</v>
      </c>
      <c r="C37" s="133"/>
      <c r="D37" s="133"/>
      <c r="E37" s="134"/>
      <c r="F37" s="133"/>
      <c r="G37" s="134"/>
      <c r="H37" s="134"/>
      <c r="I37" s="134"/>
      <c r="J37" s="133"/>
      <c r="N37" s="134"/>
      <c r="P37" s="140"/>
      <c r="Q37" s="135"/>
    </row>
    <row r="38" spans="2:17" s="92" customFormat="1">
      <c r="B38" s="222">
        <v>1</v>
      </c>
      <c r="C38" s="92" t="s">
        <v>128</v>
      </c>
      <c r="D38" s="133"/>
      <c r="F38" s="133"/>
      <c r="J38" s="133"/>
      <c r="Q38" s="133"/>
    </row>
    <row r="39" spans="2:17" s="92" customFormat="1">
      <c r="C39" s="92" t="s">
        <v>129</v>
      </c>
      <c r="D39" s="133"/>
      <c r="F39" s="133"/>
      <c r="J39" s="133"/>
      <c r="Q39" s="133"/>
    </row>
    <row r="40" spans="2:17" s="92" customFormat="1">
      <c r="D40" s="133"/>
      <c r="F40" s="133"/>
      <c r="G40" s="136"/>
      <c r="H40" s="136"/>
      <c r="I40" s="136"/>
      <c r="J40" s="137"/>
      <c r="K40" s="136"/>
      <c r="L40" s="136"/>
      <c r="M40" s="136"/>
      <c r="N40" s="136"/>
      <c r="O40" s="136"/>
      <c r="Q40" s="133"/>
    </row>
    <row r="41" spans="2:17" s="92" customFormat="1">
      <c r="D41" s="133"/>
      <c r="F41" s="133"/>
      <c r="G41" s="138"/>
      <c r="H41" s="138"/>
      <c r="I41" s="138"/>
      <c r="J41" s="139"/>
      <c r="K41" s="138"/>
      <c r="L41" s="138"/>
      <c r="M41" s="138"/>
      <c r="N41" s="138"/>
      <c r="O41" s="138"/>
      <c r="Q41" s="133"/>
    </row>
    <row r="42" spans="2:17" s="92" customFormat="1">
      <c r="D42" s="133"/>
      <c r="F42" s="133"/>
      <c r="J42" s="133"/>
      <c r="Q42" s="133"/>
    </row>
    <row r="43" spans="2:17" s="92" customFormat="1">
      <c r="C43" s="133"/>
      <c r="D43" s="133"/>
      <c r="F43" s="133"/>
      <c r="J43" s="133"/>
      <c r="Q43" s="133"/>
    </row>
    <row r="44" spans="2:17" s="92" customFormat="1">
      <c r="C44" s="133"/>
      <c r="D44" s="133"/>
      <c r="F44" s="133"/>
      <c r="J44" s="133"/>
      <c r="Q44" s="133"/>
    </row>
    <row r="45" spans="2:17" s="92" customFormat="1">
      <c r="C45" s="133"/>
      <c r="D45" s="133"/>
      <c r="F45" s="133"/>
      <c r="J45" s="133"/>
      <c r="Q45" s="133"/>
    </row>
  </sheetData>
  <mergeCells count="3">
    <mergeCell ref="L8:M8"/>
    <mergeCell ref="L6:M6"/>
    <mergeCell ref="N8:O8"/>
  </mergeCells>
  <pageMargins left="0.7" right="0.2" top="0.75" bottom="0.75" header="0.3" footer="0.3"/>
  <pageSetup scale="60" orientation="portrait" r:id="rId1"/>
  <customProperties>
    <customPr name="EpmWorksheetKeyString_GUID" r:id="rId2"/>
  </customProperties>
  <ignoredErrors>
    <ignoredError sqref="B21:B3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9461-994A-4DC5-B592-CF911536ECC2}">
  <dimension ref="B1:AB37"/>
  <sheetViews>
    <sheetView showGridLines="0" topLeftCell="A3" zoomScaleNormal="100" zoomScaleSheetLayoutView="85" workbookViewId="0">
      <pane xSplit="4" ySplit="6" topLeftCell="E17" activePane="bottomRight" state="frozen"/>
      <selection pane="topRight" activeCell="E3" sqref="E3"/>
      <selection pane="bottomLeft" activeCell="A10" sqref="A10"/>
      <selection pane="bottomRight" activeCell="G30" sqref="G30:G31"/>
    </sheetView>
  </sheetViews>
  <sheetFormatPr defaultColWidth="8.54296875" defaultRowHeight="14.5"/>
  <cols>
    <col min="1" max="1" width="5.81640625" style="37" customWidth="1"/>
    <col min="2" max="2" width="6.453125" style="37" customWidth="1"/>
    <col min="3" max="3" width="25.81640625" style="73" customWidth="1"/>
    <col min="4" max="4" width="13.1796875" style="73" customWidth="1"/>
    <col min="5" max="5" width="15.54296875" style="37" customWidth="1"/>
    <col min="6" max="6" width="20.54296875" style="73" customWidth="1"/>
    <col min="7" max="8" width="13.453125" style="37" customWidth="1"/>
    <col min="9" max="9" width="15.54296875" style="37" customWidth="1"/>
    <col min="10" max="10" width="20.54296875" style="73" customWidth="1"/>
    <col min="11" max="17" width="13.453125" style="37" customWidth="1"/>
    <col min="18" max="18" width="12.453125" style="37" customWidth="1"/>
    <col min="19" max="19" width="20.54296875" style="73" customWidth="1"/>
    <col min="20" max="20" width="8.54296875" style="37" customWidth="1"/>
    <col min="21" max="16384" width="8.54296875" style="37"/>
  </cols>
  <sheetData>
    <row r="1" spans="2:28" hidden="1"/>
    <row r="2" spans="2:28" hidden="1"/>
    <row r="3" spans="2:28" ht="19.5">
      <c r="B3" s="72" t="s">
        <v>29</v>
      </c>
    </row>
    <row r="4" spans="2:28" ht="17">
      <c r="B4" s="74" t="s">
        <v>130</v>
      </c>
    </row>
    <row r="5" spans="2:28">
      <c r="B5" s="37" t="s">
        <v>31</v>
      </c>
    </row>
    <row r="6" spans="2:28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50"/>
      <c r="M6" s="250"/>
      <c r="N6" s="250"/>
      <c r="O6" s="83"/>
      <c r="P6" s="83"/>
      <c r="Q6" s="83"/>
      <c r="R6" s="83"/>
      <c r="S6" s="83"/>
    </row>
    <row r="7" spans="2:28" ht="43.5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03" t="s">
        <v>41</v>
      </c>
      <c r="O7" s="113" t="s">
        <v>42</v>
      </c>
      <c r="P7" s="107" t="s">
        <v>43</v>
      </c>
      <c r="Q7" s="114" t="s">
        <v>44</v>
      </c>
      <c r="R7" s="119" t="s">
        <v>45</v>
      </c>
      <c r="S7" s="120" t="s">
        <v>46</v>
      </c>
    </row>
    <row r="8" spans="2:28" s="99" customFormat="1" ht="15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71</v>
      </c>
      <c r="J8" s="198"/>
      <c r="K8" s="104" t="s">
        <v>51</v>
      </c>
      <c r="L8" s="251" t="s">
        <v>52</v>
      </c>
      <c r="M8" s="252"/>
      <c r="N8" s="253"/>
      <c r="O8" s="254" t="s">
        <v>53</v>
      </c>
      <c r="P8" s="255"/>
      <c r="Q8" s="256"/>
      <c r="R8" s="121"/>
      <c r="S8" s="122"/>
    </row>
    <row r="9" spans="2:28" ht="28" customHeight="1">
      <c r="B9" s="130">
        <v>1</v>
      </c>
      <c r="C9" s="79" t="s">
        <v>131</v>
      </c>
      <c r="D9" s="79">
        <v>1996</v>
      </c>
      <c r="E9" s="141"/>
      <c r="F9" s="142"/>
      <c r="G9" s="82"/>
      <c r="H9" s="82"/>
      <c r="I9" s="82"/>
      <c r="J9" s="142"/>
      <c r="K9" s="145"/>
      <c r="L9" s="150"/>
      <c r="M9" s="146"/>
      <c r="N9" s="147"/>
      <c r="O9" s="150"/>
      <c r="P9" s="146"/>
      <c r="Q9" s="147"/>
      <c r="R9" s="123">
        <v>3372</v>
      </c>
      <c r="S9" s="124" t="s">
        <v>132</v>
      </c>
      <c r="T9" s="144"/>
      <c r="U9" s="77"/>
      <c r="V9" s="77"/>
      <c r="W9" s="77"/>
      <c r="X9" s="144"/>
      <c r="Y9" s="77"/>
      <c r="Z9" s="77"/>
      <c r="AA9" s="77"/>
      <c r="AB9" s="144"/>
    </row>
    <row r="10" spans="2:28" ht="28" customHeight="1">
      <c r="B10" s="130">
        <f t="shared" ref="B10:B31" si="0">B9+1</f>
        <v>2</v>
      </c>
      <c r="C10" s="79" t="s">
        <v>131</v>
      </c>
      <c r="D10" s="79">
        <v>1997</v>
      </c>
      <c r="E10" s="109">
        <v>287.5887680405682</v>
      </c>
      <c r="F10" s="90" t="s">
        <v>133</v>
      </c>
      <c r="G10" s="89">
        <v>2.5586725016625143</v>
      </c>
      <c r="H10" s="89">
        <v>6.1559436966582384</v>
      </c>
      <c r="I10" s="89">
        <v>193.202561527005</v>
      </c>
      <c r="J10" s="80" t="s">
        <v>134</v>
      </c>
      <c r="K10" s="143">
        <f t="shared" ref="K10:K31" si="1">E10-G10-H10-I10</f>
        <v>85.67159031524244</v>
      </c>
      <c r="L10" s="235">
        <f>$K10*'LUG allocations'!$P$54</f>
        <v>63.60057246047424</v>
      </c>
      <c r="M10" s="236">
        <f>$K10*'LUG allocations'!$P$52</f>
        <v>13.023347385739644</v>
      </c>
      <c r="N10" s="237">
        <f>$K10*'LUG allocations'!$P$53</f>
        <v>9.0476704690285512</v>
      </c>
      <c r="O10" s="151">
        <f>$I10*'LUG allocations'!$P$54</f>
        <v>143.42903486129526</v>
      </c>
      <c r="P10" s="108">
        <f>$I10*'LUG allocations'!$P$52</f>
        <v>29.369643604401006</v>
      </c>
      <c r="Q10" s="152">
        <f>$I10*'LUG allocations'!$P$53</f>
        <v>20.403883061308715</v>
      </c>
      <c r="R10" s="123">
        <v>3072</v>
      </c>
      <c r="S10" s="124" t="s">
        <v>132</v>
      </c>
      <c r="T10" s="144"/>
      <c r="U10" s="77"/>
      <c r="V10" s="77"/>
      <c r="W10" s="77"/>
      <c r="X10" s="144"/>
      <c r="Y10" s="77"/>
      <c r="Z10" s="77"/>
      <c r="AA10" s="77"/>
      <c r="AB10" s="144"/>
    </row>
    <row r="11" spans="2:28" ht="28" customHeight="1">
      <c r="B11" s="130">
        <f t="shared" si="0"/>
        <v>3</v>
      </c>
      <c r="C11" s="79" t="s">
        <v>131</v>
      </c>
      <c r="D11" s="79">
        <v>1998</v>
      </c>
      <c r="E11" s="109">
        <v>283.0754609404305</v>
      </c>
      <c r="F11" s="90" t="s">
        <v>133</v>
      </c>
      <c r="G11" s="89">
        <v>2.1188545813029829</v>
      </c>
      <c r="H11" s="89">
        <v>6.1559436966582384</v>
      </c>
      <c r="I11" s="89">
        <v>191.37800556033301</v>
      </c>
      <c r="J11" s="80" t="s">
        <v>134</v>
      </c>
      <c r="K11" s="143">
        <f t="shared" si="1"/>
        <v>83.42265710213627</v>
      </c>
      <c r="L11" s="235">
        <f>$K11*'LUG allocations'!$P$54</f>
        <v>61.931017369310283</v>
      </c>
      <c r="M11" s="236">
        <f>$K11*'LUG allocations'!$P$52</f>
        <v>12.681476313032379</v>
      </c>
      <c r="N11" s="237">
        <f>$K11*'LUG allocations'!$P$53</f>
        <v>8.8101634197936072</v>
      </c>
      <c r="O11" s="151">
        <f>$I11*'LUG allocations'!$P$54</f>
        <v>142.07452745061789</v>
      </c>
      <c r="P11" s="108">
        <f>$I11*'LUG allocations'!$P$52</f>
        <v>29.09228414263243</v>
      </c>
      <c r="Q11" s="152">
        <f>$I11*'LUG allocations'!$P$53</f>
        <v>20.211193967082679</v>
      </c>
      <c r="R11" s="123">
        <v>2958</v>
      </c>
      <c r="S11" s="124" t="s">
        <v>132</v>
      </c>
      <c r="T11" s="144"/>
      <c r="U11" s="77"/>
      <c r="V11" s="77"/>
      <c r="W11" s="77"/>
      <c r="X11" s="144"/>
      <c r="Y11" s="77"/>
      <c r="Z11" s="77"/>
      <c r="AA11" s="77"/>
      <c r="AB11" s="144"/>
    </row>
    <row r="12" spans="2:28" ht="28" customHeight="1">
      <c r="B12" s="130">
        <f t="shared" si="0"/>
        <v>4</v>
      </c>
      <c r="C12" s="79" t="s">
        <v>131</v>
      </c>
      <c r="D12" s="79">
        <v>1999</v>
      </c>
      <c r="E12" s="109">
        <v>248.11732718359877</v>
      </c>
      <c r="F12" s="90" t="s">
        <v>133</v>
      </c>
      <c r="G12" s="89">
        <v>2.5330823535616274</v>
      </c>
      <c r="H12" s="89">
        <v>6.1559436966582384</v>
      </c>
      <c r="I12" s="89">
        <v>163.24030739409699</v>
      </c>
      <c r="J12" s="80" t="s">
        <v>134</v>
      </c>
      <c r="K12" s="143">
        <f t="shared" si="1"/>
        <v>76.187993739281922</v>
      </c>
      <c r="L12" s="235">
        <f>$K12*'LUG allocations'!$T$54</f>
        <v>46.819939364556298</v>
      </c>
      <c r="M12" s="236">
        <f>$K12*'LUG allocations'!$T$52</f>
        <v>10.940301184417487</v>
      </c>
      <c r="N12" s="237">
        <f>$K12*'LUG allocations'!$T$53</f>
        <v>18.427753190308138</v>
      </c>
      <c r="O12" s="151">
        <f>$I12*'LUG allocations'!$T$54</f>
        <v>100.31634800881405</v>
      </c>
      <c r="P12" s="108">
        <f>$I12*'LUG allocations'!$T$52</f>
        <v>23.440676682466822</v>
      </c>
      <c r="Q12" s="152">
        <f>$I12*'LUG allocations'!$T$53</f>
        <v>39.483282702816112</v>
      </c>
      <c r="R12" s="123">
        <v>2199</v>
      </c>
      <c r="S12" s="124" t="s">
        <v>132</v>
      </c>
      <c r="T12" s="144"/>
      <c r="U12" s="77"/>
      <c r="V12" s="77"/>
      <c r="W12" s="77"/>
      <c r="X12" s="144"/>
      <c r="Y12" s="77"/>
      <c r="Z12" s="77"/>
      <c r="AA12" s="77"/>
      <c r="AB12" s="144"/>
    </row>
    <row r="13" spans="2:28" ht="28" customHeight="1">
      <c r="B13" s="130">
        <f t="shared" si="0"/>
        <v>5</v>
      </c>
      <c r="C13" s="79" t="s">
        <v>131</v>
      </c>
      <c r="D13" s="79">
        <v>2000</v>
      </c>
      <c r="E13" s="109">
        <v>242.1548185055299</v>
      </c>
      <c r="F13" s="90" t="s">
        <v>132</v>
      </c>
      <c r="G13" s="89">
        <v>3.0579552736689912</v>
      </c>
      <c r="H13" s="89">
        <v>6.1486249373662893</v>
      </c>
      <c r="I13" s="89">
        <v>144.81793518999999</v>
      </c>
      <c r="J13" s="80" t="s">
        <v>132</v>
      </c>
      <c r="K13" s="143">
        <f t="shared" si="1"/>
        <v>88.130303104494629</v>
      </c>
      <c r="L13" s="235">
        <f>$K13*'LUG allocations'!$T$54</f>
        <v>54.158867362390481</v>
      </c>
      <c r="M13" s="236">
        <f>$K13*'LUG allocations'!$T$52</f>
        <v>12.655170613057571</v>
      </c>
      <c r="N13" s="237">
        <f>$K13*'LUG allocations'!$T$53</f>
        <v>21.316265129046577</v>
      </c>
      <c r="O13" s="151">
        <f>$I13*'LUG allocations'!$T$54</f>
        <v>88.995215803932368</v>
      </c>
      <c r="P13" s="108">
        <f>$I13*'LUG allocations'!$T$52</f>
        <v>20.795295296864769</v>
      </c>
      <c r="Q13" s="152">
        <f>$I13*'LUG allocations'!$T$53</f>
        <v>35.027424089202853</v>
      </c>
      <c r="R13" s="123">
        <v>2441</v>
      </c>
      <c r="S13" s="124" t="s">
        <v>132</v>
      </c>
      <c r="T13" s="144"/>
      <c r="U13" s="77"/>
      <c r="V13" s="77"/>
      <c r="W13" s="77"/>
      <c r="X13" s="144"/>
      <c r="Y13" s="77"/>
      <c r="Z13" s="77"/>
      <c r="AA13" s="77"/>
      <c r="AB13" s="144"/>
    </row>
    <row r="14" spans="2:28" ht="28" customHeight="1">
      <c r="B14" s="130">
        <f t="shared" si="0"/>
        <v>6</v>
      </c>
      <c r="C14" s="79" t="s">
        <v>131</v>
      </c>
      <c r="D14" s="79">
        <v>2001</v>
      </c>
      <c r="E14" s="109">
        <v>244.57066571145157</v>
      </c>
      <c r="F14" s="90" t="s">
        <v>132</v>
      </c>
      <c r="G14" s="89">
        <v>2.6506428231508918</v>
      </c>
      <c r="H14" s="89">
        <v>5.9225511941136784</v>
      </c>
      <c r="I14" s="89">
        <v>146.15319303999999</v>
      </c>
      <c r="J14" s="80" t="s">
        <v>132</v>
      </c>
      <c r="K14" s="143">
        <f t="shared" si="1"/>
        <v>89.844278654187008</v>
      </c>
      <c r="L14" s="235">
        <f>$K14*'LUG allocations'!$T$54</f>
        <v>55.212159716872755</v>
      </c>
      <c r="M14" s="236">
        <f>$K14*'LUG allocations'!$T$52</f>
        <v>12.901290871854911</v>
      </c>
      <c r="N14" s="237">
        <f>$K14*'LUG allocations'!$T$53</f>
        <v>21.730828065459338</v>
      </c>
      <c r="O14" s="151">
        <f>$I14*'LUG allocations'!$T$54</f>
        <v>89.815774116400632</v>
      </c>
      <c r="P14" s="108">
        <f>$I14*'LUG allocations'!$T$52</f>
        <v>20.98703315897264</v>
      </c>
      <c r="Q14" s="152">
        <f>$I14*'LUG allocations'!$T$53</f>
        <v>35.350385764626715</v>
      </c>
      <c r="R14" s="123">
        <v>2374</v>
      </c>
      <c r="S14" s="124" t="s">
        <v>132</v>
      </c>
      <c r="T14" s="144"/>
      <c r="U14" s="77"/>
      <c r="V14" s="77"/>
      <c r="W14" s="77"/>
      <c r="X14" s="144"/>
      <c r="Y14" s="77"/>
      <c r="Z14" s="77"/>
      <c r="AA14" s="77"/>
      <c r="AB14" s="144"/>
    </row>
    <row r="15" spans="2:28" ht="28" customHeight="1">
      <c r="B15" s="130">
        <f t="shared" si="0"/>
        <v>7</v>
      </c>
      <c r="C15" s="79" t="s">
        <v>131</v>
      </c>
      <c r="D15" s="79">
        <v>2002</v>
      </c>
      <c r="E15" s="109">
        <v>270.59547293145653</v>
      </c>
      <c r="F15" s="90" t="s">
        <v>132</v>
      </c>
      <c r="G15" s="89">
        <v>2.0780541830337675</v>
      </c>
      <c r="H15" s="89">
        <v>6.3966549584947483</v>
      </c>
      <c r="I15" s="89">
        <v>151.43772849000001</v>
      </c>
      <c r="J15" s="80" t="s">
        <v>132</v>
      </c>
      <c r="K15" s="143">
        <f t="shared" si="1"/>
        <v>110.68303529992798</v>
      </c>
      <c r="L15" s="235">
        <f>$K15*'LUG allocations'!$T$54</f>
        <v>68.01823682562447</v>
      </c>
      <c r="M15" s="236">
        <f>$K15*'LUG allocations'!$T$52</f>
        <v>15.893655716023815</v>
      </c>
      <c r="N15" s="237">
        <f>$K15*'LUG allocations'!$T$53</f>
        <v>26.771142758279698</v>
      </c>
      <c r="O15" s="151">
        <f>$I15*'LUG allocations'!$T$54</f>
        <v>93.063288812555186</v>
      </c>
      <c r="P15" s="108">
        <f>$I15*'LUG allocations'!$T$52</f>
        <v>21.745872007526319</v>
      </c>
      <c r="Q15" s="152">
        <f>$I15*'LUG allocations'!$T$53</f>
        <v>36.62856766991851</v>
      </c>
      <c r="R15" s="123">
        <v>2215</v>
      </c>
      <c r="S15" s="124" t="s">
        <v>132</v>
      </c>
      <c r="T15" s="144"/>
      <c r="U15" s="77"/>
      <c r="V15" s="77"/>
      <c r="W15" s="77"/>
      <c r="X15" s="144"/>
      <c r="Y15" s="77"/>
      <c r="Z15" s="77"/>
      <c r="AA15" s="77"/>
      <c r="AB15" s="144"/>
    </row>
    <row r="16" spans="2:28" ht="28" customHeight="1">
      <c r="B16" s="130">
        <f t="shared" si="0"/>
        <v>8</v>
      </c>
      <c r="C16" s="79" t="s">
        <v>131</v>
      </c>
      <c r="D16" s="79">
        <v>2003</v>
      </c>
      <c r="E16" s="109">
        <v>271.47330297548513</v>
      </c>
      <c r="F16" s="90" t="s">
        <v>132</v>
      </c>
      <c r="G16" s="89">
        <v>2.6658565309800912</v>
      </c>
      <c r="H16" s="89">
        <v>6.4526764554328784</v>
      </c>
      <c r="I16" s="89">
        <v>149.83846018</v>
      </c>
      <c r="J16" s="80" t="s">
        <v>132</v>
      </c>
      <c r="K16" s="143">
        <f t="shared" si="1"/>
        <v>112.51630980907217</v>
      </c>
      <c r="L16" s="128">
        <f>$K16*'LUG allocations'!$P$15</f>
        <v>66.511931018616636</v>
      </c>
      <c r="M16" s="105">
        <f>$K16*'LUG allocations'!$P$11</f>
        <v>16.00014455629389</v>
      </c>
      <c r="N16" s="155">
        <f>$K16*'LUG allocations'!$P$12</f>
        <v>30.004234234161633</v>
      </c>
      <c r="O16" s="151">
        <f>$I16*'LUG allocations'!$P$15</f>
        <v>88.574228432652845</v>
      </c>
      <c r="P16" s="108">
        <f>$I16*'LUG allocations'!$P$11</f>
        <v>21.307462242946585</v>
      </c>
      <c r="Q16" s="152">
        <f>$I16*'LUG allocations'!$P$12</f>
        <v>39.956769504400562</v>
      </c>
      <c r="R16" s="123">
        <v>2189</v>
      </c>
      <c r="S16" s="124" t="s">
        <v>132</v>
      </c>
      <c r="T16" s="144"/>
      <c r="U16" s="77"/>
      <c r="V16" s="77"/>
      <c r="W16" s="77"/>
      <c r="X16" s="144"/>
      <c r="Y16" s="77"/>
      <c r="Z16" s="77"/>
      <c r="AA16" s="77"/>
      <c r="AB16" s="144"/>
    </row>
    <row r="17" spans="2:28" ht="28" customHeight="1">
      <c r="B17" s="130">
        <f t="shared" si="0"/>
        <v>9</v>
      </c>
      <c r="C17" s="79" t="s">
        <v>131</v>
      </c>
      <c r="D17" s="79">
        <v>2004</v>
      </c>
      <c r="E17" s="109">
        <v>287.69215328047778</v>
      </c>
      <c r="F17" s="90" t="s">
        <v>132</v>
      </c>
      <c r="G17" s="89">
        <v>4.0834974877918127</v>
      </c>
      <c r="H17" s="89">
        <v>6.5283161319944574</v>
      </c>
      <c r="I17" s="89">
        <v>141.14412096000001</v>
      </c>
      <c r="J17" s="80" t="s">
        <v>132</v>
      </c>
      <c r="K17" s="143">
        <f t="shared" si="1"/>
        <v>135.93621870069148</v>
      </c>
      <c r="L17" s="128">
        <f>$K17*'LUG allocations'!$P$15</f>
        <v>80.356176064556394</v>
      </c>
      <c r="M17" s="105">
        <f>$K17*'LUG allocations'!$P$11</f>
        <v>19.330523311133998</v>
      </c>
      <c r="N17" s="155">
        <f>$K17*'LUG allocations'!$P$12</f>
        <v>36.249519325001081</v>
      </c>
      <c r="O17" s="151">
        <f>$I17*'LUG allocations'!$P$15</f>
        <v>83.434730955048352</v>
      </c>
      <c r="P17" s="108">
        <f>$I17*'LUG allocations'!$P$11</f>
        <v>20.071102069230339</v>
      </c>
      <c r="Q17" s="152">
        <f>$I17*'LUG allocations'!$P$12</f>
        <v>37.638287935721308</v>
      </c>
      <c r="R17" s="123">
        <v>2095</v>
      </c>
      <c r="S17" s="124" t="s">
        <v>132</v>
      </c>
      <c r="T17" s="144"/>
      <c r="U17" s="77"/>
      <c r="V17" s="77"/>
      <c r="W17" s="77"/>
      <c r="X17" s="144"/>
      <c r="Y17" s="77"/>
      <c r="Z17" s="77"/>
      <c r="AA17" s="77"/>
      <c r="AB17" s="144"/>
    </row>
    <row r="18" spans="2:28" ht="28" customHeight="1">
      <c r="B18" s="130">
        <f t="shared" si="0"/>
        <v>10</v>
      </c>
      <c r="C18" s="79" t="s">
        <v>131</v>
      </c>
      <c r="D18" s="79">
        <v>2005</v>
      </c>
      <c r="E18" s="109">
        <v>292.39668805785544</v>
      </c>
      <c r="F18" s="90" t="s">
        <v>132</v>
      </c>
      <c r="G18" s="89">
        <v>5.5958783524489997</v>
      </c>
      <c r="H18" s="89">
        <v>12.4</v>
      </c>
      <c r="I18" s="89">
        <v>147.30496144</v>
      </c>
      <c r="J18" s="80" t="s">
        <v>132</v>
      </c>
      <c r="K18" s="143">
        <f t="shared" si="1"/>
        <v>127.09584826540646</v>
      </c>
      <c r="L18" s="128">
        <f>$K18*'LUG allocations'!$P$15</f>
        <v>75.130354940770431</v>
      </c>
      <c r="M18" s="105">
        <f>$K18*'LUG allocations'!$P$11</f>
        <v>18.073397076406184</v>
      </c>
      <c r="N18" s="155">
        <f>$K18*'LUG allocations'!$P$12</f>
        <v>33.892096248229834</v>
      </c>
      <c r="O18" s="151">
        <f>$I18*'LUG allocations'!$P$15</f>
        <v>87.076597611693899</v>
      </c>
      <c r="P18" s="108">
        <f>$I18*'LUG allocations'!$P$11</f>
        <v>20.947191397395624</v>
      </c>
      <c r="Q18" s="152">
        <f>$I18*'LUG allocations'!$P$12</f>
        <v>39.281172430910473</v>
      </c>
      <c r="R18" s="123">
        <v>2094</v>
      </c>
      <c r="S18" s="124" t="s">
        <v>132</v>
      </c>
      <c r="T18" s="144"/>
      <c r="U18" s="77"/>
      <c r="V18" s="77"/>
      <c r="W18" s="77"/>
      <c r="X18" s="144"/>
      <c r="Y18" s="77"/>
      <c r="Z18" s="77"/>
      <c r="AA18" s="77"/>
      <c r="AB18" s="144"/>
    </row>
    <row r="19" spans="2:28" ht="28" customHeight="1">
      <c r="B19" s="130">
        <f t="shared" si="0"/>
        <v>11</v>
      </c>
      <c r="C19" s="79" t="s">
        <v>131</v>
      </c>
      <c r="D19" s="79">
        <v>2006</v>
      </c>
      <c r="E19" s="109">
        <v>299.38131733850389</v>
      </c>
      <c r="F19" s="90" t="s">
        <v>132</v>
      </c>
      <c r="G19" s="89">
        <v>8.9085525871092255</v>
      </c>
      <c r="H19" s="89">
        <v>3.6</v>
      </c>
      <c r="I19" s="89">
        <v>151.04184583</v>
      </c>
      <c r="J19" s="80" t="s">
        <v>132</v>
      </c>
      <c r="K19" s="143">
        <f t="shared" si="1"/>
        <v>135.83091892139464</v>
      </c>
      <c r="L19" s="128">
        <f>$K19*'LUG allocations'!$P$15</f>
        <v>80.293930051789431</v>
      </c>
      <c r="M19" s="105">
        <f>$K19*'LUG allocations'!$P$11</f>
        <v>19.315549378080611</v>
      </c>
      <c r="N19" s="155">
        <f>$K19*'LUG allocations'!$P$12</f>
        <v>36.221439491524585</v>
      </c>
      <c r="O19" s="151">
        <f>$I19*'LUG allocations'!$P$15</f>
        <v>89.285587554520703</v>
      </c>
      <c r="P19" s="108">
        <f>$I19*'LUG allocations'!$P$11</f>
        <v>21.478587161544095</v>
      </c>
      <c r="Q19" s="152">
        <f>$I19*'LUG allocations'!$P$12</f>
        <v>40.277671113935192</v>
      </c>
      <c r="R19" s="123">
        <v>2099</v>
      </c>
      <c r="S19" s="124" t="s">
        <v>132</v>
      </c>
      <c r="T19" s="144"/>
      <c r="U19" s="77"/>
      <c r="V19" s="77"/>
      <c r="W19" s="77"/>
      <c r="X19" s="144"/>
      <c r="Y19" s="77"/>
      <c r="Z19" s="77"/>
      <c r="AA19" s="77"/>
      <c r="AB19" s="144"/>
    </row>
    <row r="20" spans="2:28" ht="28" customHeight="1">
      <c r="B20" s="130">
        <f t="shared" si="0"/>
        <v>12</v>
      </c>
      <c r="C20" s="79" t="s">
        <v>131</v>
      </c>
      <c r="D20" s="79">
        <v>2007</v>
      </c>
      <c r="E20" s="109">
        <v>318.04140000000001</v>
      </c>
      <c r="F20" s="90" t="s">
        <v>132</v>
      </c>
      <c r="G20" s="89">
        <v>11.569100000000001</v>
      </c>
      <c r="H20" s="89">
        <v>7.3</v>
      </c>
      <c r="I20" s="89">
        <v>164.37117900000001</v>
      </c>
      <c r="J20" s="80" t="s">
        <v>132</v>
      </c>
      <c r="K20" s="143">
        <f t="shared" si="1"/>
        <v>134.80112099999999</v>
      </c>
      <c r="L20" s="128">
        <f>$K20*'LUG allocations'!$L$15</f>
        <v>83.011936311439328</v>
      </c>
      <c r="M20" s="105">
        <f>$K20*'LUG allocations'!$L$11</f>
        <v>18.788308196422168</v>
      </c>
      <c r="N20" s="155">
        <f>$K20*'LUG allocations'!$L$12</f>
        <v>33.000876492138509</v>
      </c>
      <c r="O20" s="151">
        <f>$I20*'LUG allocations'!$L$15</f>
        <v>101.22148644879738</v>
      </c>
      <c r="P20" s="108">
        <f>$I20*'LUG allocations'!$L$11</f>
        <v>22.909723203720802</v>
      </c>
      <c r="Q20" s="152">
        <f>$I20*'LUG allocations'!$L$12</f>
        <v>40.239969347481846</v>
      </c>
      <c r="R20" s="123">
        <v>2147</v>
      </c>
      <c r="S20" s="124" t="s">
        <v>132</v>
      </c>
      <c r="T20" s="144"/>
      <c r="U20" s="77"/>
      <c r="V20" s="77"/>
      <c r="W20" s="77"/>
      <c r="X20" s="144"/>
      <c r="Y20" s="77"/>
      <c r="Z20" s="77"/>
      <c r="AA20" s="77"/>
      <c r="AB20" s="144"/>
    </row>
    <row r="21" spans="2:28" ht="28" customHeight="1">
      <c r="B21" s="130">
        <f t="shared" si="0"/>
        <v>13</v>
      </c>
      <c r="C21" s="79" t="s">
        <v>131</v>
      </c>
      <c r="D21" s="79">
        <v>2008</v>
      </c>
      <c r="E21" s="109">
        <v>322.73149999999998</v>
      </c>
      <c r="F21" s="90" t="s">
        <v>132</v>
      </c>
      <c r="G21" s="89">
        <v>12.471299999999999</v>
      </c>
      <c r="H21" s="89">
        <v>9.1</v>
      </c>
      <c r="I21" s="89">
        <v>172.274463</v>
      </c>
      <c r="J21" s="80" t="s">
        <v>132</v>
      </c>
      <c r="K21" s="143">
        <f t="shared" si="1"/>
        <v>128.88573699999998</v>
      </c>
      <c r="L21" s="128">
        <f>$K21*'LUG allocations'!$L$15</f>
        <v>79.369181145733336</v>
      </c>
      <c r="M21" s="105">
        <f>$K21*'LUG allocations'!$L$11</f>
        <v>17.963833912620142</v>
      </c>
      <c r="N21" s="155">
        <f>$K21*'LUG allocations'!$L$12</f>
        <v>31.55272194164651</v>
      </c>
      <c r="O21" s="151">
        <f>$I21*'LUG allocations'!$L$15</f>
        <v>106.08841116865349</v>
      </c>
      <c r="P21" s="108">
        <f>$I21*'LUG allocations'!$L$11</f>
        <v>24.011266977647221</v>
      </c>
      <c r="Q21" s="152">
        <f>$I21*'LUG allocations'!$L$12</f>
        <v>42.174784853699293</v>
      </c>
      <c r="R21" s="123">
        <v>2201</v>
      </c>
      <c r="S21" s="124" t="s">
        <v>132</v>
      </c>
      <c r="T21" s="144"/>
      <c r="U21" s="77"/>
      <c r="V21" s="77"/>
      <c r="W21" s="77"/>
      <c r="X21" s="144"/>
      <c r="Y21" s="77"/>
      <c r="Z21" s="77"/>
      <c r="AA21" s="77"/>
      <c r="AB21" s="144"/>
    </row>
    <row r="22" spans="2:28" ht="28" customHeight="1">
      <c r="B22" s="130">
        <f t="shared" si="0"/>
        <v>14</v>
      </c>
      <c r="C22" s="79" t="s">
        <v>131</v>
      </c>
      <c r="D22" s="79">
        <v>2009</v>
      </c>
      <c r="E22" s="109">
        <v>318.06380000000001</v>
      </c>
      <c r="F22" s="90" t="s">
        <v>132</v>
      </c>
      <c r="G22" s="81">
        <v>14.391299999999999</v>
      </c>
      <c r="H22" s="81">
        <v>8.6</v>
      </c>
      <c r="I22" s="81">
        <v>175.06569300000001</v>
      </c>
      <c r="J22" s="80" t="s">
        <v>132</v>
      </c>
      <c r="K22" s="143">
        <f t="shared" si="1"/>
        <v>120.00680699999998</v>
      </c>
      <c r="L22" s="128">
        <f>$K22*'LUG allocations'!$L$15</f>
        <v>73.901443442916104</v>
      </c>
      <c r="M22" s="105">
        <f>$K22*'LUG allocations'!$L$11</f>
        <v>16.726306568211349</v>
      </c>
      <c r="N22" s="155">
        <f>$K22*'LUG allocations'!$L$12</f>
        <v>29.379056988872538</v>
      </c>
      <c r="O22" s="151">
        <f>$I22*'LUG allocations'!$L$15</f>
        <v>107.80727971567826</v>
      </c>
      <c r="P22" s="108">
        <f>$I22*'LUG allocations'!$L$11</f>
        <v>24.40030298193312</v>
      </c>
      <c r="Q22" s="152">
        <f>$I22*'LUG allocations'!$L$12</f>
        <v>42.858110302388639</v>
      </c>
      <c r="R22" s="123">
        <v>2183</v>
      </c>
      <c r="S22" s="124" t="s">
        <v>132</v>
      </c>
      <c r="T22" s="144"/>
      <c r="U22" s="77"/>
      <c r="V22" s="77"/>
      <c r="W22" s="77"/>
      <c r="X22" s="144"/>
      <c r="Y22" s="77"/>
      <c r="Z22" s="77"/>
      <c r="AA22" s="77"/>
      <c r="AB22" s="144"/>
    </row>
    <row r="23" spans="2:28" ht="28" customHeight="1">
      <c r="B23" s="130">
        <f t="shared" si="0"/>
        <v>15</v>
      </c>
      <c r="C23" s="79" t="s">
        <v>131</v>
      </c>
      <c r="D23" s="79">
        <v>2010</v>
      </c>
      <c r="E23" s="109">
        <v>349.37259999999998</v>
      </c>
      <c r="F23" s="90" t="s">
        <v>132</v>
      </c>
      <c r="G23" s="81">
        <v>16.4376</v>
      </c>
      <c r="H23" s="81">
        <v>5.0753000000000004</v>
      </c>
      <c r="I23" s="81">
        <v>183.249056</v>
      </c>
      <c r="J23" s="80" t="s">
        <v>132</v>
      </c>
      <c r="K23" s="143">
        <f t="shared" si="1"/>
        <v>144.61064399999998</v>
      </c>
      <c r="L23" s="128">
        <f>$K23*'LUG allocations'!$L$15</f>
        <v>89.052742889906867</v>
      </c>
      <c r="M23" s="105">
        <f>$K23*'LUG allocations'!$L$11</f>
        <v>20.155539715096936</v>
      </c>
      <c r="N23" s="155">
        <f>$K23*'LUG allocations'!$L$12</f>
        <v>35.402361394996191</v>
      </c>
      <c r="O23" s="151">
        <f>$I23*'LUG allocations'!$L$15</f>
        <v>112.84668000500811</v>
      </c>
      <c r="P23" s="108">
        <f>$I23*'LUG allocations'!$L$11</f>
        <v>25.540883601638779</v>
      </c>
      <c r="Q23" s="152">
        <f>$I23*'LUG allocations'!$L$12</f>
        <v>44.861492393353117</v>
      </c>
      <c r="R23" s="123">
        <v>2211</v>
      </c>
      <c r="S23" s="124" t="s">
        <v>132</v>
      </c>
      <c r="T23" s="144"/>
      <c r="U23" s="77"/>
      <c r="V23" s="77"/>
      <c r="W23" s="77"/>
      <c r="X23" s="144"/>
      <c r="Y23" s="77"/>
      <c r="Z23" s="77"/>
      <c r="AA23" s="77"/>
      <c r="AB23" s="144"/>
    </row>
    <row r="24" spans="2:28" ht="28" customHeight="1">
      <c r="B24" s="130">
        <f t="shared" si="0"/>
        <v>16</v>
      </c>
      <c r="C24" s="79" t="s">
        <v>131</v>
      </c>
      <c r="D24" s="79">
        <v>2011</v>
      </c>
      <c r="E24" s="109">
        <v>369.47</v>
      </c>
      <c r="F24" s="90" t="s">
        <v>135</v>
      </c>
      <c r="G24" s="81">
        <v>17.9253</v>
      </c>
      <c r="H24" s="81">
        <v>4.4550999999999998</v>
      </c>
      <c r="I24" s="81">
        <v>191.83677461000002</v>
      </c>
      <c r="J24" s="80" t="s">
        <v>136</v>
      </c>
      <c r="K24" s="143">
        <f t="shared" si="1"/>
        <v>155.25282539</v>
      </c>
      <c r="L24" s="128">
        <f>$K24*'LUG allocations'!$G$15</f>
        <v>109.88115207801403</v>
      </c>
      <c r="M24" s="105">
        <f>$K24*'LUG allocations'!$G$11</f>
        <v>15.670878849166968</v>
      </c>
      <c r="N24" s="155">
        <f>$K24*'LUG allocations'!$G$12</f>
        <v>29.700794462819005</v>
      </c>
      <c r="O24" s="151">
        <f>$I24*'LUG allocations'!$G$15</f>
        <v>135.77366951052505</v>
      </c>
      <c r="P24" s="108">
        <f>$I24*'LUG allocations'!$G$11</f>
        <v>19.363582248351765</v>
      </c>
      <c r="Q24" s="152">
        <f>$I24*'LUG allocations'!$G$12</f>
        <v>36.699522851123206</v>
      </c>
      <c r="R24" s="123">
        <v>2219</v>
      </c>
      <c r="S24" s="124" t="s">
        <v>132</v>
      </c>
      <c r="T24" s="144"/>
      <c r="U24" s="77"/>
      <c r="V24" s="77"/>
      <c r="W24" s="77"/>
      <c r="X24" s="144"/>
      <c r="Y24" s="77"/>
      <c r="Z24" s="77"/>
      <c r="AA24" s="77"/>
      <c r="AB24" s="144"/>
    </row>
    <row r="25" spans="2:28" ht="28" customHeight="1">
      <c r="B25" s="130">
        <f t="shared" si="0"/>
        <v>17</v>
      </c>
      <c r="C25" s="79" t="s">
        <v>131</v>
      </c>
      <c r="D25" s="79">
        <v>2012</v>
      </c>
      <c r="E25" s="109">
        <v>364.94099999999997</v>
      </c>
      <c r="F25" s="90" t="s">
        <v>137</v>
      </c>
      <c r="G25" s="81">
        <v>24.039000000000001</v>
      </c>
      <c r="H25" s="81">
        <v>4.9569999999999999</v>
      </c>
      <c r="I25" s="81">
        <v>183.41822005</v>
      </c>
      <c r="J25" s="80" t="s">
        <v>138</v>
      </c>
      <c r="K25" s="143">
        <f t="shared" si="1"/>
        <v>152.52677994999999</v>
      </c>
      <c r="L25" s="128">
        <f>$K25*'LUG allocations'!$G$15</f>
        <v>107.9517764752721</v>
      </c>
      <c r="M25" s="105">
        <f>$K25*'LUG allocations'!$G$11</f>
        <v>15.395717816056933</v>
      </c>
      <c r="N25" s="155">
        <f>$K25*'LUG allocations'!$G$12</f>
        <v>29.179285658670953</v>
      </c>
      <c r="O25" s="151">
        <f>$I25*'LUG allocations'!$G$15</f>
        <v>129.81538519872143</v>
      </c>
      <c r="P25" s="108">
        <f>$I25*'LUG allocations'!$G$11</f>
        <v>18.513831860470191</v>
      </c>
      <c r="Q25" s="152">
        <f>$I25*'LUG allocations'!$G$12</f>
        <v>35.089002990808353</v>
      </c>
      <c r="R25" s="123">
        <v>2184</v>
      </c>
      <c r="S25" s="124" t="s">
        <v>132</v>
      </c>
      <c r="T25" s="144"/>
      <c r="U25" s="77"/>
      <c r="V25" s="77"/>
      <c r="W25" s="77"/>
      <c r="X25" s="144"/>
      <c r="Y25" s="77"/>
      <c r="Z25" s="77"/>
      <c r="AA25" s="77"/>
      <c r="AB25" s="144"/>
    </row>
    <row r="26" spans="2:28" ht="28" customHeight="1">
      <c r="B26" s="130">
        <f t="shared" si="0"/>
        <v>18</v>
      </c>
      <c r="C26" s="79" t="s">
        <v>131</v>
      </c>
      <c r="D26" s="79">
        <v>2013</v>
      </c>
      <c r="E26" s="109">
        <v>381.03800000000001</v>
      </c>
      <c r="F26" s="90" t="s">
        <v>139</v>
      </c>
      <c r="G26" s="81">
        <v>25.643851000000002</v>
      </c>
      <c r="H26" s="81">
        <v>4.8111550000000003</v>
      </c>
      <c r="I26" s="81">
        <v>201.76219399999999</v>
      </c>
      <c r="J26" s="80" t="s">
        <v>140</v>
      </c>
      <c r="K26" s="143">
        <f t="shared" si="1"/>
        <v>148.82080000000005</v>
      </c>
      <c r="L26" s="128">
        <f>$K26*'LUG allocations'!$G$15</f>
        <v>105.32884613270943</v>
      </c>
      <c r="M26" s="105">
        <f>$K26*'LUG allocations'!$G$11</f>
        <v>15.021644348034677</v>
      </c>
      <c r="N26" s="155">
        <f>$K26*'LUG allocations'!$G$12</f>
        <v>28.470309519255931</v>
      </c>
      <c r="O26" s="151">
        <f>$I26*'LUG allocations'!$G$15</f>
        <v>142.79844677104182</v>
      </c>
      <c r="P26" s="108">
        <f>$I26*'LUG allocations'!$G$11</f>
        <v>20.365432259114151</v>
      </c>
      <c r="Q26" s="152">
        <f>$I26*'LUG allocations'!$G$12</f>
        <v>38.598314969843997</v>
      </c>
      <c r="R26" s="123">
        <v>2182</v>
      </c>
      <c r="S26" s="124" t="s">
        <v>141</v>
      </c>
      <c r="T26" s="144"/>
      <c r="U26" s="77"/>
      <c r="V26" s="77"/>
      <c r="W26" s="77"/>
      <c r="X26" s="144"/>
      <c r="Y26" s="77"/>
      <c r="Z26" s="77"/>
      <c r="AA26" s="77"/>
      <c r="AB26" s="144"/>
    </row>
    <row r="27" spans="2:28" ht="28" customHeight="1">
      <c r="B27" s="130">
        <f t="shared" si="0"/>
        <v>19</v>
      </c>
      <c r="C27" s="79" t="s">
        <v>131</v>
      </c>
      <c r="D27" s="79">
        <v>2014</v>
      </c>
      <c r="E27" s="109">
        <v>379.76</v>
      </c>
      <c r="F27" s="90" t="s">
        <v>142</v>
      </c>
      <c r="G27" s="81">
        <v>25.479687999999999</v>
      </c>
      <c r="H27" s="81">
        <v>4.7</v>
      </c>
      <c r="I27" s="81">
        <v>211.06476499999999</v>
      </c>
      <c r="J27" s="80" t="s">
        <v>143</v>
      </c>
      <c r="K27" s="143">
        <f t="shared" si="1"/>
        <v>138.515547</v>
      </c>
      <c r="L27" s="128">
        <f>$K27*'LUG allocations'!$G$15</f>
        <v>98.03523927402</v>
      </c>
      <c r="M27" s="105">
        <f>$K27*'LUG allocations'!$G$11</f>
        <v>13.981454767797787</v>
      </c>
      <c r="N27" s="155">
        <f>$K27*'LUG allocations'!$G$12</f>
        <v>26.498852958182194</v>
      </c>
      <c r="O27" s="151">
        <f>$I27*'LUG allocations'!$G$15</f>
        <v>149.38239921248552</v>
      </c>
      <c r="P27" s="108">
        <f>$I27*'LUG allocations'!$G$11</f>
        <v>21.30441332281184</v>
      </c>
      <c r="Q27" s="152">
        <f>$I27*'LUG allocations'!$G$12</f>
        <v>40.377952464702609</v>
      </c>
      <c r="R27" s="123">
        <v>2221</v>
      </c>
      <c r="S27" s="124" t="s">
        <v>141</v>
      </c>
      <c r="T27" s="144"/>
      <c r="U27" s="77"/>
      <c r="V27" s="77"/>
      <c r="W27" s="77"/>
      <c r="X27" s="144"/>
      <c r="Y27" s="77"/>
      <c r="Z27" s="77"/>
      <c r="AA27" s="77"/>
      <c r="AB27" s="144"/>
    </row>
    <row r="28" spans="2:28" ht="28" customHeight="1">
      <c r="B28" s="130">
        <f t="shared" si="0"/>
        <v>20</v>
      </c>
      <c r="C28" s="79" t="s">
        <v>131</v>
      </c>
      <c r="D28" s="79">
        <v>2015</v>
      </c>
      <c r="E28" s="109">
        <v>382.98399999999998</v>
      </c>
      <c r="F28" s="90" t="s">
        <v>144</v>
      </c>
      <c r="G28" s="81">
        <v>25.566928000000001</v>
      </c>
      <c r="H28" s="81">
        <v>5.7</v>
      </c>
      <c r="I28" s="81">
        <v>210.164241</v>
      </c>
      <c r="J28" s="80" t="s">
        <v>144</v>
      </c>
      <c r="K28" s="143">
        <f t="shared" si="1"/>
        <v>141.55283099999997</v>
      </c>
      <c r="L28" s="128">
        <f>$K28*'LUG allocations'!$G$15</f>
        <v>100.18489590197348</v>
      </c>
      <c r="M28" s="105">
        <f>$K28*'LUG allocations'!$G$11</f>
        <v>14.288031536851413</v>
      </c>
      <c r="N28" s="155">
        <f>$K28*'LUG allocations'!$G$12</f>
        <v>27.079903561175076</v>
      </c>
      <c r="O28" s="151">
        <f>$I28*'LUG allocations'!$G$15</f>
        <v>148.74504775465968</v>
      </c>
      <c r="P28" s="108">
        <f>$I28*'LUG allocations'!$G$11</f>
        <v>21.213516410183569</v>
      </c>
      <c r="Q28" s="152">
        <f>$I28*'LUG allocations'!$G$12</f>
        <v>40.205676835156751</v>
      </c>
      <c r="R28" s="123">
        <v>2254</v>
      </c>
      <c r="S28" s="124" t="s">
        <v>141</v>
      </c>
      <c r="T28" s="144"/>
      <c r="U28" s="77"/>
      <c r="V28" s="77"/>
      <c r="W28" s="77"/>
      <c r="X28" s="144"/>
      <c r="Y28" s="77"/>
      <c r="Z28" s="77"/>
      <c r="AA28" s="77"/>
      <c r="AB28" s="144"/>
    </row>
    <row r="29" spans="2:28" ht="28" customHeight="1">
      <c r="B29" s="130">
        <f t="shared" si="0"/>
        <v>21</v>
      </c>
      <c r="C29" s="79" t="s">
        <v>131</v>
      </c>
      <c r="D29" s="79">
        <v>2016</v>
      </c>
      <c r="E29" s="109">
        <v>397.858</v>
      </c>
      <c r="F29" s="90" t="s">
        <v>145</v>
      </c>
      <c r="G29" s="81">
        <v>48.552162009999996</v>
      </c>
      <c r="H29" s="81">
        <v>3.6499980000000001</v>
      </c>
      <c r="I29" s="81">
        <v>209.762719</v>
      </c>
      <c r="J29" s="80" t="s">
        <v>145</v>
      </c>
      <c r="K29" s="143">
        <f t="shared" si="1"/>
        <v>135.89312099</v>
      </c>
      <c r="L29" s="128">
        <f>$K29*'LUG allocations'!$G$15</f>
        <v>96.17920096686332</v>
      </c>
      <c r="M29" s="105">
        <f>$K29*'LUG allocations'!$G$11</f>
        <v>13.716752852129712</v>
      </c>
      <c r="N29" s="155">
        <f>$K29*'LUG allocations'!$G$12</f>
        <v>25.997167171006968</v>
      </c>
      <c r="O29" s="151">
        <f>$I29*'LUG allocations'!$G$15</f>
        <v>148.46086806366958</v>
      </c>
      <c r="P29" s="108">
        <f>$I29*'LUG allocations'!$G$11</f>
        <v>21.172987662307523</v>
      </c>
      <c r="Q29" s="152">
        <f>$I29*'LUG allocations'!$G$12</f>
        <v>40.128863274022883</v>
      </c>
      <c r="R29" s="123">
        <v>2272</v>
      </c>
      <c r="S29" s="124" t="s">
        <v>141</v>
      </c>
      <c r="T29" s="144"/>
      <c r="U29" s="77"/>
      <c r="V29" s="77"/>
      <c r="W29" s="77"/>
      <c r="X29" s="144"/>
      <c r="Y29" s="77"/>
      <c r="Z29" s="77"/>
      <c r="AA29" s="77"/>
      <c r="AB29" s="144"/>
    </row>
    <row r="30" spans="2:28" ht="28" customHeight="1">
      <c r="B30" s="130">
        <f t="shared" si="0"/>
        <v>22</v>
      </c>
      <c r="C30" s="79" t="s">
        <v>131</v>
      </c>
      <c r="D30" s="79">
        <v>2017</v>
      </c>
      <c r="E30" s="109">
        <v>413.4</v>
      </c>
      <c r="F30" s="90" t="s">
        <v>146</v>
      </c>
      <c r="G30" s="81">
        <v>48.05</v>
      </c>
      <c r="H30" s="81">
        <v>4.05</v>
      </c>
      <c r="I30" s="81">
        <v>221.8</v>
      </c>
      <c r="J30" s="80" t="s">
        <v>146</v>
      </c>
      <c r="K30" s="143">
        <f t="shared" si="1"/>
        <v>139.49999999999994</v>
      </c>
      <c r="L30" s="128">
        <f>$K30*'LUG allocations'!$G$15</f>
        <v>98.731992003221023</v>
      </c>
      <c r="M30" s="105">
        <f>$K30*'LUG allocations'!$G$11</f>
        <v>14.08082328915606</v>
      </c>
      <c r="N30" s="155">
        <f>$K30*'LUG allocations'!$G$12</f>
        <v>26.687184707622855</v>
      </c>
      <c r="O30" s="151">
        <f>$I30*'LUG allocations'!$G$15</f>
        <v>156.9803285040461</v>
      </c>
      <c r="P30" s="108">
        <f>$I30*'LUG allocations'!$G$11</f>
        <v>22.388004340751365</v>
      </c>
      <c r="Q30" s="152">
        <f>$I30*'LUG allocations'!$G$12</f>
        <v>42.431667155202526</v>
      </c>
      <c r="R30" s="123">
        <v>2239.46</v>
      </c>
      <c r="S30" s="124" t="s">
        <v>126</v>
      </c>
      <c r="T30" s="144"/>
      <c r="U30" s="77"/>
      <c r="V30" s="77"/>
      <c r="W30" s="77"/>
      <c r="X30" s="144"/>
      <c r="Y30" s="77"/>
      <c r="Z30" s="77"/>
      <c r="AA30" s="77"/>
      <c r="AB30" s="144"/>
    </row>
    <row r="31" spans="2:28" ht="28" customHeight="1" thickBot="1">
      <c r="B31" s="131">
        <f t="shared" si="0"/>
        <v>23</v>
      </c>
      <c r="C31" s="132" t="s">
        <v>131</v>
      </c>
      <c r="D31" s="132">
        <v>2018</v>
      </c>
      <c r="E31" s="110">
        <v>446.9</v>
      </c>
      <c r="F31" s="148" t="s">
        <v>147</v>
      </c>
      <c r="G31" s="112">
        <v>51.19</v>
      </c>
      <c r="H31" s="112">
        <v>4.6900000000000004</v>
      </c>
      <c r="I31" s="112">
        <v>244.49</v>
      </c>
      <c r="J31" s="111" t="s">
        <v>147</v>
      </c>
      <c r="K31" s="149">
        <f t="shared" si="1"/>
        <v>146.52999999999997</v>
      </c>
      <c r="L31" s="129">
        <f>$K31*'LUG allocations'!$G$15</f>
        <v>103.70751819521132</v>
      </c>
      <c r="M31" s="106">
        <f>$K31*'LUG allocations'!$G$11</f>
        <v>14.790416032688443</v>
      </c>
      <c r="N31" s="156">
        <f>$K31*'LUG allocations'!$G$12</f>
        <v>28.0320657721002</v>
      </c>
      <c r="O31" s="153">
        <f>$I31*'LUG allocations'!$G$15</f>
        <v>173.0393170241399</v>
      </c>
      <c r="P31" s="117">
        <f>$I31*'LUG allocations'!$G$11</f>
        <v>24.678283053518037</v>
      </c>
      <c r="Q31" s="154">
        <f>$I31*'LUG allocations'!$G$12</f>
        <v>46.772399922342039</v>
      </c>
      <c r="R31" s="125">
        <v>2204.87</v>
      </c>
      <c r="S31" s="126" t="s">
        <v>126</v>
      </c>
      <c r="T31" s="144"/>
      <c r="U31" s="77"/>
      <c r="V31" s="77"/>
      <c r="W31" s="77"/>
      <c r="X31" s="144"/>
      <c r="Y31" s="77"/>
      <c r="Z31" s="77"/>
      <c r="AA31" s="77"/>
      <c r="AB31" s="144"/>
    </row>
    <row r="32" spans="2:28" s="92" customFormat="1" ht="28" customHeight="1">
      <c r="B32" s="87"/>
      <c r="C32" s="88"/>
      <c r="D32" s="88"/>
      <c r="E32" s="89"/>
      <c r="F32" s="90"/>
      <c r="G32" s="89"/>
      <c r="H32" s="89"/>
      <c r="I32" s="89"/>
      <c r="J32" s="90"/>
      <c r="K32" s="91"/>
      <c r="L32" s="91"/>
      <c r="M32" s="91"/>
      <c r="N32" s="91"/>
      <c r="O32" s="89"/>
      <c r="P32" s="91"/>
      <c r="Q32" s="91"/>
      <c r="R32" s="89"/>
      <c r="S32" s="90"/>
    </row>
    <row r="33" spans="2:19" s="92" customFormat="1">
      <c r="B33" s="93" t="s">
        <v>61</v>
      </c>
      <c r="C33" s="133"/>
      <c r="D33" s="133"/>
      <c r="E33" s="134"/>
      <c r="F33" s="133"/>
      <c r="G33" s="134"/>
      <c r="H33" s="134"/>
      <c r="I33" s="134"/>
      <c r="J33" s="133"/>
      <c r="O33" s="134"/>
      <c r="R33" s="140"/>
      <c r="S33" s="135"/>
    </row>
    <row r="34" spans="2:19" s="92" customFormat="1">
      <c r="B34" s="222">
        <v>1</v>
      </c>
      <c r="C34" s="92" t="s">
        <v>148</v>
      </c>
      <c r="D34" s="133"/>
      <c r="F34" s="133"/>
      <c r="J34" s="133"/>
      <c r="S34" s="133"/>
    </row>
    <row r="35" spans="2:19" s="92" customFormat="1">
      <c r="B35" s="133"/>
      <c r="C35" s="92" t="s">
        <v>129</v>
      </c>
      <c r="D35" s="133"/>
      <c r="F35" s="133"/>
      <c r="J35" s="133"/>
      <c r="S35" s="133"/>
    </row>
    <row r="36" spans="2:19" s="92" customFormat="1">
      <c r="D36" s="133"/>
      <c r="F36" s="133"/>
      <c r="J36" s="133"/>
      <c r="S36" s="133"/>
    </row>
    <row r="37" spans="2:19" s="92" customFormat="1">
      <c r="C37" s="133"/>
      <c r="D37" s="133"/>
      <c r="F37" s="133"/>
      <c r="J37" s="133"/>
      <c r="S37" s="133"/>
    </row>
  </sheetData>
  <mergeCells count="3">
    <mergeCell ref="L6:N6"/>
    <mergeCell ref="L8:N8"/>
    <mergeCell ref="O8:Q8"/>
  </mergeCells>
  <pageMargins left="0.7" right="0.2" top="0.75" bottom="0.75" header="0.3" footer="0.3"/>
  <pageSetup scale="60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F35F-7901-433A-92FE-03A8EE57A674}">
  <dimension ref="A1:J33"/>
  <sheetViews>
    <sheetView workbookViewId="0">
      <selection activeCell="F33" sqref="F33"/>
    </sheetView>
  </sheetViews>
  <sheetFormatPr defaultColWidth="8.54296875" defaultRowHeight="14.5"/>
  <cols>
    <col min="1" max="1" width="11.81640625" style="37" customWidth="1"/>
    <col min="2" max="2" width="8.54296875" style="37"/>
    <col min="3" max="3" width="16.54296875" style="37" bestFit="1" customWidth="1"/>
    <col min="4" max="4" width="13.54296875" style="37" bestFit="1" customWidth="1"/>
    <col min="5" max="5" width="14.54296875" style="37" bestFit="1" customWidth="1"/>
    <col min="6" max="6" width="13.54296875" style="37" customWidth="1"/>
    <col min="7" max="7" width="36.54296875" style="37" customWidth="1"/>
    <col min="8" max="16384" width="8.54296875" style="37"/>
  </cols>
  <sheetData>
    <row r="1" spans="1:10" s="73" customFormat="1" ht="19.5">
      <c r="A1" s="72" t="s">
        <v>149</v>
      </c>
    </row>
    <row r="2" spans="1:10" s="73" customFormat="1">
      <c r="A2" s="37" t="s">
        <v>150</v>
      </c>
    </row>
    <row r="3" spans="1:10" s="73" customFormat="1" ht="17">
      <c r="A3" s="75"/>
      <c r="B3" s="85"/>
      <c r="G3" s="85"/>
      <c r="I3" s="85"/>
      <c r="J3" s="85"/>
    </row>
    <row r="4" spans="1:10" s="201" customFormat="1">
      <c r="A4" s="220" t="s">
        <v>4</v>
      </c>
      <c r="B4" s="162" t="s">
        <v>151</v>
      </c>
      <c r="C4" s="172" t="s">
        <v>152</v>
      </c>
      <c r="D4" s="162" t="s">
        <v>153</v>
      </c>
      <c r="E4" s="172" t="s">
        <v>154</v>
      </c>
      <c r="F4" s="162" t="s">
        <v>155</v>
      </c>
      <c r="G4" s="172"/>
    </row>
    <row r="5" spans="1:10">
      <c r="A5" s="191">
        <v>1992</v>
      </c>
      <c r="B5" s="206">
        <v>5</v>
      </c>
      <c r="C5" s="207" t="s">
        <v>156</v>
      </c>
      <c r="D5" s="168"/>
      <c r="E5" s="212"/>
      <c r="F5" s="215"/>
      <c r="G5" s="209"/>
    </row>
    <row r="6" spans="1:10">
      <c r="A6" s="191">
        <v>1993</v>
      </c>
      <c r="B6" s="206">
        <v>9</v>
      </c>
      <c r="C6" s="207" t="s">
        <v>157</v>
      </c>
      <c r="D6" s="168"/>
      <c r="E6" s="212"/>
      <c r="F6" s="215"/>
      <c r="G6" s="209"/>
    </row>
    <row r="7" spans="1:10">
      <c r="A7" s="191">
        <v>1994</v>
      </c>
      <c r="B7" s="206">
        <v>7.4</v>
      </c>
      <c r="C7" s="207" t="s">
        <v>158</v>
      </c>
      <c r="D7" s="168"/>
      <c r="E7" s="212"/>
      <c r="F7" s="215"/>
      <c r="G7" s="209"/>
    </row>
    <row r="8" spans="1:10">
      <c r="A8" s="191">
        <v>1995</v>
      </c>
      <c r="B8" s="206">
        <v>6.8</v>
      </c>
      <c r="C8" s="207" t="s">
        <v>159</v>
      </c>
      <c r="D8" s="168"/>
      <c r="E8" s="212"/>
      <c r="F8" s="215"/>
      <c r="G8" s="209"/>
    </row>
    <row r="9" spans="1:10">
      <c r="A9" s="191">
        <v>1996</v>
      </c>
      <c r="B9" s="206">
        <v>6.4</v>
      </c>
      <c r="C9" s="207" t="s">
        <v>160</v>
      </c>
      <c r="D9" s="168"/>
      <c r="E9" s="212"/>
      <c r="F9" s="215"/>
      <c r="G9" s="209"/>
    </row>
    <row r="10" spans="1:10">
      <c r="A10" s="191">
        <v>1997</v>
      </c>
      <c r="B10" s="206">
        <v>5.7</v>
      </c>
      <c r="C10" s="207" t="s">
        <v>161</v>
      </c>
      <c r="D10" s="168"/>
      <c r="E10" s="212"/>
      <c r="F10" s="168"/>
      <c r="G10" s="209"/>
    </row>
    <row r="11" spans="1:10">
      <c r="A11" s="191">
        <v>1998</v>
      </c>
      <c r="B11" s="168"/>
      <c r="C11" s="212"/>
      <c r="D11" s="168"/>
      <c r="E11" s="212"/>
      <c r="F11" s="168"/>
      <c r="G11" s="209"/>
    </row>
    <row r="12" spans="1:10">
      <c r="A12" s="191">
        <v>1999</v>
      </c>
      <c r="B12" s="168"/>
      <c r="C12" s="212"/>
      <c r="D12" s="168"/>
      <c r="E12" s="212"/>
      <c r="F12" s="168"/>
      <c r="G12" s="209"/>
    </row>
    <row r="13" spans="1:10">
      <c r="A13" s="191">
        <v>2000</v>
      </c>
      <c r="B13" s="168"/>
      <c r="C13" s="212"/>
      <c r="D13" s="206">
        <v>6.1486249373662893</v>
      </c>
      <c r="E13" s="207" t="s">
        <v>162</v>
      </c>
      <c r="F13" s="168"/>
      <c r="G13" s="209"/>
    </row>
    <row r="14" spans="1:10">
      <c r="A14" s="191">
        <v>2001</v>
      </c>
      <c r="B14" s="168"/>
      <c r="C14" s="212"/>
      <c r="D14" s="206">
        <v>5.9225511941136784</v>
      </c>
      <c r="E14" s="207" t="s">
        <v>162</v>
      </c>
      <c r="F14" s="168"/>
      <c r="G14" s="209"/>
    </row>
    <row r="15" spans="1:10">
      <c r="A15" s="191">
        <v>2002</v>
      </c>
      <c r="B15" s="168"/>
      <c r="C15" s="212"/>
      <c r="D15" s="206">
        <v>6.3966549584947483</v>
      </c>
      <c r="E15" s="207" t="s">
        <v>162</v>
      </c>
      <c r="F15" s="168"/>
      <c r="G15" s="209"/>
    </row>
    <row r="16" spans="1:10">
      <c r="A16" s="191">
        <v>2003</v>
      </c>
      <c r="B16" s="206">
        <v>10.32</v>
      </c>
      <c r="C16" s="207" t="s">
        <v>163</v>
      </c>
      <c r="D16" s="206">
        <v>6.4526764554328784</v>
      </c>
      <c r="E16" s="207" t="s">
        <v>162</v>
      </c>
      <c r="F16" s="168"/>
      <c r="G16" s="209"/>
    </row>
    <row r="17" spans="1:7">
      <c r="A17" s="191">
        <v>2004</v>
      </c>
      <c r="B17" s="168"/>
      <c r="C17" s="212"/>
      <c r="D17" s="206">
        <v>6.5283161319944574</v>
      </c>
      <c r="E17" s="207" t="s">
        <v>162</v>
      </c>
      <c r="F17" s="168"/>
      <c r="G17" s="209"/>
    </row>
    <row r="18" spans="1:7">
      <c r="A18" s="191">
        <v>2005</v>
      </c>
      <c r="B18" s="206">
        <v>14.6</v>
      </c>
      <c r="C18" s="207" t="s">
        <v>163</v>
      </c>
      <c r="D18" s="206">
        <v>12.4</v>
      </c>
      <c r="E18" s="207" t="s">
        <v>162</v>
      </c>
      <c r="F18" s="168"/>
      <c r="G18" s="209"/>
    </row>
    <row r="19" spans="1:7">
      <c r="A19" s="191">
        <v>2006</v>
      </c>
      <c r="B19" s="206">
        <v>15.450273413029002</v>
      </c>
      <c r="C19" s="207" t="s">
        <v>164</v>
      </c>
      <c r="D19" s="206">
        <v>3.6</v>
      </c>
      <c r="E19" s="207" t="s">
        <v>162</v>
      </c>
      <c r="F19" s="168"/>
      <c r="G19" s="209"/>
    </row>
    <row r="20" spans="1:7">
      <c r="A20" s="191">
        <v>2007</v>
      </c>
      <c r="B20" s="206">
        <v>15.204959147373</v>
      </c>
      <c r="C20" s="207" t="s">
        <v>164</v>
      </c>
      <c r="D20" s="206">
        <v>7.3</v>
      </c>
      <c r="E20" s="207" t="s">
        <v>162</v>
      </c>
      <c r="F20" s="168"/>
      <c r="G20" s="209"/>
    </row>
    <row r="21" spans="1:7">
      <c r="A21" s="191">
        <v>2008</v>
      </c>
      <c r="B21" s="206">
        <v>16.661752441371004</v>
      </c>
      <c r="C21" s="207" t="s">
        <v>164</v>
      </c>
      <c r="D21" s="206">
        <v>9.1</v>
      </c>
      <c r="E21" s="207" t="s">
        <v>162</v>
      </c>
      <c r="F21" s="168"/>
      <c r="G21" s="209"/>
    </row>
    <row r="22" spans="1:7">
      <c r="A22" s="191">
        <v>2009</v>
      </c>
      <c r="B22" s="206">
        <v>17.830823924675968</v>
      </c>
      <c r="C22" s="207" t="s">
        <v>164</v>
      </c>
      <c r="D22" s="206">
        <v>8.6</v>
      </c>
      <c r="E22" s="207" t="s">
        <v>162</v>
      </c>
      <c r="F22" s="168"/>
      <c r="G22" s="209"/>
    </row>
    <row r="23" spans="1:7">
      <c r="A23" s="191">
        <v>2010</v>
      </c>
      <c r="B23" s="206">
        <v>11.499940054225453</v>
      </c>
      <c r="C23" s="207" t="s">
        <v>164</v>
      </c>
      <c r="D23" s="206">
        <v>5.0753000000000004</v>
      </c>
      <c r="E23" s="207" t="s">
        <v>162</v>
      </c>
      <c r="F23" s="168"/>
      <c r="G23" s="209"/>
    </row>
    <row r="24" spans="1:7">
      <c r="A24" s="191">
        <v>2011</v>
      </c>
      <c r="B24" s="206">
        <v>18.613552858380242</v>
      </c>
      <c r="C24" s="207" t="s">
        <v>164</v>
      </c>
      <c r="D24" s="206">
        <v>4.4550999999999998</v>
      </c>
      <c r="E24" s="207" t="s">
        <v>162</v>
      </c>
      <c r="F24" s="168"/>
      <c r="G24" s="209"/>
    </row>
    <row r="25" spans="1:7">
      <c r="A25" s="191">
        <v>2012</v>
      </c>
      <c r="B25" s="206">
        <v>9.4590738314952958</v>
      </c>
      <c r="C25" s="207" t="s">
        <v>164</v>
      </c>
      <c r="D25" s="206">
        <v>4.9569999999999999</v>
      </c>
      <c r="E25" s="207" t="s">
        <v>162</v>
      </c>
      <c r="F25" s="168"/>
      <c r="G25" s="209"/>
    </row>
    <row r="26" spans="1:7">
      <c r="A26" s="191">
        <v>2013</v>
      </c>
      <c r="B26" s="206">
        <v>9.2930113801511567</v>
      </c>
      <c r="C26" s="207" t="s">
        <v>164</v>
      </c>
      <c r="D26" s="206">
        <v>4.8111550000000003</v>
      </c>
      <c r="E26" s="207" t="s">
        <v>162</v>
      </c>
      <c r="F26" s="168"/>
      <c r="G26" s="209"/>
    </row>
    <row r="27" spans="1:7">
      <c r="A27" s="191">
        <v>2014</v>
      </c>
      <c r="B27" s="206">
        <v>12.147455687779585</v>
      </c>
      <c r="C27" s="207" t="s">
        <v>164</v>
      </c>
      <c r="D27" s="206">
        <v>4.7</v>
      </c>
      <c r="E27" s="207" t="s">
        <v>162</v>
      </c>
      <c r="F27" s="168"/>
      <c r="G27" s="209"/>
    </row>
    <row r="28" spans="1:7">
      <c r="A28" s="191">
        <v>2015</v>
      </c>
      <c r="B28" s="206">
        <v>10.032639375511506</v>
      </c>
      <c r="C28" s="207" t="s">
        <v>164</v>
      </c>
      <c r="D28" s="206">
        <v>5.7</v>
      </c>
      <c r="E28" s="207" t="s">
        <v>162</v>
      </c>
      <c r="F28" s="168"/>
      <c r="G28" s="209"/>
    </row>
    <row r="29" spans="1:7">
      <c r="A29" s="191">
        <v>2016</v>
      </c>
      <c r="B29" s="206">
        <v>7.0733040319881919</v>
      </c>
      <c r="C29" s="207" t="s">
        <v>164</v>
      </c>
      <c r="D29" s="206">
        <v>3.6499980000000001</v>
      </c>
      <c r="E29" s="207" t="s">
        <v>162</v>
      </c>
      <c r="F29" s="168"/>
      <c r="G29" s="209"/>
    </row>
    <row r="30" spans="1:7">
      <c r="A30" s="191">
        <v>2017</v>
      </c>
      <c r="B30" s="206">
        <v>6.000000012854537</v>
      </c>
      <c r="C30" s="207" t="s">
        <v>164</v>
      </c>
      <c r="D30" s="213">
        <v>4.05</v>
      </c>
      <c r="E30" s="207" t="s">
        <v>165</v>
      </c>
      <c r="F30" s="168"/>
      <c r="G30" s="209"/>
    </row>
    <row r="31" spans="1:7">
      <c r="A31" s="191">
        <v>2018</v>
      </c>
      <c r="B31" s="206">
        <v>6.1719999078244063</v>
      </c>
      <c r="C31" s="207" t="s">
        <v>164</v>
      </c>
      <c r="D31" s="213">
        <v>4.6900000000000004</v>
      </c>
      <c r="E31" s="207" t="s">
        <v>165</v>
      </c>
      <c r="F31" s="168"/>
      <c r="G31" s="209"/>
    </row>
    <row r="32" spans="1:7" ht="29">
      <c r="A32" s="191">
        <v>2019</v>
      </c>
      <c r="B32" s="208"/>
      <c r="C32" s="209"/>
      <c r="D32" s="208"/>
      <c r="E32" s="212"/>
      <c r="F32" s="216">
        <f>12.89-0.6</f>
        <v>12.290000000000001</v>
      </c>
      <c r="G32" s="217" t="s">
        <v>166</v>
      </c>
    </row>
    <row r="33" spans="1:7" ht="29">
      <c r="A33" s="192">
        <v>2020</v>
      </c>
      <c r="B33" s="210"/>
      <c r="C33" s="211"/>
      <c r="D33" s="210"/>
      <c r="E33" s="214"/>
      <c r="F33" s="218">
        <f>15.6-0.6</f>
        <v>15</v>
      </c>
      <c r="G33" s="219" t="s">
        <v>166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9eb6668-01c5-4cb9-9feb-9820398bbe3e">
      <Terms xmlns="http://schemas.microsoft.com/office/infopath/2007/PartnerControls"/>
    </lcf76f155ced4ddcb4097134ff3c332f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C6U45NHNYSXQ-1112273616-1707</_dlc_DocId>
    <_dlc_DocIdUrl xmlns="bc9be6ef-036f-4d38-ab45-2a4da0c93cb0">
      <Url>https://enbridge.sharepoint.com/teams/EB-2022-02002024Rebasing/_layouts/15/DocIdRedir.aspx?ID=C6U45NHNYSXQ-1112273616-1707</Url>
      <Description>C6U45NHNYSXQ-1112273616-1707</Description>
    </_dlc_DocIdUrl>
  </documentManagement>
</p:properties>
</file>

<file path=customXml/itemProps1.xml><?xml version="1.0" encoding="utf-8"?>
<ds:datastoreItem xmlns:ds="http://schemas.openxmlformats.org/officeDocument/2006/customXml" ds:itemID="{8B993BCE-E5FE-40C4-B5CB-1F9690BA7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E2591-D67C-4E1D-9AC1-96743D4B7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24BC2-07C5-4B9C-99F2-21B9481D41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DF0D5F-0A3D-4819-83F5-DDFD797619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eb6668-01c5-4cb9-9feb-9820398bbe3e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6</vt:i4>
      </vt:variant>
    </vt:vector>
  </HeadingPairs>
  <TitlesOfParts>
    <vt:vector size="39" baseType="lpstr">
      <vt:lpstr>Labor--&gt;</vt:lpstr>
      <vt:lpstr>Labor Calculation</vt:lpstr>
      <vt:lpstr>Materials--&gt;</vt:lpstr>
      <vt:lpstr>Materials Calculation</vt:lpstr>
      <vt:lpstr>Calendar Year Conversions</vt:lpstr>
      <vt:lpstr>1. EGI</vt:lpstr>
      <vt:lpstr>2. EGD</vt:lpstr>
      <vt:lpstr>3. UG</vt:lpstr>
      <vt:lpstr>Bad debt</vt:lpstr>
      <vt:lpstr>DSM</vt:lpstr>
      <vt:lpstr>LUG allocations</vt:lpstr>
      <vt:lpstr>EGD allocations</vt:lpstr>
      <vt:lpstr>GDP Price Index Data--&gt;</vt:lpstr>
      <vt:lpstr>Canadian GDP Price Index</vt:lpstr>
      <vt:lpstr>Backup--&gt;</vt:lpstr>
      <vt:lpstr>2000</vt:lpstr>
      <vt:lpstr>2002</vt:lpstr>
      <vt:lpstr>2003</vt:lpstr>
      <vt:lpstr>2004</vt:lpstr>
      <vt:lpstr>2005</vt:lpstr>
      <vt:lpstr>2006</vt:lpstr>
      <vt:lpstr>2007</vt:lpstr>
      <vt:lpstr>2001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2012-2022 labor</vt:lpstr>
      <vt:lpstr>'1. EGI'!Print_Area</vt:lpstr>
      <vt:lpstr>'2. EGD'!Print_Area</vt:lpstr>
      <vt:lpstr>'3. UG'!Print_Area</vt:lpstr>
      <vt:lpstr>'1. EGI'!Print_Titles</vt:lpstr>
      <vt:lpstr>'2. EGD'!Print_Titles</vt:lpstr>
      <vt:lpstr>'3. UG'!Print_Titles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2018-03-16T13:17:18Z</dcterms:created>
  <dcterms:modified xsi:type="dcterms:W3CDTF">2024-07-08T20:56:43Z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{08F74073-1E06-4EAB-AFAF-7B529FECD301}</vt:lpwstr>
  </property>
  <property fmtid="{D5CDD505-2E9C-101B-9397-08002B2CF9AE}" pid="3" name="_AdHocReviewCycleID">
    <vt:i4>1140589432</vt:i4>
  </property>
  <property fmtid="{D5CDD505-2E9C-101B-9397-08002B2CF9AE}" pid="4" name="_NewReviewCycle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ContentTypeId">
    <vt:lpwstr>0x010100DDDF03B111AE4A46B96BC00628899F8B</vt:lpwstr>
  </property>
  <property fmtid="{D5CDD505-2E9C-101B-9397-08002B2CF9AE}" pid="8" name="MSIP_Label_b1a6f161-e42b-4c47-8f69-f6a81e023e2d_Enabled">
    <vt:lpwstr>true</vt:lpwstr>
  </property>
  <property fmtid="{D5CDD505-2E9C-101B-9397-08002B2CF9AE}" pid="9" name="MSIP_Label_b1a6f161-e42b-4c47-8f69-f6a81e023e2d_SetDate">
    <vt:lpwstr>2022-03-15T18:30:08Z</vt:lpwstr>
  </property>
  <property fmtid="{D5CDD505-2E9C-101B-9397-08002B2CF9AE}" pid="10" name="MSIP_Label_b1a6f161-e42b-4c47-8f69-f6a81e023e2d_Method">
    <vt:lpwstr>Privileged</vt:lpwstr>
  </property>
  <property fmtid="{D5CDD505-2E9C-101B-9397-08002B2CF9AE}" pid="11" name="MSIP_Label_b1a6f161-e42b-4c47-8f69-f6a81e023e2d_Name">
    <vt:lpwstr>b1a6f161-e42b-4c47-8f69-f6a81e023e2d</vt:lpwstr>
  </property>
  <property fmtid="{D5CDD505-2E9C-101B-9397-08002B2CF9AE}" pid="12" name="MSIP_Label_b1a6f161-e42b-4c47-8f69-f6a81e023e2d_SiteId">
    <vt:lpwstr>271df5c2-953a-497b-93ad-7adf7a4b3cd7</vt:lpwstr>
  </property>
  <property fmtid="{D5CDD505-2E9C-101B-9397-08002B2CF9AE}" pid="13" name="MSIP_Label_b1a6f161-e42b-4c47-8f69-f6a81e023e2d_ActionId">
    <vt:lpwstr>84c35a29-da58-4510-a6bc-cf6218a335a7</vt:lpwstr>
  </property>
  <property fmtid="{D5CDD505-2E9C-101B-9397-08002B2CF9AE}" pid="14" name="MSIP_Label_b1a6f161-e42b-4c47-8f69-f6a81e023e2d_ContentBits">
    <vt:lpwstr>0</vt:lpwstr>
  </property>
  <property fmtid="{D5CDD505-2E9C-101B-9397-08002B2CF9AE}" pid="15" name="_PreviousAdHocReviewCycleID">
    <vt:i4>-980113815</vt:i4>
  </property>
  <property fmtid="{D5CDD505-2E9C-101B-9397-08002B2CF9AE}" pid="16" name="_dlc_DocIdItemGuid">
    <vt:lpwstr>67b567a0-7357-4c11-8e0a-8766296333e2</vt:lpwstr>
  </property>
  <property fmtid="{D5CDD505-2E9C-101B-9397-08002B2CF9AE}" pid="17" name="MediaServiceImageTags">
    <vt:lpwstr/>
  </property>
  <property fmtid="{D5CDD505-2E9C-101B-9397-08002B2CF9AE}" pid="18" name="_ReviewingToolsShownOnce">
    <vt:lpwstr/>
  </property>
</Properties>
</file>