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NGLP\Aylmer\Cost of Service\EB-2024-0130 Staging\"/>
    </mc:Choice>
  </mc:AlternateContent>
  <workbookProtection lockStructure="1"/>
  <bookViews>
    <workbookView xWindow="0" yWindow="0" windowWidth="28800" windowHeight="11775" tabRatio="855"/>
  </bookViews>
  <sheets>
    <sheet name="Summary" sheetId="22" r:id="rId1"/>
    <sheet name="1A_Customer Engagement" sheetId="3" r:id="rId2"/>
    <sheet name="1B_SQI" sheetId="8" r:id="rId3"/>
    <sheet name="2A_Capital Projects" sheetId="1" r:id="rId4"/>
    <sheet name="2B_Capital Expenditures" sheetId="2" r:id="rId5"/>
    <sheet name="2C_Fixed Asset Continuity" sheetId="4" r:id="rId6"/>
    <sheet name="2D_Service Life" sheetId="5" r:id="rId7"/>
    <sheet name="2E_Depreciation Expense" sheetId="6" r:id="rId8"/>
    <sheet name="2F_Overhead Expense" sheetId="7" r:id="rId9"/>
    <sheet name="3A_Load Forecast Summary" sheetId="10" r:id="rId10"/>
    <sheet name="4A_Total O&amp;M Summary" sheetId="24" r:id="rId11"/>
    <sheet name="4B_OM&amp;A Detail" sheetId="12" r:id="rId12"/>
    <sheet name="4C_Employee Costs" sheetId="14" r:id="rId13"/>
    <sheet name="4D_OM&amp;A Per Cust" sheetId="16" r:id="rId14"/>
    <sheet name="4E_One-time Costs" sheetId="15" r:id="rId15"/>
    <sheet name="4F_Corp_Cost_Allocation" sheetId="17" r:id="rId16"/>
    <sheet name="4G_Ontario_Affiliate_SS_Costs" sheetId="25" r:id="rId17"/>
    <sheet name="5A_Other Revenue" sheetId="9" r:id="rId18"/>
    <sheet name="5B_Capital Structure" sheetId="18" r:id="rId19"/>
    <sheet name="5C_Debt Instruments" sheetId="19" r:id="rId20"/>
  </sheets>
  <externalReferences>
    <externalReference r:id="rId21"/>
  </externalReferences>
  <definedNames>
    <definedName name="BRIDGEYEAR">Summary!$E$16</definedName>
    <definedName name="EBNUMBER">'[1]LDC Info'!$E$16</definedName>
    <definedName name="OEBFILE">Summary!$E$6</definedName>
    <definedName name="_xlnm.Print_Area" localSheetId="4">'2B_Capital Expenditures'!$A$1:$U$30</definedName>
    <definedName name="TESTYEAR">Summary!$E$14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25" l="1"/>
  <c r="D30" i="25"/>
  <c r="D31" i="25" s="1"/>
  <c r="F30" i="25"/>
  <c r="F31" i="25" s="1"/>
  <c r="E30" i="25"/>
  <c r="C30" i="25"/>
  <c r="G30" i="25"/>
  <c r="H30" i="25"/>
  <c r="G31" i="25" l="1"/>
  <c r="E31" i="25"/>
  <c r="I31" i="25"/>
  <c r="H31" i="25"/>
  <c r="J2" i="6"/>
  <c r="J3" i="6"/>
  <c r="F269" i="17" l="1"/>
  <c r="F222" i="17"/>
  <c r="F176" i="17"/>
  <c r="F131" i="17"/>
  <c r="F46" i="17"/>
  <c r="H16" i="24"/>
  <c r="G16" i="24"/>
  <c r="F16" i="24"/>
  <c r="E16" i="24"/>
  <c r="D16" i="24"/>
  <c r="C16" i="24"/>
  <c r="B16" i="24"/>
  <c r="H1" i="24"/>
  <c r="I32" i="14" l="1"/>
  <c r="I33" i="14" s="1"/>
  <c r="H32" i="14"/>
  <c r="G32" i="14"/>
  <c r="F32" i="14"/>
  <c r="E32" i="14"/>
  <c r="D32" i="14"/>
  <c r="C32" i="14"/>
  <c r="I22" i="14"/>
  <c r="E22" i="14"/>
  <c r="D22" i="14"/>
  <c r="C22" i="14"/>
  <c r="E21" i="14"/>
  <c r="C20" i="14"/>
  <c r="A20" i="14"/>
  <c r="A21" i="14" s="1"/>
  <c r="A22" i="14" s="1"/>
  <c r="A23" i="14" s="1"/>
  <c r="A25" i="14" s="1"/>
  <c r="A26" i="14" s="1"/>
  <c r="A27" i="14" s="1"/>
  <c r="A28" i="14" s="1"/>
  <c r="A29" i="14" s="1"/>
  <c r="A30" i="14" s="1"/>
  <c r="A31" i="14" s="1"/>
  <c r="A32" i="14" s="1"/>
  <c r="A33" i="14" s="1"/>
  <c r="I17" i="14"/>
  <c r="C17" i="14"/>
  <c r="I21" i="14"/>
  <c r="H21" i="14"/>
  <c r="G21" i="14"/>
  <c r="F21" i="14"/>
  <c r="I20" i="14"/>
  <c r="H17" i="14"/>
  <c r="G17" i="14"/>
  <c r="F17" i="14"/>
  <c r="E17" i="14"/>
  <c r="D17" i="14"/>
  <c r="H22" i="14"/>
  <c r="G22" i="14"/>
  <c r="F22" i="14"/>
  <c r="D21" i="14"/>
  <c r="C21" i="14"/>
  <c r="A9" i="14"/>
  <c r="A10" i="14" s="1"/>
  <c r="A11" i="14" s="1"/>
  <c r="A13" i="14" s="1"/>
  <c r="A14" i="14" s="1"/>
  <c r="A15" i="14" s="1"/>
  <c r="A16" i="14" s="1"/>
  <c r="A17" i="14" s="1"/>
  <c r="I11" i="14"/>
  <c r="H11" i="14"/>
  <c r="G11" i="14"/>
  <c r="F11" i="14"/>
  <c r="E11" i="14"/>
  <c r="D11" i="14"/>
  <c r="C11" i="14"/>
  <c r="J1" i="14"/>
  <c r="B12" i="16"/>
  <c r="C23" i="14" l="1"/>
  <c r="I23" i="14"/>
  <c r="E33" i="14"/>
  <c r="F33" i="14"/>
  <c r="G33" i="14"/>
  <c r="H33" i="14"/>
  <c r="F20" i="14"/>
  <c r="F23" i="14" s="1"/>
  <c r="D20" i="14"/>
  <c r="D23" i="14" s="1"/>
  <c r="E20" i="14"/>
  <c r="E23" i="14" s="1"/>
  <c r="G20" i="14"/>
  <c r="G23" i="14" s="1"/>
  <c r="H20" i="14"/>
  <c r="H23" i="14" s="1"/>
  <c r="G41" i="6" l="1"/>
  <c r="H41" i="6" s="1"/>
  <c r="J71" i="6"/>
  <c r="I71" i="6"/>
  <c r="H71" i="6"/>
  <c r="H94" i="6" l="1"/>
  <c r="I93" i="6"/>
  <c r="H93" i="6"/>
  <c r="H92" i="6"/>
  <c r="I92" i="6"/>
  <c r="I91" i="6"/>
  <c r="I90" i="6"/>
  <c r="H90" i="6"/>
  <c r="J90" i="6" s="1"/>
  <c r="H89" i="6"/>
  <c r="I89" i="6"/>
  <c r="H88" i="6"/>
  <c r="I87" i="6"/>
  <c r="H87" i="6"/>
  <c r="H86" i="6"/>
  <c r="I86" i="6"/>
  <c r="H85" i="6"/>
  <c r="H83" i="6"/>
  <c r="I83" i="6"/>
  <c r="I82" i="6"/>
  <c r="I81" i="6"/>
  <c r="H81" i="6"/>
  <c r="H80" i="6"/>
  <c r="I80" i="6"/>
  <c r="H79" i="6"/>
  <c r="I78" i="6"/>
  <c r="H78" i="6"/>
  <c r="J78" i="6" s="1"/>
  <c r="H77" i="6"/>
  <c r="I77" i="6"/>
  <c r="I76" i="6"/>
  <c r="I75" i="6"/>
  <c r="H75" i="6"/>
  <c r="H74" i="6"/>
  <c r="I74" i="6"/>
  <c r="I73" i="6"/>
  <c r="I72" i="6"/>
  <c r="H72" i="6"/>
  <c r="J72" i="6" s="1"/>
  <c r="D95" i="6"/>
  <c r="C95" i="6"/>
  <c r="G64" i="6"/>
  <c r="H64" i="6" s="1"/>
  <c r="G63" i="6"/>
  <c r="H63" i="6" s="1"/>
  <c r="G62" i="6"/>
  <c r="H62" i="6" s="1"/>
  <c r="G61" i="6"/>
  <c r="H61" i="6" s="1"/>
  <c r="G60" i="6"/>
  <c r="H60" i="6" s="1"/>
  <c r="G59" i="6"/>
  <c r="H59" i="6" s="1"/>
  <c r="G58" i="6"/>
  <c r="H58" i="6" s="1"/>
  <c r="G57" i="6"/>
  <c r="H57" i="6" s="1"/>
  <c r="G56" i="6"/>
  <c r="H56" i="6" s="1"/>
  <c r="G55" i="6"/>
  <c r="H55" i="6" s="1"/>
  <c r="G54" i="6"/>
  <c r="H54" i="6" s="1"/>
  <c r="G53" i="6"/>
  <c r="H53" i="6" s="1"/>
  <c r="G52" i="6"/>
  <c r="H52" i="6" s="1"/>
  <c r="G51" i="6"/>
  <c r="H51" i="6" s="1"/>
  <c r="G50" i="6"/>
  <c r="H50" i="6" s="1"/>
  <c r="G49" i="6"/>
  <c r="H49" i="6" s="1"/>
  <c r="G48" i="6"/>
  <c r="H48" i="6" s="1"/>
  <c r="G47" i="6"/>
  <c r="H47" i="6" s="1"/>
  <c r="G46" i="6"/>
  <c r="H46" i="6" s="1"/>
  <c r="G45" i="6"/>
  <c r="H45" i="6" s="1"/>
  <c r="G44" i="6"/>
  <c r="H44" i="6" s="1"/>
  <c r="G43" i="6"/>
  <c r="H43" i="6" s="1"/>
  <c r="G42" i="6"/>
  <c r="H42" i="6" s="1"/>
  <c r="D65" i="6"/>
  <c r="C65" i="6"/>
  <c r="G35" i="6"/>
  <c r="H35" i="6"/>
  <c r="E35" i="6"/>
  <c r="D35" i="6"/>
  <c r="C35" i="6"/>
  <c r="J81" i="6" l="1"/>
  <c r="J87" i="6"/>
  <c r="J92" i="6"/>
  <c r="J75" i="6"/>
  <c r="J93" i="6"/>
  <c r="J89" i="6"/>
  <c r="J80" i="6"/>
  <c r="J83" i="6"/>
  <c r="J74" i="6"/>
  <c r="J86" i="6"/>
  <c r="J77" i="6"/>
  <c r="H82" i="6"/>
  <c r="J82" i="6" s="1"/>
  <c r="H91" i="6"/>
  <c r="J91" i="6" s="1"/>
  <c r="I85" i="6"/>
  <c r="J85" i="6" s="1"/>
  <c r="I94" i="6"/>
  <c r="J94" i="6" s="1"/>
  <c r="H76" i="6"/>
  <c r="J76" i="6" s="1"/>
  <c r="I88" i="6"/>
  <c r="J88" i="6" s="1"/>
  <c r="I84" i="6"/>
  <c r="H73" i="6"/>
  <c r="J73" i="6" s="1"/>
  <c r="I79" i="6"/>
  <c r="J79" i="6" s="1"/>
  <c r="E95" i="6"/>
  <c r="G65" i="6"/>
  <c r="F35" i="6"/>
  <c r="G95" i="6" l="1"/>
  <c r="H84" i="6"/>
  <c r="J84" i="6" s="1"/>
  <c r="I95" i="6"/>
  <c r="F65" i="6"/>
  <c r="H65" i="6"/>
  <c r="H95" i="6" l="1"/>
  <c r="J95" i="6"/>
  <c r="B29" i="5" l="1"/>
  <c r="B30" i="5"/>
  <c r="B31" i="5"/>
  <c r="B32" i="5"/>
  <c r="E29" i="5"/>
  <c r="E30" i="5"/>
  <c r="E31" i="5"/>
  <c r="E32" i="5"/>
  <c r="I41" i="12" l="1"/>
  <c r="H9" i="16" s="1"/>
  <c r="C18" i="15" l="1"/>
  <c r="C19" i="15" s="1"/>
  <c r="Q3" i="10" l="1"/>
  <c r="P30" i="10"/>
  <c r="O30" i="10"/>
  <c r="N30" i="10"/>
  <c r="M30" i="10"/>
  <c r="L30" i="10"/>
  <c r="K30" i="10"/>
  <c r="J30" i="10"/>
  <c r="I30" i="10"/>
  <c r="H30" i="10"/>
  <c r="G30" i="10"/>
  <c r="F30" i="10"/>
  <c r="E30" i="10"/>
  <c r="D30" i="10"/>
  <c r="C30" i="10"/>
  <c r="B30" i="10"/>
  <c r="A29" i="10"/>
  <c r="A28" i="10"/>
  <c r="A27" i="10"/>
  <c r="A26" i="10"/>
  <c r="A25" i="10"/>
  <c r="A23" i="10"/>
  <c r="A24" i="10"/>
  <c r="A22" i="10"/>
  <c r="Q17" i="10"/>
  <c r="P17" i="10"/>
  <c r="O17" i="10"/>
  <c r="N17" i="10"/>
  <c r="M17" i="10"/>
  <c r="L17" i="10"/>
  <c r="K17" i="10"/>
  <c r="J17" i="10"/>
  <c r="I17" i="10"/>
  <c r="H17" i="10"/>
  <c r="G17" i="10"/>
  <c r="F17" i="10"/>
  <c r="E17" i="10"/>
  <c r="D17" i="10"/>
  <c r="C17" i="10"/>
  <c r="B17" i="10"/>
  <c r="F88" i="17" l="1"/>
  <c r="F253" i="17" l="1"/>
  <c r="E281" i="4" l="1"/>
  <c r="Q15" i="2" l="1"/>
  <c r="Q14" i="2"/>
  <c r="Q13" i="2"/>
  <c r="Q12" i="2"/>
  <c r="O13" i="2"/>
  <c r="O12" i="2"/>
  <c r="O17" i="2"/>
  <c r="J110" i="19" l="1"/>
  <c r="H121" i="19"/>
  <c r="J90" i="19" l="1"/>
  <c r="K18" i="2" l="1"/>
  <c r="H18" i="2"/>
  <c r="N18" i="2"/>
  <c r="F16" i="2"/>
  <c r="F18" i="2" s="1"/>
  <c r="E16" i="2"/>
  <c r="E18" i="2" s="1"/>
  <c r="B18" i="2"/>
  <c r="J109" i="19" l="1"/>
  <c r="J108" i="19"/>
  <c r="J107" i="19"/>
  <c r="J106" i="19"/>
  <c r="J89" i="19"/>
  <c r="J88" i="19"/>
  <c r="J87" i="19"/>
  <c r="J70" i="19"/>
  <c r="J69" i="19"/>
  <c r="J68" i="19"/>
  <c r="J50" i="19"/>
  <c r="J49" i="19"/>
  <c r="J11" i="19"/>
  <c r="F15" i="9" l="1"/>
  <c r="G15" i="9"/>
  <c r="H15" i="9"/>
  <c r="I15" i="9"/>
  <c r="E15" i="9"/>
  <c r="D15" i="9"/>
  <c r="C15" i="9"/>
  <c r="I1" i="9"/>
  <c r="D12" i="16" l="1"/>
  <c r="C12" i="16"/>
  <c r="E12" i="16" l="1"/>
  <c r="F12" i="16" l="1"/>
  <c r="F206" i="17"/>
  <c r="F160" i="17"/>
  <c r="F115" i="17"/>
  <c r="F72" i="17"/>
  <c r="F30" i="17"/>
  <c r="H12" i="16" l="1"/>
  <c r="G12" i="16"/>
  <c r="H14" i="16" l="1"/>
  <c r="H13" i="16"/>
  <c r="H1" i="16" l="1"/>
  <c r="C1" i="15" s="1"/>
  <c r="F1" i="17" s="1"/>
  <c r="K1" i="12"/>
  <c r="C2" i="15"/>
  <c r="F2" i="17" s="1"/>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10" i="12"/>
  <c r="H8" i="12"/>
  <c r="I8" i="12"/>
  <c r="G8" i="12"/>
  <c r="E8" i="12"/>
  <c r="D8" i="12"/>
  <c r="F8" i="12"/>
  <c r="B27" i="7"/>
  <c r="B26" i="7"/>
  <c r="H9" i="7"/>
  <c r="H26" i="7" s="1"/>
  <c r="J41" i="12" l="1"/>
  <c r="K41" i="12"/>
  <c r="C37" i="1" l="1"/>
  <c r="C33" i="1"/>
  <c r="C21" i="1"/>
  <c r="D21" i="1"/>
  <c r="C39" i="1" l="1"/>
  <c r="E21" i="1" l="1"/>
  <c r="F21" i="1"/>
  <c r="G21" i="1"/>
  <c r="H21" i="1"/>
  <c r="I21" i="1"/>
  <c r="J21" i="1"/>
  <c r="K21" i="1"/>
  <c r="L21" i="1"/>
  <c r="M21" i="1"/>
  <c r="H33" i="18" l="1"/>
  <c r="H8" i="18"/>
  <c r="O2" i="18"/>
  <c r="E8" i="19"/>
  <c r="E27" i="19" s="1"/>
  <c r="E46" i="19" s="1"/>
  <c r="E65" i="19" s="1"/>
  <c r="E84" i="19" s="1"/>
  <c r="E10" i="5"/>
  <c r="E11" i="5"/>
  <c r="E12" i="5"/>
  <c r="E13" i="5"/>
  <c r="E14" i="5"/>
  <c r="E15" i="5"/>
  <c r="E16" i="5"/>
  <c r="E17" i="5"/>
  <c r="E18" i="5"/>
  <c r="E19" i="5"/>
  <c r="E20" i="5"/>
  <c r="E21" i="5"/>
  <c r="E22" i="5"/>
  <c r="E23" i="5"/>
  <c r="E24" i="5"/>
  <c r="E25" i="5"/>
  <c r="E26" i="5"/>
  <c r="E27" i="5"/>
  <c r="E28" i="5"/>
  <c r="B11" i="5"/>
  <c r="B12" i="5"/>
  <c r="B13" i="5"/>
  <c r="B14" i="5"/>
  <c r="B15" i="5"/>
  <c r="B16" i="5"/>
  <c r="B17" i="5"/>
  <c r="B18" i="5"/>
  <c r="B19" i="5"/>
  <c r="B20" i="5"/>
  <c r="B21" i="5"/>
  <c r="B22" i="5"/>
  <c r="B23" i="5"/>
  <c r="B24" i="5"/>
  <c r="B25" i="5"/>
  <c r="B26" i="5"/>
  <c r="B27" i="5"/>
  <c r="B28" i="5"/>
  <c r="B10" i="5"/>
  <c r="U2" i="2"/>
  <c r="M2" i="4" s="1"/>
  <c r="C7" i="8"/>
  <c r="D7" i="8" s="1"/>
  <c r="E7" i="8" s="1"/>
  <c r="F7" i="8" s="1"/>
  <c r="G7" i="8" s="1"/>
  <c r="G2" i="8"/>
  <c r="G3" i="8"/>
  <c r="M3" i="1" s="1"/>
  <c r="U3" i="2" l="1"/>
  <c r="M3" i="4" s="1"/>
  <c r="I3" i="7"/>
  <c r="H2" i="5"/>
  <c r="I2" i="7"/>
  <c r="H3" i="5"/>
  <c r="E103" i="19"/>
  <c r="K3" i="12" l="1"/>
  <c r="J3" i="14" s="1"/>
  <c r="H3" i="16" s="1"/>
  <c r="C3" i="15" s="1"/>
  <c r="F3" i="17" s="1"/>
  <c r="H3" i="24"/>
  <c r="K3" i="19"/>
  <c r="O3" i="18" s="1"/>
  <c r="I3" i="9" s="1"/>
  <c r="F345" i="4"/>
  <c r="F408" i="4" s="1"/>
  <c r="F471" i="4" s="1"/>
  <c r="F63" i="4"/>
  <c r="F119" i="4" s="1"/>
  <c r="F175" i="4" s="1"/>
  <c r="F231" i="4" s="1"/>
  <c r="F287" i="4" s="1"/>
  <c r="F344" i="4" s="1"/>
  <c r="F407" i="4" s="1"/>
  <c r="F470" i="4" s="1"/>
  <c r="F64" i="4"/>
  <c r="F120" i="4" s="1"/>
  <c r="F176" i="4" s="1"/>
  <c r="I9" i="1"/>
  <c r="H9" i="1"/>
  <c r="Q9" i="2"/>
  <c r="J9" i="1"/>
  <c r="K9" i="1" s="1"/>
  <c r="L9" i="1" s="1"/>
  <c r="M9" i="1" s="1"/>
  <c r="C1" i="3"/>
  <c r="G1" i="8" l="1"/>
  <c r="Q1" i="10"/>
  <c r="H119" i="19"/>
  <c r="H122" i="19" s="1"/>
  <c r="J117" i="19"/>
  <c r="J116" i="19"/>
  <c r="J115" i="19"/>
  <c r="J114" i="19"/>
  <c r="J113" i="19"/>
  <c r="J112" i="19"/>
  <c r="J111" i="19"/>
  <c r="H100" i="19"/>
  <c r="J98" i="19"/>
  <c r="J97" i="19"/>
  <c r="J96" i="19"/>
  <c r="J95" i="19"/>
  <c r="J94" i="19"/>
  <c r="J93" i="19"/>
  <c r="J92" i="19"/>
  <c r="J91" i="19"/>
  <c r="H81" i="19"/>
  <c r="J79" i="19"/>
  <c r="J78" i="19"/>
  <c r="J77" i="19"/>
  <c r="J76" i="19"/>
  <c r="J75" i="19"/>
  <c r="J74" i="19"/>
  <c r="J73" i="19"/>
  <c r="J72" i="19"/>
  <c r="H62" i="19"/>
  <c r="J60" i="19"/>
  <c r="J59" i="19"/>
  <c r="J58" i="19"/>
  <c r="J57" i="19"/>
  <c r="J56" i="19"/>
  <c r="J55" i="19"/>
  <c r="J54" i="19"/>
  <c r="J53" i="19"/>
  <c r="J52" i="19"/>
  <c r="H43" i="19"/>
  <c r="J41" i="19"/>
  <c r="J40" i="19"/>
  <c r="J39" i="19"/>
  <c r="J38" i="19"/>
  <c r="J37" i="19"/>
  <c r="J36" i="19"/>
  <c r="J35" i="19"/>
  <c r="J34" i="19"/>
  <c r="J33" i="19"/>
  <c r="J32" i="19"/>
  <c r="J30" i="19"/>
  <c r="H24" i="19"/>
  <c r="J22" i="19"/>
  <c r="J21" i="19"/>
  <c r="J20" i="19"/>
  <c r="J19" i="19"/>
  <c r="J18" i="19"/>
  <c r="J17" i="19"/>
  <c r="J16" i="19"/>
  <c r="J15" i="19"/>
  <c r="J14" i="19"/>
  <c r="J13" i="19"/>
  <c r="J12" i="19"/>
  <c r="I46" i="18"/>
  <c r="O46" i="18" s="1"/>
  <c r="I45" i="18"/>
  <c r="E42" i="18"/>
  <c r="K42" i="18" s="1"/>
  <c r="I41" i="18"/>
  <c r="O41" i="18" s="1"/>
  <c r="I40" i="18"/>
  <c r="I21" i="18"/>
  <c r="O21" i="18" s="1"/>
  <c r="E22" i="18"/>
  <c r="K22" i="18" s="1"/>
  <c r="I16" i="18"/>
  <c r="O16" i="18" s="1"/>
  <c r="I15" i="18"/>
  <c r="M1" i="1" l="1"/>
  <c r="U1" i="2" s="1"/>
  <c r="K1" i="19" s="1"/>
  <c r="O1" i="18" s="1"/>
  <c r="J62" i="19"/>
  <c r="I62" i="19" s="1"/>
  <c r="J100" i="19"/>
  <c r="J119" i="19"/>
  <c r="J122" i="19" s="1"/>
  <c r="I122" i="19" s="1"/>
  <c r="K15" i="18" s="1"/>
  <c r="J43" i="19"/>
  <c r="I43" i="19" s="1"/>
  <c r="J24" i="19"/>
  <c r="I24" i="19" s="1"/>
  <c r="J81" i="19"/>
  <c r="I81" i="19" s="1"/>
  <c r="O40" i="18"/>
  <c r="O42" i="18" s="1"/>
  <c r="I42" i="18"/>
  <c r="O45" i="18"/>
  <c r="O47" i="18" s="1"/>
  <c r="I47" i="18"/>
  <c r="I17" i="18"/>
  <c r="I20" i="18"/>
  <c r="E47" i="18"/>
  <c r="K47" i="18" s="1"/>
  <c r="K49" i="18" s="1"/>
  <c r="E17" i="18"/>
  <c r="H41" i="12"/>
  <c r="G9" i="16" s="1"/>
  <c r="G41" i="12"/>
  <c r="F9" i="16" s="1"/>
  <c r="F41" i="12"/>
  <c r="E9" i="16" s="1"/>
  <c r="E41" i="12"/>
  <c r="D9" i="16" s="1"/>
  <c r="D41" i="12"/>
  <c r="C9" i="16" s="1"/>
  <c r="C41" i="12"/>
  <c r="B9" i="16" s="1"/>
  <c r="B13" i="16" s="1"/>
  <c r="H41" i="7"/>
  <c r="G41" i="7"/>
  <c r="F41" i="7"/>
  <c r="E41" i="7"/>
  <c r="D41" i="7"/>
  <c r="C41" i="7"/>
  <c r="B41" i="7"/>
  <c r="H21" i="7"/>
  <c r="G21" i="7"/>
  <c r="F21" i="7"/>
  <c r="E21" i="7"/>
  <c r="D21" i="7"/>
  <c r="C21" i="7"/>
  <c r="B21" i="7"/>
  <c r="D9" i="7"/>
  <c r="D26" i="7" s="1"/>
  <c r="F9" i="7"/>
  <c r="F26" i="7" s="1"/>
  <c r="E9" i="7"/>
  <c r="E26" i="7" s="1"/>
  <c r="H584" i="4"/>
  <c r="L583" i="4"/>
  <c r="G583" i="4"/>
  <c r="L581" i="4"/>
  <c r="G581" i="4"/>
  <c r="L580" i="4"/>
  <c r="G580" i="4"/>
  <c r="K579" i="4"/>
  <c r="K582" i="4" s="1"/>
  <c r="K584" i="4" s="1"/>
  <c r="J579" i="4"/>
  <c r="J582" i="4" s="1"/>
  <c r="J584" i="4" s="1"/>
  <c r="J586" i="4" s="1"/>
  <c r="K592" i="4" s="1"/>
  <c r="F579" i="4"/>
  <c r="F582" i="4" s="1"/>
  <c r="F584" i="4" s="1"/>
  <c r="E579" i="4"/>
  <c r="E582" i="4" s="1"/>
  <c r="E584" i="4" s="1"/>
  <c r="H521" i="4"/>
  <c r="L520" i="4"/>
  <c r="G520" i="4"/>
  <c r="L518" i="4"/>
  <c r="G518" i="4"/>
  <c r="L517" i="4"/>
  <c r="G517" i="4"/>
  <c r="K516" i="4"/>
  <c r="K519" i="4" s="1"/>
  <c r="K521" i="4" s="1"/>
  <c r="J516" i="4"/>
  <c r="J519" i="4" s="1"/>
  <c r="J521" i="4" s="1"/>
  <c r="J523" i="4" s="1"/>
  <c r="K529" i="4" s="1"/>
  <c r="F516" i="4"/>
  <c r="F519" i="4" s="1"/>
  <c r="F521" i="4" s="1"/>
  <c r="E516" i="4"/>
  <c r="E519" i="4" s="1"/>
  <c r="E521" i="4" s="1"/>
  <c r="H458" i="4"/>
  <c r="L457" i="4"/>
  <c r="G457" i="4"/>
  <c r="L455" i="4"/>
  <c r="G455" i="4"/>
  <c r="L454" i="4"/>
  <c r="G454" i="4"/>
  <c r="K453" i="4"/>
  <c r="K456" i="4" s="1"/>
  <c r="K458" i="4" s="1"/>
  <c r="J453" i="4"/>
  <c r="J456" i="4" s="1"/>
  <c r="J458" i="4" s="1"/>
  <c r="J460" i="4" s="1"/>
  <c r="K466" i="4" s="1"/>
  <c r="F453" i="4"/>
  <c r="F456" i="4" s="1"/>
  <c r="F458" i="4" s="1"/>
  <c r="E453" i="4"/>
  <c r="E456" i="4" s="1"/>
  <c r="E458" i="4" s="1"/>
  <c r="H395" i="4"/>
  <c r="L394" i="4"/>
  <c r="G394" i="4"/>
  <c r="L392" i="4"/>
  <c r="G392" i="4"/>
  <c r="L391" i="4"/>
  <c r="G391" i="4"/>
  <c r="K390" i="4"/>
  <c r="K393" i="4" s="1"/>
  <c r="K395" i="4" s="1"/>
  <c r="J390" i="4"/>
  <c r="J393" i="4" s="1"/>
  <c r="J395" i="4" s="1"/>
  <c r="J397" i="4" s="1"/>
  <c r="K403" i="4" s="1"/>
  <c r="F390" i="4"/>
  <c r="F393" i="4" s="1"/>
  <c r="F395" i="4" s="1"/>
  <c r="E390" i="4"/>
  <c r="E393" i="4" s="1"/>
  <c r="E395" i="4" s="1"/>
  <c r="H338" i="4"/>
  <c r="L337" i="4"/>
  <c r="G337" i="4"/>
  <c r="L335" i="4"/>
  <c r="G335" i="4"/>
  <c r="L334" i="4"/>
  <c r="G334" i="4"/>
  <c r="K333" i="4"/>
  <c r="K336" i="4" s="1"/>
  <c r="K338" i="4" s="1"/>
  <c r="J333" i="4"/>
  <c r="J336" i="4" s="1"/>
  <c r="J338" i="4" s="1"/>
  <c r="J340" i="4" s="1"/>
  <c r="F333" i="4"/>
  <c r="F336" i="4" s="1"/>
  <c r="F338" i="4" s="1"/>
  <c r="E333" i="4"/>
  <c r="E336" i="4" s="1"/>
  <c r="E338" i="4" s="1"/>
  <c r="H282" i="4"/>
  <c r="L281" i="4"/>
  <c r="G281" i="4"/>
  <c r="L279" i="4"/>
  <c r="G279" i="4"/>
  <c r="L278" i="4"/>
  <c r="G278" i="4"/>
  <c r="K277" i="4"/>
  <c r="K280" i="4" s="1"/>
  <c r="K282" i="4" s="1"/>
  <c r="J277" i="4"/>
  <c r="J280" i="4" s="1"/>
  <c r="J282" i="4" s="1"/>
  <c r="J284" i="4" s="1"/>
  <c r="F277" i="4"/>
  <c r="F280" i="4" s="1"/>
  <c r="F282" i="4" s="1"/>
  <c r="E277" i="4"/>
  <c r="E280" i="4" s="1"/>
  <c r="E282" i="4" s="1"/>
  <c r="H226" i="4"/>
  <c r="L225" i="4"/>
  <c r="G225" i="4"/>
  <c r="L223" i="4"/>
  <c r="G223" i="4"/>
  <c r="M223" i="4" s="1"/>
  <c r="L222" i="4"/>
  <c r="G222" i="4"/>
  <c r="K221" i="4"/>
  <c r="K224" i="4" s="1"/>
  <c r="K226" i="4" s="1"/>
  <c r="J221" i="4"/>
  <c r="J224" i="4" s="1"/>
  <c r="J226" i="4" s="1"/>
  <c r="J228" i="4" s="1"/>
  <c r="F221" i="4"/>
  <c r="F224" i="4" s="1"/>
  <c r="F226" i="4" s="1"/>
  <c r="E221" i="4"/>
  <c r="E224" i="4" s="1"/>
  <c r="E226" i="4" s="1"/>
  <c r="H170" i="4"/>
  <c r="L169" i="4"/>
  <c r="G169" i="4"/>
  <c r="L167" i="4"/>
  <c r="G167" i="4"/>
  <c r="L166" i="4"/>
  <c r="G166" i="4"/>
  <c r="M166" i="4" s="1"/>
  <c r="K165" i="4"/>
  <c r="K168" i="4" s="1"/>
  <c r="K170" i="4" s="1"/>
  <c r="J165" i="4"/>
  <c r="J168" i="4" s="1"/>
  <c r="J170" i="4" s="1"/>
  <c r="J172" i="4" s="1"/>
  <c r="F165" i="4"/>
  <c r="F168" i="4" s="1"/>
  <c r="F170" i="4" s="1"/>
  <c r="E165" i="4"/>
  <c r="E168" i="4" s="1"/>
  <c r="E170" i="4" s="1"/>
  <c r="H114" i="4"/>
  <c r="L113" i="4"/>
  <c r="G113" i="4"/>
  <c r="K109" i="4"/>
  <c r="K112" i="4" s="1"/>
  <c r="K114" i="4" s="1"/>
  <c r="J109" i="4"/>
  <c r="J112" i="4" s="1"/>
  <c r="J114" i="4" s="1"/>
  <c r="J116" i="4" s="1"/>
  <c r="F109" i="4"/>
  <c r="F112" i="4" s="1"/>
  <c r="F114" i="4" s="1"/>
  <c r="E109" i="4"/>
  <c r="E112" i="4" s="1"/>
  <c r="E114" i="4" s="1"/>
  <c r="H58" i="4"/>
  <c r="L57" i="4"/>
  <c r="G57" i="4"/>
  <c r="L55" i="4"/>
  <c r="I111" i="4" s="1"/>
  <c r="L111" i="4" s="1"/>
  <c r="G55" i="4"/>
  <c r="L54" i="4"/>
  <c r="I110" i="4" s="1"/>
  <c r="L110" i="4" s="1"/>
  <c r="G54" i="4"/>
  <c r="D110" i="4" s="1"/>
  <c r="G110" i="4" s="1"/>
  <c r="K53" i="4"/>
  <c r="K56" i="4" s="1"/>
  <c r="K58" i="4" s="1"/>
  <c r="J53" i="4"/>
  <c r="J56" i="4" s="1"/>
  <c r="J58" i="4" s="1"/>
  <c r="J60" i="4" s="1"/>
  <c r="I53" i="4"/>
  <c r="I56" i="4" s="1"/>
  <c r="I58" i="4" s="1"/>
  <c r="F53" i="4"/>
  <c r="F56" i="4" s="1"/>
  <c r="F58" i="4" s="1"/>
  <c r="E53" i="4"/>
  <c r="E56" i="4" s="1"/>
  <c r="E58" i="4" s="1"/>
  <c r="D53" i="4"/>
  <c r="D56" i="4" s="1"/>
  <c r="D58" i="4" s="1"/>
  <c r="L52" i="4"/>
  <c r="I108" i="4" s="1"/>
  <c r="L108" i="4" s="1"/>
  <c r="I164" i="4" s="1"/>
  <c r="L164" i="4" s="1"/>
  <c r="I220" i="4" s="1"/>
  <c r="L220" i="4" s="1"/>
  <c r="I276" i="4" s="1"/>
  <c r="L276" i="4" s="1"/>
  <c r="I332" i="4" s="1"/>
  <c r="L332" i="4" s="1"/>
  <c r="I389" i="4" s="1"/>
  <c r="L389" i="4" s="1"/>
  <c r="I452" i="4" s="1"/>
  <c r="L452" i="4" s="1"/>
  <c r="I515" i="4" s="1"/>
  <c r="L515" i="4" s="1"/>
  <c r="I578" i="4" s="1"/>
  <c r="L578" i="4" s="1"/>
  <c r="G52" i="4"/>
  <c r="L51" i="4"/>
  <c r="I107" i="4" s="1"/>
  <c r="L107" i="4" s="1"/>
  <c r="I163" i="4" s="1"/>
  <c r="L163" i="4" s="1"/>
  <c r="I219" i="4" s="1"/>
  <c r="L219" i="4" s="1"/>
  <c r="I275" i="4" s="1"/>
  <c r="L275" i="4" s="1"/>
  <c r="I331" i="4" s="1"/>
  <c r="L331" i="4" s="1"/>
  <c r="I388" i="4" s="1"/>
  <c r="L388" i="4" s="1"/>
  <c r="I451" i="4" s="1"/>
  <c r="L451" i="4" s="1"/>
  <c r="I514" i="4" s="1"/>
  <c r="L514" i="4" s="1"/>
  <c r="I577" i="4" s="1"/>
  <c r="L577" i="4" s="1"/>
  <c r="G51" i="4"/>
  <c r="L50" i="4"/>
  <c r="I106" i="4" s="1"/>
  <c r="L106" i="4" s="1"/>
  <c r="I162" i="4" s="1"/>
  <c r="L162" i="4" s="1"/>
  <c r="I218" i="4" s="1"/>
  <c r="L218" i="4" s="1"/>
  <c r="I274" i="4" s="1"/>
  <c r="L274" i="4" s="1"/>
  <c r="I330" i="4" s="1"/>
  <c r="L330" i="4" s="1"/>
  <c r="I387" i="4" s="1"/>
  <c r="L387" i="4" s="1"/>
  <c r="I450" i="4" s="1"/>
  <c r="L450" i="4" s="1"/>
  <c r="I513" i="4" s="1"/>
  <c r="L513" i="4" s="1"/>
  <c r="I576" i="4" s="1"/>
  <c r="L576" i="4" s="1"/>
  <c r="G50" i="4"/>
  <c r="D106" i="4" s="1"/>
  <c r="G106" i="4" s="1"/>
  <c r="L49" i="4"/>
  <c r="I105" i="4" s="1"/>
  <c r="L105" i="4" s="1"/>
  <c r="I161" i="4" s="1"/>
  <c r="L161" i="4" s="1"/>
  <c r="I217" i="4" s="1"/>
  <c r="L217" i="4" s="1"/>
  <c r="I273" i="4" s="1"/>
  <c r="L273" i="4" s="1"/>
  <c r="I329" i="4" s="1"/>
  <c r="L329" i="4" s="1"/>
  <c r="I386" i="4" s="1"/>
  <c r="L386" i="4" s="1"/>
  <c r="I449" i="4" s="1"/>
  <c r="L449" i="4" s="1"/>
  <c r="I512" i="4" s="1"/>
  <c r="L512" i="4" s="1"/>
  <c r="I575" i="4" s="1"/>
  <c r="L575" i="4" s="1"/>
  <c r="G49" i="4"/>
  <c r="D105" i="4" s="1"/>
  <c r="G105" i="4" s="1"/>
  <c r="L48" i="4"/>
  <c r="I104" i="4" s="1"/>
  <c r="L104" i="4" s="1"/>
  <c r="I160" i="4" s="1"/>
  <c r="L160" i="4" s="1"/>
  <c r="I216" i="4" s="1"/>
  <c r="L216" i="4" s="1"/>
  <c r="I272" i="4" s="1"/>
  <c r="L272" i="4" s="1"/>
  <c r="I328" i="4" s="1"/>
  <c r="L328" i="4" s="1"/>
  <c r="I385" i="4" s="1"/>
  <c r="L385" i="4" s="1"/>
  <c r="I448" i="4" s="1"/>
  <c r="L448" i="4" s="1"/>
  <c r="I511" i="4" s="1"/>
  <c r="L511" i="4" s="1"/>
  <c r="I574" i="4" s="1"/>
  <c r="L574" i="4" s="1"/>
  <c r="G48" i="4"/>
  <c r="D104" i="4" s="1"/>
  <c r="G104" i="4" s="1"/>
  <c r="L47" i="4"/>
  <c r="I103" i="4" s="1"/>
  <c r="L103" i="4" s="1"/>
  <c r="I159" i="4" s="1"/>
  <c r="L159" i="4" s="1"/>
  <c r="I215" i="4" s="1"/>
  <c r="L215" i="4" s="1"/>
  <c r="I271" i="4" s="1"/>
  <c r="L271" i="4" s="1"/>
  <c r="I327" i="4" s="1"/>
  <c r="L327" i="4" s="1"/>
  <c r="I384" i="4" s="1"/>
  <c r="L384" i="4" s="1"/>
  <c r="I447" i="4" s="1"/>
  <c r="L447" i="4" s="1"/>
  <c r="I510" i="4" s="1"/>
  <c r="L510" i="4" s="1"/>
  <c r="I573" i="4" s="1"/>
  <c r="L573" i="4" s="1"/>
  <c r="G47" i="4"/>
  <c r="L46" i="4"/>
  <c r="I102" i="4" s="1"/>
  <c r="L102" i="4" s="1"/>
  <c r="I158" i="4" s="1"/>
  <c r="L158" i="4" s="1"/>
  <c r="I214" i="4" s="1"/>
  <c r="L214" i="4" s="1"/>
  <c r="I270" i="4" s="1"/>
  <c r="L270" i="4" s="1"/>
  <c r="I326" i="4" s="1"/>
  <c r="L326" i="4" s="1"/>
  <c r="I383" i="4" s="1"/>
  <c r="L383" i="4" s="1"/>
  <c r="I446" i="4" s="1"/>
  <c r="L446" i="4" s="1"/>
  <c r="I509" i="4" s="1"/>
  <c r="L509" i="4" s="1"/>
  <c r="I572" i="4" s="1"/>
  <c r="L572" i="4" s="1"/>
  <c r="G46" i="4"/>
  <c r="D102" i="4" s="1"/>
  <c r="G102" i="4" s="1"/>
  <c r="L45" i="4"/>
  <c r="I101" i="4" s="1"/>
  <c r="L101" i="4" s="1"/>
  <c r="I157" i="4" s="1"/>
  <c r="L157" i="4" s="1"/>
  <c r="I213" i="4" s="1"/>
  <c r="L213" i="4" s="1"/>
  <c r="I269" i="4" s="1"/>
  <c r="L269" i="4" s="1"/>
  <c r="I325" i="4" s="1"/>
  <c r="L325" i="4" s="1"/>
  <c r="I382" i="4" s="1"/>
  <c r="L382" i="4" s="1"/>
  <c r="I445" i="4" s="1"/>
  <c r="L445" i="4" s="1"/>
  <c r="I508" i="4" s="1"/>
  <c r="L508" i="4" s="1"/>
  <c r="I571" i="4" s="1"/>
  <c r="L571" i="4" s="1"/>
  <c r="G45" i="4"/>
  <c r="L44" i="4"/>
  <c r="I100" i="4" s="1"/>
  <c r="L100" i="4" s="1"/>
  <c r="I156" i="4" s="1"/>
  <c r="L156" i="4" s="1"/>
  <c r="I212" i="4" s="1"/>
  <c r="L212" i="4" s="1"/>
  <c r="I268" i="4" s="1"/>
  <c r="L268" i="4" s="1"/>
  <c r="I324" i="4" s="1"/>
  <c r="L324" i="4" s="1"/>
  <c r="I381" i="4" s="1"/>
  <c r="L381" i="4" s="1"/>
  <c r="I444" i="4" s="1"/>
  <c r="L444" i="4" s="1"/>
  <c r="I507" i="4" s="1"/>
  <c r="L507" i="4" s="1"/>
  <c r="I570" i="4" s="1"/>
  <c r="L570" i="4" s="1"/>
  <c r="G44" i="4"/>
  <c r="D100" i="4" s="1"/>
  <c r="G100" i="4" s="1"/>
  <c r="L43" i="4"/>
  <c r="I99" i="4" s="1"/>
  <c r="L99" i="4" s="1"/>
  <c r="I155" i="4" s="1"/>
  <c r="L155" i="4" s="1"/>
  <c r="I211" i="4" s="1"/>
  <c r="L211" i="4" s="1"/>
  <c r="I267" i="4" s="1"/>
  <c r="L267" i="4" s="1"/>
  <c r="I323" i="4" s="1"/>
  <c r="L323" i="4" s="1"/>
  <c r="I380" i="4" s="1"/>
  <c r="L380" i="4" s="1"/>
  <c r="I443" i="4" s="1"/>
  <c r="L443" i="4" s="1"/>
  <c r="I506" i="4" s="1"/>
  <c r="L506" i="4" s="1"/>
  <c r="I569" i="4" s="1"/>
  <c r="L569" i="4" s="1"/>
  <c r="G43" i="4"/>
  <c r="L42" i="4"/>
  <c r="I98" i="4" s="1"/>
  <c r="L98" i="4" s="1"/>
  <c r="I154" i="4" s="1"/>
  <c r="L154" i="4" s="1"/>
  <c r="I210" i="4" s="1"/>
  <c r="L210" i="4" s="1"/>
  <c r="I266" i="4" s="1"/>
  <c r="L266" i="4" s="1"/>
  <c r="I322" i="4" s="1"/>
  <c r="L322" i="4" s="1"/>
  <c r="I379" i="4" s="1"/>
  <c r="L379" i="4" s="1"/>
  <c r="I442" i="4" s="1"/>
  <c r="L442" i="4" s="1"/>
  <c r="I505" i="4" s="1"/>
  <c r="L505" i="4" s="1"/>
  <c r="I568" i="4" s="1"/>
  <c r="L568" i="4" s="1"/>
  <c r="G42" i="4"/>
  <c r="D98" i="4" s="1"/>
  <c r="G98" i="4" s="1"/>
  <c r="D154" i="4" s="1"/>
  <c r="G154" i="4" s="1"/>
  <c r="L41" i="4"/>
  <c r="I97" i="4" s="1"/>
  <c r="L97" i="4" s="1"/>
  <c r="I153" i="4" s="1"/>
  <c r="L153" i="4" s="1"/>
  <c r="I209" i="4" s="1"/>
  <c r="L209" i="4" s="1"/>
  <c r="I265" i="4" s="1"/>
  <c r="L265" i="4" s="1"/>
  <c r="I321" i="4" s="1"/>
  <c r="L321" i="4" s="1"/>
  <c r="I378" i="4" s="1"/>
  <c r="L378" i="4" s="1"/>
  <c r="I441" i="4" s="1"/>
  <c r="L441" i="4" s="1"/>
  <c r="I504" i="4" s="1"/>
  <c r="L504" i="4" s="1"/>
  <c r="I567" i="4" s="1"/>
  <c r="L567" i="4" s="1"/>
  <c r="G41" i="4"/>
  <c r="D97" i="4" s="1"/>
  <c r="G97" i="4" s="1"/>
  <c r="L40" i="4"/>
  <c r="I96" i="4" s="1"/>
  <c r="L96" i="4" s="1"/>
  <c r="I152" i="4" s="1"/>
  <c r="L152" i="4" s="1"/>
  <c r="I208" i="4" s="1"/>
  <c r="L208" i="4" s="1"/>
  <c r="I264" i="4" s="1"/>
  <c r="L264" i="4" s="1"/>
  <c r="I320" i="4" s="1"/>
  <c r="L320" i="4" s="1"/>
  <c r="I377" i="4" s="1"/>
  <c r="L377" i="4" s="1"/>
  <c r="I440" i="4" s="1"/>
  <c r="L440" i="4" s="1"/>
  <c r="I503" i="4" s="1"/>
  <c r="L503" i="4" s="1"/>
  <c r="I566" i="4" s="1"/>
  <c r="L566" i="4" s="1"/>
  <c r="G40" i="4"/>
  <c r="D96" i="4" s="1"/>
  <c r="G96" i="4" s="1"/>
  <c r="D152" i="4" s="1"/>
  <c r="G152" i="4" s="1"/>
  <c r="L39" i="4"/>
  <c r="I95" i="4" s="1"/>
  <c r="L95" i="4" s="1"/>
  <c r="I151" i="4" s="1"/>
  <c r="L151" i="4" s="1"/>
  <c r="I207" i="4" s="1"/>
  <c r="L207" i="4" s="1"/>
  <c r="I263" i="4" s="1"/>
  <c r="L263" i="4" s="1"/>
  <c r="I319" i="4" s="1"/>
  <c r="L319" i="4" s="1"/>
  <c r="I376" i="4" s="1"/>
  <c r="L376" i="4" s="1"/>
  <c r="I439" i="4" s="1"/>
  <c r="L439" i="4" s="1"/>
  <c r="I502" i="4" s="1"/>
  <c r="L502" i="4" s="1"/>
  <c r="I565" i="4" s="1"/>
  <c r="L565" i="4" s="1"/>
  <c r="G39" i="4"/>
  <c r="D95" i="4" s="1"/>
  <c r="G95" i="4" s="1"/>
  <c r="L38" i="4"/>
  <c r="I94" i="4" s="1"/>
  <c r="L94" i="4" s="1"/>
  <c r="G38" i="4"/>
  <c r="D94" i="4" s="1"/>
  <c r="G94" i="4" s="1"/>
  <c r="D150" i="4" s="1"/>
  <c r="G150" i="4" s="1"/>
  <c r="L37" i="4"/>
  <c r="I93" i="4" s="1"/>
  <c r="L93" i="4" s="1"/>
  <c r="I149" i="4" s="1"/>
  <c r="L149" i="4" s="1"/>
  <c r="I205" i="4" s="1"/>
  <c r="L205" i="4" s="1"/>
  <c r="I261" i="4" s="1"/>
  <c r="L261" i="4" s="1"/>
  <c r="I317" i="4" s="1"/>
  <c r="L317" i="4" s="1"/>
  <c r="I374" i="4" s="1"/>
  <c r="L374" i="4" s="1"/>
  <c r="I437" i="4" s="1"/>
  <c r="L437" i="4" s="1"/>
  <c r="I500" i="4" s="1"/>
  <c r="L500" i="4" s="1"/>
  <c r="I563" i="4" s="1"/>
  <c r="L563" i="4" s="1"/>
  <c r="G37" i="4"/>
  <c r="L36" i="4"/>
  <c r="I92" i="4" s="1"/>
  <c r="L92" i="4" s="1"/>
  <c r="I148" i="4" s="1"/>
  <c r="L148" i="4" s="1"/>
  <c r="I204" i="4" s="1"/>
  <c r="L204" i="4" s="1"/>
  <c r="I260" i="4" s="1"/>
  <c r="L260" i="4" s="1"/>
  <c r="I316" i="4" s="1"/>
  <c r="L316" i="4" s="1"/>
  <c r="I373" i="4" s="1"/>
  <c r="L373" i="4" s="1"/>
  <c r="I436" i="4" s="1"/>
  <c r="L436" i="4" s="1"/>
  <c r="I499" i="4" s="1"/>
  <c r="L499" i="4" s="1"/>
  <c r="I562" i="4" s="1"/>
  <c r="L562" i="4" s="1"/>
  <c r="G36" i="4"/>
  <c r="D92" i="4" s="1"/>
  <c r="G92" i="4" s="1"/>
  <c r="L35" i="4"/>
  <c r="I91" i="4" s="1"/>
  <c r="L91" i="4" s="1"/>
  <c r="I147" i="4" s="1"/>
  <c r="L147" i="4" s="1"/>
  <c r="I203" i="4" s="1"/>
  <c r="L203" i="4" s="1"/>
  <c r="I259" i="4" s="1"/>
  <c r="L259" i="4" s="1"/>
  <c r="I315" i="4" s="1"/>
  <c r="L315" i="4" s="1"/>
  <c r="I372" i="4" s="1"/>
  <c r="L372" i="4" s="1"/>
  <c r="I435" i="4" s="1"/>
  <c r="L435" i="4" s="1"/>
  <c r="I498" i="4" s="1"/>
  <c r="L498" i="4" s="1"/>
  <c r="I561" i="4" s="1"/>
  <c r="L561" i="4" s="1"/>
  <c r="G35" i="4"/>
  <c r="L34" i="4"/>
  <c r="I90" i="4" s="1"/>
  <c r="L90" i="4" s="1"/>
  <c r="I146" i="4" s="1"/>
  <c r="L146" i="4" s="1"/>
  <c r="I202" i="4" s="1"/>
  <c r="L202" i="4" s="1"/>
  <c r="I258" i="4" s="1"/>
  <c r="L258" i="4" s="1"/>
  <c r="I314" i="4" s="1"/>
  <c r="L314" i="4" s="1"/>
  <c r="I371" i="4" s="1"/>
  <c r="L371" i="4" s="1"/>
  <c r="I434" i="4" s="1"/>
  <c r="L434" i="4" s="1"/>
  <c r="I497" i="4" s="1"/>
  <c r="L497" i="4" s="1"/>
  <c r="I560" i="4" s="1"/>
  <c r="L560" i="4" s="1"/>
  <c r="G34" i="4"/>
  <c r="L33" i="4"/>
  <c r="I89" i="4" s="1"/>
  <c r="L89" i="4" s="1"/>
  <c r="I145" i="4" s="1"/>
  <c r="L145" i="4" s="1"/>
  <c r="I201" i="4" s="1"/>
  <c r="L201" i="4" s="1"/>
  <c r="I257" i="4" s="1"/>
  <c r="L257" i="4" s="1"/>
  <c r="I313" i="4" s="1"/>
  <c r="L313" i="4" s="1"/>
  <c r="I370" i="4" s="1"/>
  <c r="L370" i="4" s="1"/>
  <c r="I433" i="4" s="1"/>
  <c r="L433" i="4" s="1"/>
  <c r="I496" i="4" s="1"/>
  <c r="L496" i="4" s="1"/>
  <c r="I559" i="4" s="1"/>
  <c r="L559" i="4" s="1"/>
  <c r="G33" i="4"/>
  <c r="D89" i="4" s="1"/>
  <c r="G89" i="4" s="1"/>
  <c r="L32" i="4"/>
  <c r="G32" i="4"/>
  <c r="D88" i="4" s="1"/>
  <c r="G88" i="4" s="1"/>
  <c r="L31" i="4"/>
  <c r="I87" i="4" s="1"/>
  <c r="L87" i="4" s="1"/>
  <c r="I143" i="4" s="1"/>
  <c r="L143" i="4" s="1"/>
  <c r="I199" i="4" s="1"/>
  <c r="L199" i="4" s="1"/>
  <c r="I255" i="4" s="1"/>
  <c r="L255" i="4" s="1"/>
  <c r="I311" i="4" s="1"/>
  <c r="L311" i="4" s="1"/>
  <c r="I368" i="4" s="1"/>
  <c r="L368" i="4" s="1"/>
  <c r="I431" i="4" s="1"/>
  <c r="L431" i="4" s="1"/>
  <c r="I494" i="4" s="1"/>
  <c r="L494" i="4" s="1"/>
  <c r="I557" i="4" s="1"/>
  <c r="L557" i="4" s="1"/>
  <c r="G31" i="4"/>
  <c r="D87" i="4" s="1"/>
  <c r="G87" i="4" s="1"/>
  <c r="D143" i="4" s="1"/>
  <c r="G143" i="4" s="1"/>
  <c r="L30" i="4"/>
  <c r="I86" i="4" s="1"/>
  <c r="L86" i="4" s="1"/>
  <c r="I142" i="4" s="1"/>
  <c r="L142" i="4" s="1"/>
  <c r="I198" i="4" s="1"/>
  <c r="L198" i="4" s="1"/>
  <c r="I254" i="4" s="1"/>
  <c r="L254" i="4" s="1"/>
  <c r="I310" i="4" s="1"/>
  <c r="L310" i="4" s="1"/>
  <c r="I367" i="4" s="1"/>
  <c r="L367" i="4" s="1"/>
  <c r="I430" i="4" s="1"/>
  <c r="L430" i="4" s="1"/>
  <c r="I493" i="4" s="1"/>
  <c r="L493" i="4" s="1"/>
  <c r="I556" i="4" s="1"/>
  <c r="L556" i="4" s="1"/>
  <c r="G30" i="4"/>
  <c r="D86" i="4" s="1"/>
  <c r="G86" i="4" s="1"/>
  <c r="L29" i="4"/>
  <c r="I85" i="4" s="1"/>
  <c r="L85" i="4" s="1"/>
  <c r="I141" i="4" s="1"/>
  <c r="L141" i="4" s="1"/>
  <c r="I197" i="4" s="1"/>
  <c r="L197" i="4" s="1"/>
  <c r="I253" i="4" s="1"/>
  <c r="L253" i="4" s="1"/>
  <c r="I309" i="4" s="1"/>
  <c r="L309" i="4" s="1"/>
  <c r="I366" i="4" s="1"/>
  <c r="L366" i="4" s="1"/>
  <c r="I429" i="4" s="1"/>
  <c r="L429" i="4" s="1"/>
  <c r="I492" i="4" s="1"/>
  <c r="L492" i="4" s="1"/>
  <c r="I555" i="4" s="1"/>
  <c r="L555" i="4" s="1"/>
  <c r="G29" i="4"/>
  <c r="D85" i="4" s="1"/>
  <c r="G85" i="4" s="1"/>
  <c r="L28" i="4"/>
  <c r="I84" i="4" s="1"/>
  <c r="L84" i="4" s="1"/>
  <c r="I140" i="4" s="1"/>
  <c r="L140" i="4" s="1"/>
  <c r="I196" i="4" s="1"/>
  <c r="L196" i="4" s="1"/>
  <c r="I252" i="4" s="1"/>
  <c r="L252" i="4" s="1"/>
  <c r="I308" i="4" s="1"/>
  <c r="L308" i="4" s="1"/>
  <c r="I365" i="4" s="1"/>
  <c r="L365" i="4" s="1"/>
  <c r="I428" i="4" s="1"/>
  <c r="L428" i="4" s="1"/>
  <c r="I491" i="4" s="1"/>
  <c r="L491" i="4" s="1"/>
  <c r="I554" i="4" s="1"/>
  <c r="L554" i="4" s="1"/>
  <c r="G28" i="4"/>
  <c r="D84" i="4" s="1"/>
  <c r="G84" i="4" s="1"/>
  <c r="L27" i="4"/>
  <c r="I83" i="4" s="1"/>
  <c r="L83" i="4" s="1"/>
  <c r="I139" i="4" s="1"/>
  <c r="L139" i="4" s="1"/>
  <c r="I195" i="4" s="1"/>
  <c r="L195" i="4" s="1"/>
  <c r="I251" i="4" s="1"/>
  <c r="L251" i="4" s="1"/>
  <c r="I307" i="4" s="1"/>
  <c r="L307" i="4" s="1"/>
  <c r="I364" i="4" s="1"/>
  <c r="L364" i="4" s="1"/>
  <c r="I427" i="4" s="1"/>
  <c r="L427" i="4" s="1"/>
  <c r="I490" i="4" s="1"/>
  <c r="L490" i="4" s="1"/>
  <c r="I553" i="4" s="1"/>
  <c r="L553" i="4" s="1"/>
  <c r="G27" i="4"/>
  <c r="L26" i="4"/>
  <c r="I82" i="4" s="1"/>
  <c r="L82" i="4" s="1"/>
  <c r="G26" i="4"/>
  <c r="D82" i="4" s="1"/>
  <c r="G82" i="4" s="1"/>
  <c r="D138" i="4" s="1"/>
  <c r="G138" i="4" s="1"/>
  <c r="L25" i="4"/>
  <c r="G25" i="4"/>
  <c r="D81" i="4" s="1"/>
  <c r="G81" i="4" s="1"/>
  <c r="L24" i="4"/>
  <c r="I80" i="4" s="1"/>
  <c r="L80" i="4" s="1"/>
  <c r="I136" i="4" s="1"/>
  <c r="L136" i="4" s="1"/>
  <c r="I192" i="4" s="1"/>
  <c r="L192" i="4" s="1"/>
  <c r="I248" i="4" s="1"/>
  <c r="L248" i="4" s="1"/>
  <c r="I304" i="4" s="1"/>
  <c r="L304" i="4" s="1"/>
  <c r="I361" i="4" s="1"/>
  <c r="L361" i="4" s="1"/>
  <c r="I424" i="4" s="1"/>
  <c r="L424" i="4" s="1"/>
  <c r="I487" i="4" s="1"/>
  <c r="L487" i="4" s="1"/>
  <c r="I550" i="4" s="1"/>
  <c r="L550" i="4" s="1"/>
  <c r="G24" i="4"/>
  <c r="D80" i="4" s="1"/>
  <c r="G80" i="4" s="1"/>
  <c r="L23" i="4"/>
  <c r="I79" i="4" s="1"/>
  <c r="L79" i="4" s="1"/>
  <c r="I135" i="4" s="1"/>
  <c r="L135" i="4" s="1"/>
  <c r="I191" i="4" s="1"/>
  <c r="L191" i="4" s="1"/>
  <c r="I247" i="4" s="1"/>
  <c r="L247" i="4" s="1"/>
  <c r="I303" i="4" s="1"/>
  <c r="L303" i="4" s="1"/>
  <c r="I360" i="4" s="1"/>
  <c r="L360" i="4" s="1"/>
  <c r="I423" i="4" s="1"/>
  <c r="L423" i="4" s="1"/>
  <c r="I486" i="4" s="1"/>
  <c r="L486" i="4" s="1"/>
  <c r="I549" i="4" s="1"/>
  <c r="L549" i="4" s="1"/>
  <c r="G23" i="4"/>
  <c r="D79" i="4" s="1"/>
  <c r="G79" i="4" s="1"/>
  <c r="D135" i="4" s="1"/>
  <c r="G135" i="4" s="1"/>
  <c r="L22" i="4"/>
  <c r="I78" i="4" s="1"/>
  <c r="L78" i="4" s="1"/>
  <c r="I134" i="4" s="1"/>
  <c r="L134" i="4" s="1"/>
  <c r="I190" i="4" s="1"/>
  <c r="L190" i="4" s="1"/>
  <c r="I246" i="4" s="1"/>
  <c r="L246" i="4" s="1"/>
  <c r="I302" i="4" s="1"/>
  <c r="L302" i="4" s="1"/>
  <c r="I359" i="4" s="1"/>
  <c r="L359" i="4" s="1"/>
  <c r="I422" i="4" s="1"/>
  <c r="L422" i="4" s="1"/>
  <c r="I485" i="4" s="1"/>
  <c r="L485" i="4" s="1"/>
  <c r="I548" i="4" s="1"/>
  <c r="L548" i="4" s="1"/>
  <c r="G22" i="4"/>
  <c r="D78" i="4" s="1"/>
  <c r="G78" i="4" s="1"/>
  <c r="L21" i="4"/>
  <c r="I77" i="4" s="1"/>
  <c r="L77" i="4" s="1"/>
  <c r="I133" i="4" s="1"/>
  <c r="L133" i="4" s="1"/>
  <c r="I189" i="4" s="1"/>
  <c r="L189" i="4" s="1"/>
  <c r="I245" i="4" s="1"/>
  <c r="L245" i="4" s="1"/>
  <c r="I301" i="4" s="1"/>
  <c r="L301" i="4" s="1"/>
  <c r="I358" i="4" s="1"/>
  <c r="L358" i="4" s="1"/>
  <c r="I421" i="4" s="1"/>
  <c r="L421" i="4" s="1"/>
  <c r="I484" i="4" s="1"/>
  <c r="L484" i="4" s="1"/>
  <c r="I547" i="4" s="1"/>
  <c r="L547" i="4" s="1"/>
  <c r="G21" i="4"/>
  <c r="D77" i="4" s="1"/>
  <c r="G77" i="4" s="1"/>
  <c r="L20" i="4"/>
  <c r="I76" i="4" s="1"/>
  <c r="L76" i="4" s="1"/>
  <c r="I132" i="4" s="1"/>
  <c r="L132" i="4" s="1"/>
  <c r="I188" i="4" s="1"/>
  <c r="L188" i="4" s="1"/>
  <c r="I244" i="4" s="1"/>
  <c r="L244" i="4" s="1"/>
  <c r="I300" i="4" s="1"/>
  <c r="L300" i="4" s="1"/>
  <c r="I357" i="4" s="1"/>
  <c r="L357" i="4" s="1"/>
  <c r="I420" i="4" s="1"/>
  <c r="L420" i="4" s="1"/>
  <c r="I483" i="4" s="1"/>
  <c r="L483" i="4" s="1"/>
  <c r="I546" i="4" s="1"/>
  <c r="L546" i="4" s="1"/>
  <c r="G20" i="4"/>
  <c r="L19" i="4"/>
  <c r="I75" i="4" s="1"/>
  <c r="L75" i="4" s="1"/>
  <c r="I131" i="4" s="1"/>
  <c r="L131" i="4" s="1"/>
  <c r="I187" i="4" s="1"/>
  <c r="L187" i="4" s="1"/>
  <c r="I243" i="4" s="1"/>
  <c r="L243" i="4" s="1"/>
  <c r="I299" i="4" s="1"/>
  <c r="L299" i="4" s="1"/>
  <c r="I356" i="4" s="1"/>
  <c r="L356" i="4" s="1"/>
  <c r="I419" i="4" s="1"/>
  <c r="L419" i="4" s="1"/>
  <c r="I482" i="4" s="1"/>
  <c r="L482" i="4" s="1"/>
  <c r="I545" i="4" s="1"/>
  <c r="L545" i="4" s="1"/>
  <c r="G19" i="4"/>
  <c r="D75" i="4" s="1"/>
  <c r="G75" i="4" s="1"/>
  <c r="L18" i="4"/>
  <c r="I74" i="4" s="1"/>
  <c r="L74" i="4" s="1"/>
  <c r="I130" i="4" s="1"/>
  <c r="L130" i="4" s="1"/>
  <c r="I186" i="4" s="1"/>
  <c r="L186" i="4" s="1"/>
  <c r="I242" i="4" s="1"/>
  <c r="L242" i="4" s="1"/>
  <c r="I298" i="4" s="1"/>
  <c r="L298" i="4" s="1"/>
  <c r="I355" i="4" s="1"/>
  <c r="L355" i="4" s="1"/>
  <c r="I418" i="4" s="1"/>
  <c r="L418" i="4" s="1"/>
  <c r="I481" i="4" s="1"/>
  <c r="L481" i="4" s="1"/>
  <c r="I544" i="4" s="1"/>
  <c r="L544" i="4" s="1"/>
  <c r="G18" i="4"/>
  <c r="D74" i="4" s="1"/>
  <c r="G74" i="4" s="1"/>
  <c r="D130" i="4" s="1"/>
  <c r="G130" i="4" s="1"/>
  <c r="L17" i="4"/>
  <c r="I73" i="4" s="1"/>
  <c r="L73" i="4" s="1"/>
  <c r="I129" i="4" s="1"/>
  <c r="L129" i="4" s="1"/>
  <c r="I185" i="4" s="1"/>
  <c r="L185" i="4" s="1"/>
  <c r="I241" i="4" s="1"/>
  <c r="L241" i="4" s="1"/>
  <c r="I297" i="4" s="1"/>
  <c r="L297" i="4" s="1"/>
  <c r="I354" i="4" s="1"/>
  <c r="L354" i="4" s="1"/>
  <c r="I417" i="4" s="1"/>
  <c r="L417" i="4" s="1"/>
  <c r="I480" i="4" s="1"/>
  <c r="L480" i="4" s="1"/>
  <c r="I543" i="4" s="1"/>
  <c r="L543" i="4" s="1"/>
  <c r="G17" i="4"/>
  <c r="D73" i="4" s="1"/>
  <c r="G73" i="4" s="1"/>
  <c r="L16" i="4"/>
  <c r="I72" i="4" s="1"/>
  <c r="L72" i="4" s="1"/>
  <c r="I128" i="4" s="1"/>
  <c r="L128" i="4" s="1"/>
  <c r="I184" i="4" s="1"/>
  <c r="L184" i="4" s="1"/>
  <c r="I240" i="4" s="1"/>
  <c r="L240" i="4" s="1"/>
  <c r="I296" i="4" s="1"/>
  <c r="L296" i="4" s="1"/>
  <c r="I353" i="4" s="1"/>
  <c r="L353" i="4" s="1"/>
  <c r="I416" i="4" s="1"/>
  <c r="L416" i="4" s="1"/>
  <c r="I479" i="4" s="1"/>
  <c r="L479" i="4" s="1"/>
  <c r="I542" i="4" s="1"/>
  <c r="L542" i="4" s="1"/>
  <c r="G16" i="4"/>
  <c r="D72" i="4" s="1"/>
  <c r="G72" i="4" s="1"/>
  <c r="L15" i="4"/>
  <c r="I71" i="4" s="1"/>
  <c r="L71" i="4" s="1"/>
  <c r="I127" i="4" s="1"/>
  <c r="L127" i="4" s="1"/>
  <c r="I183" i="4" s="1"/>
  <c r="L183" i="4" s="1"/>
  <c r="I239" i="4" s="1"/>
  <c r="L239" i="4" s="1"/>
  <c r="I295" i="4" s="1"/>
  <c r="L295" i="4" s="1"/>
  <c r="I352" i="4" s="1"/>
  <c r="L352" i="4" s="1"/>
  <c r="I415" i="4" s="1"/>
  <c r="L415" i="4" s="1"/>
  <c r="I478" i="4" s="1"/>
  <c r="L478" i="4" s="1"/>
  <c r="I541" i="4" s="1"/>
  <c r="L541" i="4" s="1"/>
  <c r="G15" i="4"/>
  <c r="D71" i="4" s="1"/>
  <c r="G71" i="4" s="1"/>
  <c r="D127" i="4" s="1"/>
  <c r="G127" i="4" s="1"/>
  <c r="L14" i="4"/>
  <c r="I70" i="4" s="1"/>
  <c r="L70" i="4" s="1"/>
  <c r="I126" i="4" s="1"/>
  <c r="L126" i="4" s="1"/>
  <c r="I182" i="4" s="1"/>
  <c r="L182" i="4" s="1"/>
  <c r="I238" i="4" s="1"/>
  <c r="L238" i="4" s="1"/>
  <c r="I294" i="4" s="1"/>
  <c r="L294" i="4" s="1"/>
  <c r="I351" i="4" s="1"/>
  <c r="L351" i="4" s="1"/>
  <c r="I414" i="4" s="1"/>
  <c r="L414" i="4" s="1"/>
  <c r="I477" i="4" s="1"/>
  <c r="L477" i="4" s="1"/>
  <c r="I540" i="4" s="1"/>
  <c r="L540" i="4" s="1"/>
  <c r="G14" i="4"/>
  <c r="D70" i="4" s="1"/>
  <c r="G70" i="4" s="1"/>
  <c r="D126" i="4" s="1"/>
  <c r="G126" i="4" s="1"/>
  <c r="L13" i="4"/>
  <c r="I69" i="4" s="1"/>
  <c r="L69" i="4" s="1"/>
  <c r="I125" i="4" s="1"/>
  <c r="L125" i="4" s="1"/>
  <c r="I181" i="4" s="1"/>
  <c r="L181" i="4" s="1"/>
  <c r="I237" i="4" s="1"/>
  <c r="L237" i="4" s="1"/>
  <c r="I293" i="4" s="1"/>
  <c r="L293" i="4" s="1"/>
  <c r="I350" i="4" s="1"/>
  <c r="L350" i="4" s="1"/>
  <c r="I413" i="4" s="1"/>
  <c r="L413" i="4" s="1"/>
  <c r="I476" i="4" s="1"/>
  <c r="L476" i="4" s="1"/>
  <c r="I539" i="4" s="1"/>
  <c r="L539" i="4" s="1"/>
  <c r="G13" i="4"/>
  <c r="D69" i="4" s="1"/>
  <c r="G69" i="4" s="1"/>
  <c r="D125" i="4" s="1"/>
  <c r="G125" i="4" s="1"/>
  <c r="L12" i="4"/>
  <c r="G12" i="4"/>
  <c r="D68" i="4" s="1"/>
  <c r="P17" i="2"/>
  <c r="M17" i="2"/>
  <c r="J17" i="2"/>
  <c r="G17" i="2"/>
  <c r="D17" i="2"/>
  <c r="U16" i="2"/>
  <c r="T16" i="2"/>
  <c r="S16" i="2"/>
  <c r="R16" i="2"/>
  <c r="Q16" i="2"/>
  <c r="O16" i="2"/>
  <c r="O18" i="2" s="1"/>
  <c r="P18" i="2" s="1"/>
  <c r="N16" i="2"/>
  <c r="L16" i="2"/>
  <c r="L18" i="2" s="1"/>
  <c r="M18" i="2" s="1"/>
  <c r="K16" i="2"/>
  <c r="I16" i="2"/>
  <c r="I18" i="2" s="1"/>
  <c r="J18" i="2" s="1"/>
  <c r="H16" i="2"/>
  <c r="G18" i="2"/>
  <c r="C16" i="2"/>
  <c r="C18" i="2" s="1"/>
  <c r="D18" i="2" s="1"/>
  <c r="B16" i="2"/>
  <c r="P15" i="2"/>
  <c r="M15" i="2"/>
  <c r="J15" i="2"/>
  <c r="G15" i="2"/>
  <c r="D15" i="2"/>
  <c r="P14" i="2"/>
  <c r="M14" i="2"/>
  <c r="J14" i="2"/>
  <c r="G14" i="2"/>
  <c r="D14" i="2"/>
  <c r="P13" i="2"/>
  <c r="M13" i="2"/>
  <c r="J13" i="2"/>
  <c r="G13" i="2"/>
  <c r="D13" i="2"/>
  <c r="P12" i="2"/>
  <c r="M12" i="2"/>
  <c r="J12" i="2"/>
  <c r="G12" i="2"/>
  <c r="D12" i="2"/>
  <c r="F9" i="1"/>
  <c r="E9" i="1" s="1"/>
  <c r="D9" i="1" s="1"/>
  <c r="B9" i="2" s="1"/>
  <c r="E9" i="2" s="1"/>
  <c r="H9" i="2" s="1"/>
  <c r="K9" i="2" s="1"/>
  <c r="N9" i="2" s="1"/>
  <c r="M1" i="4" l="1"/>
  <c r="I1" i="7"/>
  <c r="H1" i="5"/>
  <c r="J1" i="6" s="1"/>
  <c r="D13" i="16"/>
  <c r="D14" i="16"/>
  <c r="E14" i="16"/>
  <c r="E13" i="16"/>
  <c r="C13" i="16"/>
  <c r="C14" i="16"/>
  <c r="F13" i="16"/>
  <c r="F14" i="16"/>
  <c r="B14" i="16"/>
  <c r="G13" i="16"/>
  <c r="G14" i="16"/>
  <c r="M583" i="4"/>
  <c r="M392" i="4"/>
  <c r="M57" i="4"/>
  <c r="M457" i="4"/>
  <c r="M337" i="4"/>
  <c r="M520" i="4"/>
  <c r="M167" i="4"/>
  <c r="M169" i="4"/>
  <c r="M20" i="4"/>
  <c r="M222" i="4"/>
  <c r="M34" i="4"/>
  <c r="M279" i="4"/>
  <c r="M391" i="4"/>
  <c r="M281" i="4"/>
  <c r="M12" i="4"/>
  <c r="M581" i="4"/>
  <c r="M32" i="4"/>
  <c r="M54" i="4"/>
  <c r="M335" i="4"/>
  <c r="M17" i="4"/>
  <c r="M41" i="4"/>
  <c r="M278" i="4"/>
  <c r="M334" i="4"/>
  <c r="B43" i="7"/>
  <c r="M39" i="4"/>
  <c r="M49" i="4"/>
  <c r="M45" i="4"/>
  <c r="M40" i="4"/>
  <c r="M48" i="4"/>
  <c r="M225" i="4"/>
  <c r="M113" i="4"/>
  <c r="I88" i="4"/>
  <c r="L88" i="4" s="1"/>
  <c r="I144" i="4" s="1"/>
  <c r="L144" i="4" s="1"/>
  <c r="I200" i="4" s="1"/>
  <c r="L200" i="4" s="1"/>
  <c r="I256" i="4" s="1"/>
  <c r="L256" i="4" s="1"/>
  <c r="I312" i="4" s="1"/>
  <c r="L312" i="4" s="1"/>
  <c r="I369" i="4" s="1"/>
  <c r="L369" i="4" s="1"/>
  <c r="I432" i="4" s="1"/>
  <c r="L432" i="4" s="1"/>
  <c r="I495" i="4" s="1"/>
  <c r="L495" i="4" s="1"/>
  <c r="I558" i="4" s="1"/>
  <c r="L558" i="4" s="1"/>
  <c r="L53" i="4"/>
  <c r="L56" i="4" s="1"/>
  <c r="L58" i="4" s="1"/>
  <c r="M23" i="4"/>
  <c r="M35" i="4"/>
  <c r="M24" i="4"/>
  <c r="D90" i="4"/>
  <c r="G90" i="4" s="1"/>
  <c r="D146" i="4" s="1"/>
  <c r="G146" i="4" s="1"/>
  <c r="D202" i="4" s="1"/>
  <c r="G202" i="4" s="1"/>
  <c r="D258" i="4" s="1"/>
  <c r="G258" i="4" s="1"/>
  <c r="M30" i="4"/>
  <c r="M25" i="4"/>
  <c r="M21" i="4"/>
  <c r="I100" i="19"/>
  <c r="I119" i="19"/>
  <c r="O15" i="18"/>
  <c r="O17" i="18" s="1"/>
  <c r="O49" i="18"/>
  <c r="H43" i="7"/>
  <c r="C43" i="7"/>
  <c r="D43" i="7"/>
  <c r="E43" i="7"/>
  <c r="F43" i="7"/>
  <c r="G43" i="7"/>
  <c r="J33" i="1"/>
  <c r="L33" i="1"/>
  <c r="M33" i="1"/>
  <c r="F33" i="1"/>
  <c r="K33" i="1"/>
  <c r="D33" i="1"/>
  <c r="E33" i="1"/>
  <c r="G33" i="1"/>
  <c r="H33" i="1"/>
  <c r="I33" i="1"/>
  <c r="K37" i="1"/>
  <c r="L37" i="1"/>
  <c r="M37" i="1"/>
  <c r="G37" i="1"/>
  <c r="J37" i="1"/>
  <c r="H37" i="1"/>
  <c r="I37" i="1"/>
  <c r="D37" i="1"/>
  <c r="D16" i="2"/>
  <c r="J16" i="2"/>
  <c r="G16" i="2"/>
  <c r="M16" i="2"/>
  <c r="P16" i="2"/>
  <c r="M518" i="4"/>
  <c r="M454" i="4"/>
  <c r="M517" i="4"/>
  <c r="M580" i="4"/>
  <c r="I22" i="18"/>
  <c r="O20" i="18"/>
  <c r="O22" i="18" s="1"/>
  <c r="G9" i="7"/>
  <c r="M84" i="4"/>
  <c r="D140" i="4"/>
  <c r="G140" i="4" s="1"/>
  <c r="D158" i="4"/>
  <c r="G158" i="4" s="1"/>
  <c r="M102" i="4"/>
  <c r="D156" i="4"/>
  <c r="G156" i="4" s="1"/>
  <c r="M100" i="4"/>
  <c r="D194" i="4"/>
  <c r="G194" i="4" s="1"/>
  <c r="D161" i="4"/>
  <c r="G161" i="4" s="1"/>
  <c r="M105" i="4"/>
  <c r="D131" i="4"/>
  <c r="G131" i="4" s="1"/>
  <c r="M75" i="4"/>
  <c r="D129" i="4"/>
  <c r="G129" i="4" s="1"/>
  <c r="M73" i="4"/>
  <c r="D134" i="4"/>
  <c r="G134" i="4" s="1"/>
  <c r="M78" i="4"/>
  <c r="D199" i="4"/>
  <c r="G199" i="4" s="1"/>
  <c r="M143" i="4"/>
  <c r="M77" i="4"/>
  <c r="D133" i="4"/>
  <c r="G133" i="4" s="1"/>
  <c r="D137" i="4"/>
  <c r="G137" i="4" s="1"/>
  <c r="M125" i="4"/>
  <c r="D181" i="4"/>
  <c r="G181" i="4" s="1"/>
  <c r="I150" i="4"/>
  <c r="L150" i="4" s="1"/>
  <c r="I206" i="4" s="1"/>
  <c r="L206" i="4" s="1"/>
  <c r="I262" i="4" s="1"/>
  <c r="L262" i="4" s="1"/>
  <c r="I318" i="4" s="1"/>
  <c r="L318" i="4" s="1"/>
  <c r="I375" i="4" s="1"/>
  <c r="L375" i="4" s="1"/>
  <c r="I438" i="4" s="1"/>
  <c r="L438" i="4" s="1"/>
  <c r="I501" i="4" s="1"/>
  <c r="L501" i="4" s="1"/>
  <c r="I564" i="4" s="1"/>
  <c r="L564" i="4" s="1"/>
  <c r="M94" i="4"/>
  <c r="M92" i="4"/>
  <c r="D148" i="4"/>
  <c r="G148" i="4" s="1"/>
  <c r="M110" i="4"/>
  <c r="D136" i="4"/>
  <c r="G136" i="4" s="1"/>
  <c r="M80" i="4"/>
  <c r="I138" i="4"/>
  <c r="L138" i="4" s="1"/>
  <c r="I194" i="4" s="1"/>
  <c r="L194" i="4" s="1"/>
  <c r="I250" i="4" s="1"/>
  <c r="L250" i="4" s="1"/>
  <c r="I306" i="4" s="1"/>
  <c r="L306" i="4" s="1"/>
  <c r="I363" i="4" s="1"/>
  <c r="L363" i="4" s="1"/>
  <c r="I426" i="4" s="1"/>
  <c r="L426" i="4" s="1"/>
  <c r="I489" i="4" s="1"/>
  <c r="L489" i="4" s="1"/>
  <c r="I552" i="4" s="1"/>
  <c r="L552" i="4" s="1"/>
  <c r="M82" i="4"/>
  <c r="D145" i="4"/>
  <c r="G145" i="4" s="1"/>
  <c r="M89" i="4"/>
  <c r="D206" i="4"/>
  <c r="G206" i="4" s="1"/>
  <c r="M72" i="4"/>
  <c r="D128" i="4"/>
  <c r="G128" i="4" s="1"/>
  <c r="D191" i="4"/>
  <c r="G191" i="4" s="1"/>
  <c r="M135" i="4"/>
  <c r="D142" i="4"/>
  <c r="G142" i="4" s="1"/>
  <c r="M86" i="4"/>
  <c r="D144" i="4"/>
  <c r="G144" i="4" s="1"/>
  <c r="D151" i="4"/>
  <c r="G151" i="4" s="1"/>
  <c r="M95" i="4"/>
  <c r="D186" i="4"/>
  <c r="G186" i="4" s="1"/>
  <c r="M130" i="4"/>
  <c r="M14" i="4"/>
  <c r="M31" i="4"/>
  <c r="M36" i="4"/>
  <c r="M38" i="4"/>
  <c r="D160" i="4"/>
  <c r="G160" i="4" s="1"/>
  <c r="M104" i="4"/>
  <c r="D76" i="4"/>
  <c r="G76" i="4" s="1"/>
  <c r="M79" i="4"/>
  <c r="I81" i="4"/>
  <c r="L81" i="4" s="1"/>
  <c r="I137" i="4" s="1"/>
  <c r="L137" i="4" s="1"/>
  <c r="I193" i="4" s="1"/>
  <c r="L193" i="4" s="1"/>
  <c r="I249" i="4" s="1"/>
  <c r="L249" i="4" s="1"/>
  <c r="I305" i="4" s="1"/>
  <c r="L305" i="4" s="1"/>
  <c r="I362" i="4" s="1"/>
  <c r="L362" i="4" s="1"/>
  <c r="I425" i="4" s="1"/>
  <c r="L425" i="4" s="1"/>
  <c r="I488" i="4" s="1"/>
  <c r="L488" i="4" s="1"/>
  <c r="I551" i="4" s="1"/>
  <c r="L551" i="4" s="1"/>
  <c r="G53" i="4"/>
  <c r="G56" i="4" s="1"/>
  <c r="G58" i="4" s="1"/>
  <c r="M127" i="4"/>
  <c r="D183" i="4"/>
  <c r="G183" i="4" s="1"/>
  <c r="M16" i="4"/>
  <c r="M26" i="4"/>
  <c r="M28" i="4"/>
  <c r="M33" i="4"/>
  <c r="D93" i="4"/>
  <c r="G93" i="4" s="1"/>
  <c r="M37" i="4"/>
  <c r="M44" i="4"/>
  <c r="M46" i="4"/>
  <c r="M52" i="4"/>
  <c r="D108" i="4"/>
  <c r="G108" i="4" s="1"/>
  <c r="D111" i="4"/>
  <c r="G111" i="4" s="1"/>
  <c r="M111" i="4" s="1"/>
  <c r="M55" i="4"/>
  <c r="G68" i="4"/>
  <c r="M69" i="4"/>
  <c r="D210" i="4"/>
  <c r="G210" i="4" s="1"/>
  <c r="M154" i="4"/>
  <c r="D101" i="4"/>
  <c r="G101" i="4" s="1"/>
  <c r="M71" i="4"/>
  <c r="M74" i="4"/>
  <c r="M98" i="4"/>
  <c r="M13" i="4"/>
  <c r="M50" i="4"/>
  <c r="I68" i="4"/>
  <c r="D153" i="4"/>
  <c r="G153" i="4" s="1"/>
  <c r="M97" i="4"/>
  <c r="M18" i="4"/>
  <c r="M27" i="4"/>
  <c r="D83" i="4"/>
  <c r="G83" i="4" s="1"/>
  <c r="M43" i="4"/>
  <c r="D99" i="4"/>
  <c r="G99" i="4" s="1"/>
  <c r="D103" i="4"/>
  <c r="G103" i="4" s="1"/>
  <c r="M47" i="4"/>
  <c r="D182" i="4"/>
  <c r="G182" i="4" s="1"/>
  <c r="M126" i="4"/>
  <c r="M15" i="4"/>
  <c r="M87" i="4"/>
  <c r="D141" i="4"/>
  <c r="G141" i="4" s="1"/>
  <c r="M85" i="4"/>
  <c r="D91" i="4"/>
  <c r="G91" i="4" s="1"/>
  <c r="M19" i="4"/>
  <c r="M22" i="4"/>
  <c r="M29" i="4"/>
  <c r="M152" i="4"/>
  <c r="D208" i="4"/>
  <c r="G208" i="4" s="1"/>
  <c r="M96" i="4"/>
  <c r="M70" i="4"/>
  <c r="D162" i="4"/>
  <c r="G162" i="4" s="1"/>
  <c r="M106" i="4"/>
  <c r="M42" i="4"/>
  <c r="M51" i="4"/>
  <c r="D107" i="4"/>
  <c r="G107" i="4" s="1"/>
  <c r="M394" i="4"/>
  <c r="M455" i="4"/>
  <c r="R9" i="2"/>
  <c r="S9" i="2" s="1"/>
  <c r="T9" i="2" s="1"/>
  <c r="U9" i="2" s="1"/>
  <c r="M146" i="4" l="1"/>
  <c r="M202" i="4"/>
  <c r="M90" i="4"/>
  <c r="M88" i="4"/>
  <c r="M39" i="1"/>
  <c r="M150" i="4"/>
  <c r="M138" i="4"/>
  <c r="M53" i="4"/>
  <c r="M56" i="4" s="1"/>
  <c r="M58" i="4" s="1"/>
  <c r="L39" i="1"/>
  <c r="J39" i="1"/>
  <c r="I39" i="1"/>
  <c r="O24" i="18"/>
  <c r="K17" i="18"/>
  <c r="K24" i="18" s="1"/>
  <c r="C9" i="7"/>
  <c r="C26" i="7" s="1"/>
  <c r="G26" i="7"/>
  <c r="K39" i="1"/>
  <c r="D39" i="1"/>
  <c r="H39" i="1"/>
  <c r="G39" i="1"/>
  <c r="E37" i="1"/>
  <c r="E39" i="1" s="1"/>
  <c r="F37" i="1"/>
  <c r="F39" i="1" s="1"/>
  <c r="M99" i="4"/>
  <c r="D155" i="4"/>
  <c r="G155" i="4" s="1"/>
  <c r="M101" i="4"/>
  <c r="D157" i="4"/>
  <c r="G157" i="4" s="1"/>
  <c r="D216" i="4"/>
  <c r="G216" i="4" s="1"/>
  <c r="M160" i="4"/>
  <c r="D207" i="4"/>
  <c r="G207" i="4" s="1"/>
  <c r="M151" i="4"/>
  <c r="D192" i="4"/>
  <c r="G192" i="4" s="1"/>
  <c r="M136" i="4"/>
  <c r="D237" i="4"/>
  <c r="G237" i="4" s="1"/>
  <c r="M181" i="4"/>
  <c r="M208" i="4"/>
  <c r="D264" i="4"/>
  <c r="G264" i="4" s="1"/>
  <c r="M108" i="4"/>
  <c r="D164" i="4"/>
  <c r="G164" i="4" s="1"/>
  <c r="D314" i="4"/>
  <c r="G314" i="4" s="1"/>
  <c r="M258" i="4"/>
  <c r="D262" i="4"/>
  <c r="G262" i="4" s="1"/>
  <c r="M206" i="4"/>
  <c r="M134" i="4"/>
  <c r="D190" i="4"/>
  <c r="G190" i="4" s="1"/>
  <c r="D250" i="4"/>
  <c r="G250" i="4" s="1"/>
  <c r="M194" i="4"/>
  <c r="D139" i="4"/>
  <c r="G139" i="4" s="1"/>
  <c r="M83" i="4"/>
  <c r="D266" i="4"/>
  <c r="G266" i="4" s="1"/>
  <c r="M210" i="4"/>
  <c r="D239" i="4"/>
  <c r="G239" i="4" s="1"/>
  <c r="M183" i="4"/>
  <c r="D200" i="4"/>
  <c r="G200" i="4" s="1"/>
  <c r="M144" i="4"/>
  <c r="M81" i="4"/>
  <c r="I109" i="4"/>
  <c r="I112" i="4" s="1"/>
  <c r="I114" i="4" s="1"/>
  <c r="L68" i="4"/>
  <c r="D204" i="4"/>
  <c r="G204" i="4" s="1"/>
  <c r="M148" i="4"/>
  <c r="D193" i="4"/>
  <c r="G193" i="4" s="1"/>
  <c r="M137" i="4"/>
  <c r="D185" i="4"/>
  <c r="G185" i="4" s="1"/>
  <c r="M129" i="4"/>
  <c r="D212" i="4"/>
  <c r="G212" i="4" s="1"/>
  <c r="M156" i="4"/>
  <c r="D147" i="4"/>
  <c r="G147" i="4" s="1"/>
  <c r="M91" i="4"/>
  <c r="D109" i="4"/>
  <c r="D112" i="4" s="1"/>
  <c r="D114" i="4" s="1"/>
  <c r="M142" i="4"/>
  <c r="D198" i="4"/>
  <c r="G198" i="4" s="1"/>
  <c r="M145" i="4"/>
  <c r="D201" i="4"/>
  <c r="G201" i="4" s="1"/>
  <c r="D189" i="4"/>
  <c r="G189" i="4" s="1"/>
  <c r="M133" i="4"/>
  <c r="D238" i="4"/>
  <c r="G238" i="4" s="1"/>
  <c r="M182" i="4"/>
  <c r="M131" i="4"/>
  <c r="D187" i="4"/>
  <c r="G187" i="4" s="1"/>
  <c r="M158" i="4"/>
  <c r="D214" i="4"/>
  <c r="G214" i="4" s="1"/>
  <c r="D163" i="4"/>
  <c r="G163" i="4" s="1"/>
  <c r="M107" i="4"/>
  <c r="D218" i="4"/>
  <c r="G218" i="4" s="1"/>
  <c r="M162" i="4"/>
  <c r="M141" i="4"/>
  <c r="D197" i="4"/>
  <c r="G197" i="4" s="1"/>
  <c r="G109" i="4"/>
  <c r="G112" i="4" s="1"/>
  <c r="G114" i="4" s="1"/>
  <c r="D124" i="4"/>
  <c r="M186" i="4"/>
  <c r="D242" i="4"/>
  <c r="G242" i="4" s="1"/>
  <c r="D247" i="4"/>
  <c r="G247" i="4" s="1"/>
  <c r="M191" i="4"/>
  <c r="D196" i="4"/>
  <c r="G196" i="4" s="1"/>
  <c r="M140" i="4"/>
  <c r="D159" i="4"/>
  <c r="G159" i="4" s="1"/>
  <c r="M103" i="4"/>
  <c r="D209" i="4"/>
  <c r="G209" i="4" s="1"/>
  <c r="M153" i="4"/>
  <c r="D149" i="4"/>
  <c r="G149" i="4" s="1"/>
  <c r="M93" i="4"/>
  <c r="M76" i="4"/>
  <c r="D132" i="4"/>
  <c r="G132" i="4" s="1"/>
  <c r="M128" i="4"/>
  <c r="D184" i="4"/>
  <c r="G184" i="4" s="1"/>
  <c r="D255" i="4"/>
  <c r="G255" i="4" s="1"/>
  <c r="M199" i="4"/>
  <c r="D217" i="4"/>
  <c r="G217" i="4" s="1"/>
  <c r="M161" i="4"/>
  <c r="L19" i="2"/>
  <c r="D311" i="4" l="1"/>
  <c r="G311" i="4" s="1"/>
  <c r="M255" i="4"/>
  <c r="M209" i="4"/>
  <c r="D265" i="4"/>
  <c r="G265" i="4" s="1"/>
  <c r="D240" i="4"/>
  <c r="G240" i="4" s="1"/>
  <c r="M184" i="4"/>
  <c r="M238" i="4"/>
  <c r="D294" i="4"/>
  <c r="G294" i="4" s="1"/>
  <c r="D249" i="4"/>
  <c r="G249" i="4" s="1"/>
  <c r="M193" i="4"/>
  <c r="D256" i="4"/>
  <c r="G256" i="4" s="1"/>
  <c r="M200" i="4"/>
  <c r="D306" i="4"/>
  <c r="G306" i="4" s="1"/>
  <c r="M250" i="4"/>
  <c r="D263" i="4"/>
  <c r="G263" i="4" s="1"/>
  <c r="M207" i="4"/>
  <c r="D215" i="4"/>
  <c r="G215" i="4" s="1"/>
  <c r="M159" i="4"/>
  <c r="D203" i="4"/>
  <c r="G203" i="4" s="1"/>
  <c r="M147" i="4"/>
  <c r="M190" i="4"/>
  <c r="D246" i="4"/>
  <c r="G246" i="4" s="1"/>
  <c r="D320" i="4"/>
  <c r="G320" i="4" s="1"/>
  <c r="M264" i="4"/>
  <c r="M247" i="4"/>
  <c r="D303" i="4"/>
  <c r="G303" i="4" s="1"/>
  <c r="M218" i="4"/>
  <c r="D274" i="4"/>
  <c r="G274" i="4" s="1"/>
  <c r="D188" i="4"/>
  <c r="G188" i="4" s="1"/>
  <c r="M132" i="4"/>
  <c r="D165" i="4"/>
  <c r="D168" i="4" s="1"/>
  <c r="D170" i="4" s="1"/>
  <c r="G124" i="4"/>
  <c r="M163" i="4"/>
  <c r="D219" i="4"/>
  <c r="G219" i="4" s="1"/>
  <c r="D245" i="4"/>
  <c r="G245" i="4" s="1"/>
  <c r="M189" i="4"/>
  <c r="D260" i="4"/>
  <c r="G260" i="4" s="1"/>
  <c r="M204" i="4"/>
  <c r="D295" i="4"/>
  <c r="G295" i="4" s="1"/>
  <c r="M239" i="4"/>
  <c r="D272" i="4"/>
  <c r="G272" i="4" s="1"/>
  <c r="M216" i="4"/>
  <c r="L109" i="4"/>
  <c r="L112" i="4" s="1"/>
  <c r="L114" i="4" s="1"/>
  <c r="I124" i="4"/>
  <c r="M68" i="4"/>
  <c r="M109" i="4" s="1"/>
  <c r="M112" i="4" s="1"/>
  <c r="M114" i="4" s="1"/>
  <c r="D268" i="4"/>
  <c r="G268" i="4" s="1"/>
  <c r="M212" i="4"/>
  <c r="D322" i="4"/>
  <c r="G322" i="4" s="1"/>
  <c r="M266" i="4"/>
  <c r="D318" i="4"/>
  <c r="G318" i="4" s="1"/>
  <c r="M262" i="4"/>
  <c r="D293" i="4"/>
  <c r="G293" i="4" s="1"/>
  <c r="M237" i="4"/>
  <c r="D220" i="4"/>
  <c r="G220" i="4" s="1"/>
  <c r="M164" i="4"/>
  <c r="D298" i="4"/>
  <c r="G298" i="4" s="1"/>
  <c r="M242" i="4"/>
  <c r="M214" i="4"/>
  <c r="D270" i="4"/>
  <c r="G270" i="4" s="1"/>
  <c r="D213" i="4"/>
  <c r="G213" i="4" s="1"/>
  <c r="M157" i="4"/>
  <c r="M217" i="4"/>
  <c r="D273" i="4"/>
  <c r="G273" i="4" s="1"/>
  <c r="M149" i="4"/>
  <c r="D205" i="4"/>
  <c r="G205" i="4" s="1"/>
  <c r="D252" i="4"/>
  <c r="G252" i="4" s="1"/>
  <c r="M196" i="4"/>
  <c r="D253" i="4"/>
  <c r="G253" i="4" s="1"/>
  <c r="M197" i="4"/>
  <c r="D243" i="4"/>
  <c r="G243" i="4" s="1"/>
  <c r="M187" i="4"/>
  <c r="M198" i="4"/>
  <c r="D254" i="4"/>
  <c r="G254" i="4" s="1"/>
  <c r="M155" i="4"/>
  <c r="D211" i="4"/>
  <c r="G211" i="4" s="1"/>
  <c r="M201" i="4"/>
  <c r="D257" i="4"/>
  <c r="G257" i="4" s="1"/>
  <c r="M185" i="4"/>
  <c r="D241" i="4"/>
  <c r="G241" i="4" s="1"/>
  <c r="M139" i="4"/>
  <c r="D195" i="4"/>
  <c r="G195" i="4" s="1"/>
  <c r="D371" i="4"/>
  <c r="G371" i="4" s="1"/>
  <c r="M314" i="4"/>
  <c r="D248" i="4"/>
  <c r="G248" i="4" s="1"/>
  <c r="M192" i="4"/>
  <c r="I19" i="2"/>
  <c r="D379" i="4" l="1"/>
  <c r="G379" i="4" s="1"/>
  <c r="M322" i="4"/>
  <c r="M273" i="4"/>
  <c r="D329" i="4"/>
  <c r="G329" i="4" s="1"/>
  <c r="D299" i="4"/>
  <c r="G299" i="4" s="1"/>
  <c r="M243" i="4"/>
  <c r="D276" i="4"/>
  <c r="G276" i="4" s="1"/>
  <c r="M220" i="4"/>
  <c r="M268" i="4"/>
  <c r="D324" i="4"/>
  <c r="G324" i="4" s="1"/>
  <c r="D302" i="4"/>
  <c r="G302" i="4" s="1"/>
  <c r="M246" i="4"/>
  <c r="M298" i="4"/>
  <c r="D355" i="4"/>
  <c r="G355" i="4" s="1"/>
  <c r="D313" i="4"/>
  <c r="G313" i="4" s="1"/>
  <c r="M257" i="4"/>
  <c r="M260" i="4"/>
  <c r="D316" i="4"/>
  <c r="G316" i="4" s="1"/>
  <c r="D244" i="4"/>
  <c r="G244" i="4" s="1"/>
  <c r="M188" i="4"/>
  <c r="M306" i="4"/>
  <c r="D363" i="4"/>
  <c r="G363" i="4" s="1"/>
  <c r="M240" i="4"/>
  <c r="D296" i="4"/>
  <c r="G296" i="4" s="1"/>
  <c r="D297" i="4"/>
  <c r="G297" i="4" s="1"/>
  <c r="M241" i="4"/>
  <c r="D350" i="4"/>
  <c r="G350" i="4" s="1"/>
  <c r="M293" i="4"/>
  <c r="I165" i="4"/>
  <c r="I168" i="4" s="1"/>
  <c r="I170" i="4" s="1"/>
  <c r="L124" i="4"/>
  <c r="D330" i="4"/>
  <c r="G330" i="4" s="1"/>
  <c r="M274" i="4"/>
  <c r="M265" i="4"/>
  <c r="D321" i="4"/>
  <c r="G321" i="4" s="1"/>
  <c r="M294" i="4"/>
  <c r="D351" i="4"/>
  <c r="G351" i="4" s="1"/>
  <c r="D304" i="4"/>
  <c r="G304" i="4" s="1"/>
  <c r="M248" i="4"/>
  <c r="D301" i="4"/>
  <c r="G301" i="4" s="1"/>
  <c r="M245" i="4"/>
  <c r="D259" i="4"/>
  <c r="G259" i="4" s="1"/>
  <c r="M203" i="4"/>
  <c r="M256" i="4"/>
  <c r="D312" i="4"/>
  <c r="G312" i="4" s="1"/>
  <c r="D180" i="4"/>
  <c r="M124" i="4"/>
  <c r="M165" i="4" s="1"/>
  <c r="M168" i="4" s="1"/>
  <c r="M170" i="4" s="1"/>
  <c r="G165" i="4"/>
  <c r="G168" i="4" s="1"/>
  <c r="G170" i="4" s="1"/>
  <c r="D319" i="4"/>
  <c r="G319" i="4" s="1"/>
  <c r="M263" i="4"/>
  <c r="M371" i="4"/>
  <c r="D434" i="4"/>
  <c r="G434" i="4" s="1"/>
  <c r="M252" i="4"/>
  <c r="D308" i="4"/>
  <c r="G308" i="4" s="1"/>
  <c r="D375" i="4"/>
  <c r="G375" i="4" s="1"/>
  <c r="M318" i="4"/>
  <c r="M219" i="4"/>
  <c r="D275" i="4"/>
  <c r="G275" i="4" s="1"/>
  <c r="M303" i="4"/>
  <c r="D360" i="4"/>
  <c r="G360" i="4" s="1"/>
  <c r="M295" i="4"/>
  <c r="D352" i="4"/>
  <c r="G352" i="4" s="1"/>
  <c r="D377" i="4"/>
  <c r="G377" i="4" s="1"/>
  <c r="M320" i="4"/>
  <c r="D309" i="4"/>
  <c r="G309" i="4" s="1"/>
  <c r="M253" i="4"/>
  <c r="M213" i="4"/>
  <c r="D269" i="4"/>
  <c r="G269" i="4" s="1"/>
  <c r="D267" i="4"/>
  <c r="G267" i="4" s="1"/>
  <c r="M211" i="4"/>
  <c r="M270" i="4"/>
  <c r="D326" i="4"/>
  <c r="G326" i="4" s="1"/>
  <c r="D251" i="4"/>
  <c r="G251" i="4" s="1"/>
  <c r="M195" i="4"/>
  <c r="M254" i="4"/>
  <c r="D310" i="4"/>
  <c r="G310" i="4" s="1"/>
  <c r="D261" i="4"/>
  <c r="G261" i="4" s="1"/>
  <c r="M205" i="4"/>
  <c r="D328" i="4"/>
  <c r="G328" i="4" s="1"/>
  <c r="M272" i="4"/>
  <c r="D271" i="4"/>
  <c r="G271" i="4" s="1"/>
  <c r="M215" i="4"/>
  <c r="D305" i="4"/>
  <c r="G305" i="4" s="1"/>
  <c r="M249" i="4"/>
  <c r="M311" i="4"/>
  <c r="D368" i="4"/>
  <c r="G368" i="4" s="1"/>
  <c r="M319" i="4" l="1"/>
  <c r="D376" i="4"/>
  <c r="G376" i="4" s="1"/>
  <c r="D358" i="4"/>
  <c r="G358" i="4" s="1"/>
  <c r="M301" i="4"/>
  <c r="D385" i="4"/>
  <c r="G385" i="4" s="1"/>
  <c r="M328" i="4"/>
  <c r="D440" i="4"/>
  <c r="G440" i="4" s="1"/>
  <c r="M377" i="4"/>
  <c r="D438" i="4"/>
  <c r="G438" i="4" s="1"/>
  <c r="M375" i="4"/>
  <c r="I180" i="4"/>
  <c r="L165" i="4"/>
  <c r="L168" i="4" s="1"/>
  <c r="L170" i="4" s="1"/>
  <c r="D426" i="4"/>
  <c r="G426" i="4" s="1"/>
  <c r="M363" i="4"/>
  <c r="D418" i="4"/>
  <c r="G418" i="4" s="1"/>
  <c r="M355" i="4"/>
  <c r="M251" i="4"/>
  <c r="D307" i="4"/>
  <c r="G307" i="4" s="1"/>
  <c r="D370" i="4"/>
  <c r="G370" i="4" s="1"/>
  <c r="M313" i="4"/>
  <c r="D431" i="4"/>
  <c r="G431" i="4" s="1"/>
  <c r="M368" i="4"/>
  <c r="D415" i="4"/>
  <c r="G415" i="4" s="1"/>
  <c r="M352" i="4"/>
  <c r="D365" i="4"/>
  <c r="G365" i="4" s="1"/>
  <c r="M308" i="4"/>
  <c r="D221" i="4"/>
  <c r="D224" i="4" s="1"/>
  <c r="D226" i="4" s="1"/>
  <c r="G180" i="4"/>
  <c r="M304" i="4"/>
  <c r="D361" i="4"/>
  <c r="G361" i="4" s="1"/>
  <c r="M299" i="4"/>
  <c r="D356" i="4"/>
  <c r="G356" i="4" s="1"/>
  <c r="D366" i="4"/>
  <c r="G366" i="4" s="1"/>
  <c r="M309" i="4"/>
  <c r="D317" i="4"/>
  <c r="G317" i="4" s="1"/>
  <c r="M261" i="4"/>
  <c r="D323" i="4"/>
  <c r="G323" i="4" s="1"/>
  <c r="M267" i="4"/>
  <c r="M312" i="4"/>
  <c r="D369" i="4"/>
  <c r="G369" i="4" s="1"/>
  <c r="D414" i="4"/>
  <c r="G414" i="4" s="1"/>
  <c r="M351" i="4"/>
  <c r="M329" i="4"/>
  <c r="D386" i="4"/>
  <c r="G386" i="4" s="1"/>
  <c r="M276" i="4"/>
  <c r="D332" i="4"/>
  <c r="G332" i="4" s="1"/>
  <c r="D367" i="4"/>
  <c r="G367" i="4" s="1"/>
  <c r="M310" i="4"/>
  <c r="D325" i="4"/>
  <c r="G325" i="4" s="1"/>
  <c r="M269" i="4"/>
  <c r="D423" i="4"/>
  <c r="G423" i="4" s="1"/>
  <c r="M360" i="4"/>
  <c r="D497" i="4"/>
  <c r="G497" i="4" s="1"/>
  <c r="M434" i="4"/>
  <c r="D413" i="4"/>
  <c r="G413" i="4" s="1"/>
  <c r="M350" i="4"/>
  <c r="M244" i="4"/>
  <c r="D300" i="4"/>
  <c r="G300" i="4" s="1"/>
  <c r="M302" i="4"/>
  <c r="D359" i="4"/>
  <c r="G359" i="4" s="1"/>
  <c r="D362" i="4"/>
  <c r="G362" i="4" s="1"/>
  <c r="M305" i="4"/>
  <c r="M321" i="4"/>
  <c r="D378" i="4"/>
  <c r="G378" i="4" s="1"/>
  <c r="M316" i="4"/>
  <c r="D373" i="4"/>
  <c r="G373" i="4" s="1"/>
  <c r="M324" i="4"/>
  <c r="D381" i="4"/>
  <c r="G381" i="4" s="1"/>
  <c r="D327" i="4"/>
  <c r="G327" i="4" s="1"/>
  <c r="M271" i="4"/>
  <c r="D353" i="4"/>
  <c r="G353" i="4" s="1"/>
  <c r="M296" i="4"/>
  <c r="M326" i="4"/>
  <c r="D383" i="4"/>
  <c r="G383" i="4" s="1"/>
  <c r="M330" i="4"/>
  <c r="D387" i="4"/>
  <c r="G387" i="4" s="1"/>
  <c r="D331" i="4"/>
  <c r="G331" i="4" s="1"/>
  <c r="M275" i="4"/>
  <c r="D315" i="4"/>
  <c r="G315" i="4" s="1"/>
  <c r="M259" i="4"/>
  <c r="D354" i="4"/>
  <c r="G354" i="4" s="1"/>
  <c r="M297" i="4"/>
  <c r="D442" i="4"/>
  <c r="G442" i="4" s="1"/>
  <c r="M379" i="4"/>
  <c r="C19" i="2"/>
  <c r="M378" i="4" l="1"/>
  <c r="D441" i="4"/>
  <c r="G441" i="4" s="1"/>
  <c r="M315" i="4"/>
  <c r="D372" i="4"/>
  <c r="G372" i="4" s="1"/>
  <c r="D476" i="4"/>
  <c r="G476" i="4" s="1"/>
  <c r="M413" i="4"/>
  <c r="D430" i="4"/>
  <c r="G430" i="4" s="1"/>
  <c r="M367" i="4"/>
  <c r="D478" i="4"/>
  <c r="G478" i="4" s="1"/>
  <c r="M415" i="4"/>
  <c r="D481" i="4"/>
  <c r="G481" i="4" s="1"/>
  <c r="M418" i="4"/>
  <c r="M440" i="4"/>
  <c r="D503" i="4"/>
  <c r="G503" i="4" s="1"/>
  <c r="M356" i="4"/>
  <c r="D419" i="4"/>
  <c r="G419" i="4" s="1"/>
  <c r="M353" i="4"/>
  <c r="D416" i="4"/>
  <c r="G416" i="4" s="1"/>
  <c r="D389" i="4"/>
  <c r="G389" i="4" s="1"/>
  <c r="M332" i="4"/>
  <c r="D424" i="4"/>
  <c r="G424" i="4" s="1"/>
  <c r="M361" i="4"/>
  <c r="M331" i="4"/>
  <c r="D388" i="4"/>
  <c r="G388" i="4" s="1"/>
  <c r="M327" i="4"/>
  <c r="D384" i="4"/>
  <c r="G384" i="4" s="1"/>
  <c r="D425" i="4"/>
  <c r="G425" i="4" s="1"/>
  <c r="M362" i="4"/>
  <c r="M497" i="4"/>
  <c r="D560" i="4"/>
  <c r="G560" i="4" s="1"/>
  <c r="M560" i="4" s="1"/>
  <c r="D380" i="4"/>
  <c r="G380" i="4" s="1"/>
  <c r="M323" i="4"/>
  <c r="D494" i="4"/>
  <c r="G494" i="4" s="1"/>
  <c r="M431" i="4"/>
  <c r="D489" i="4"/>
  <c r="G489" i="4" s="1"/>
  <c r="M426" i="4"/>
  <c r="D448" i="4"/>
  <c r="G448" i="4" s="1"/>
  <c r="M385" i="4"/>
  <c r="D450" i="4"/>
  <c r="G450" i="4" s="1"/>
  <c r="M387" i="4"/>
  <c r="D444" i="4"/>
  <c r="G444" i="4" s="1"/>
  <c r="M381" i="4"/>
  <c r="D422" i="4"/>
  <c r="G422" i="4" s="1"/>
  <c r="M359" i="4"/>
  <c r="D449" i="4"/>
  <c r="G449" i="4" s="1"/>
  <c r="M386" i="4"/>
  <c r="D236" i="4"/>
  <c r="G221" i="4"/>
  <c r="G224" i="4" s="1"/>
  <c r="G226" i="4" s="1"/>
  <c r="M442" i="4"/>
  <c r="D505" i="4"/>
  <c r="G505" i="4" s="1"/>
  <c r="D486" i="4"/>
  <c r="G486" i="4" s="1"/>
  <c r="M423" i="4"/>
  <c r="D374" i="4"/>
  <c r="G374" i="4" s="1"/>
  <c r="M317" i="4"/>
  <c r="D433" i="4"/>
  <c r="G433" i="4" s="1"/>
  <c r="M370" i="4"/>
  <c r="I221" i="4"/>
  <c r="I224" i="4" s="1"/>
  <c r="I226" i="4" s="1"/>
  <c r="L180" i="4"/>
  <c r="D421" i="4"/>
  <c r="G421" i="4" s="1"/>
  <c r="M358" i="4"/>
  <c r="D432" i="4"/>
  <c r="G432" i="4" s="1"/>
  <c r="M369" i="4"/>
  <c r="D446" i="4"/>
  <c r="G446" i="4" s="1"/>
  <c r="M383" i="4"/>
  <c r="D436" i="4"/>
  <c r="G436" i="4" s="1"/>
  <c r="M373" i="4"/>
  <c r="D357" i="4"/>
  <c r="G357" i="4" s="1"/>
  <c r="M300" i="4"/>
  <c r="M307" i="4"/>
  <c r="D364" i="4"/>
  <c r="G364" i="4" s="1"/>
  <c r="D439" i="4"/>
  <c r="G439" i="4" s="1"/>
  <c r="M376" i="4"/>
  <c r="M354" i="4"/>
  <c r="D417" i="4"/>
  <c r="G417" i="4" s="1"/>
  <c r="D382" i="4"/>
  <c r="G382" i="4" s="1"/>
  <c r="M325" i="4"/>
  <c r="D477" i="4"/>
  <c r="G477" i="4" s="1"/>
  <c r="M414" i="4"/>
  <c r="D429" i="4"/>
  <c r="G429" i="4" s="1"/>
  <c r="M366" i="4"/>
  <c r="D428" i="4"/>
  <c r="G428" i="4" s="1"/>
  <c r="M365" i="4"/>
  <c r="D501" i="4"/>
  <c r="G501" i="4" s="1"/>
  <c r="M438" i="4"/>
  <c r="D482" i="4" l="1"/>
  <c r="G482" i="4" s="1"/>
  <c r="M419" i="4"/>
  <c r="M364" i="4"/>
  <c r="D427" i="4"/>
  <c r="G427" i="4" s="1"/>
  <c r="D277" i="4"/>
  <c r="D280" i="4" s="1"/>
  <c r="D282" i="4" s="1"/>
  <c r="G236" i="4"/>
  <c r="D513" i="4"/>
  <c r="G513" i="4" s="1"/>
  <c r="M450" i="4"/>
  <c r="D443" i="4"/>
  <c r="G443" i="4" s="1"/>
  <c r="M380" i="4"/>
  <c r="M430" i="4"/>
  <c r="D493" i="4"/>
  <c r="G493" i="4" s="1"/>
  <c r="D496" i="4"/>
  <c r="G496" i="4" s="1"/>
  <c r="M433" i="4"/>
  <c r="D540" i="4"/>
  <c r="G540" i="4" s="1"/>
  <c r="M540" i="4" s="1"/>
  <c r="M477" i="4"/>
  <c r="D495" i="4"/>
  <c r="G495" i="4" s="1"/>
  <c r="M432" i="4"/>
  <c r="D437" i="4"/>
  <c r="G437" i="4" s="1"/>
  <c r="M374" i="4"/>
  <c r="D566" i="4"/>
  <c r="G566" i="4" s="1"/>
  <c r="M566" i="4" s="1"/>
  <c r="M503" i="4"/>
  <c r="D492" i="4"/>
  <c r="G492" i="4" s="1"/>
  <c r="M429" i="4"/>
  <c r="D512" i="4"/>
  <c r="G512" i="4" s="1"/>
  <c r="M449" i="4"/>
  <c r="D511" i="4"/>
  <c r="G511" i="4" s="1"/>
  <c r="M448" i="4"/>
  <c r="D487" i="4"/>
  <c r="G487" i="4" s="1"/>
  <c r="M424" i="4"/>
  <c r="D539" i="4"/>
  <c r="G539" i="4" s="1"/>
  <c r="M539" i="4" s="1"/>
  <c r="M476" i="4"/>
  <c r="D564" i="4"/>
  <c r="G564" i="4" s="1"/>
  <c r="M564" i="4" s="1"/>
  <c r="M501" i="4"/>
  <c r="D445" i="4"/>
  <c r="G445" i="4" s="1"/>
  <c r="M382" i="4"/>
  <c r="D420" i="4"/>
  <c r="G420" i="4" s="1"/>
  <c r="M357" i="4"/>
  <c r="D484" i="4"/>
  <c r="G484" i="4" s="1"/>
  <c r="M421" i="4"/>
  <c r="D549" i="4"/>
  <c r="G549" i="4" s="1"/>
  <c r="M549" i="4" s="1"/>
  <c r="M486" i="4"/>
  <c r="D435" i="4"/>
  <c r="G435" i="4" s="1"/>
  <c r="M372" i="4"/>
  <c r="D509" i="4"/>
  <c r="G509" i="4" s="1"/>
  <c r="M446" i="4"/>
  <c r="M417" i="4"/>
  <c r="D480" i="4"/>
  <c r="G480" i="4" s="1"/>
  <c r="I236" i="4"/>
  <c r="L221" i="4"/>
  <c r="L224" i="4" s="1"/>
  <c r="L226" i="4" s="1"/>
  <c r="M505" i="4"/>
  <c r="D568" i="4"/>
  <c r="G568" i="4" s="1"/>
  <c r="M568" i="4" s="1"/>
  <c r="D485" i="4"/>
  <c r="G485" i="4" s="1"/>
  <c r="M422" i="4"/>
  <c r="M489" i="4"/>
  <c r="D552" i="4"/>
  <c r="G552" i="4" s="1"/>
  <c r="M552" i="4" s="1"/>
  <c r="M425" i="4"/>
  <c r="D488" i="4"/>
  <c r="G488" i="4" s="1"/>
  <c r="D452" i="4"/>
  <c r="G452" i="4" s="1"/>
  <c r="M389" i="4"/>
  <c r="M481" i="4"/>
  <c r="D544" i="4"/>
  <c r="G544" i="4" s="1"/>
  <c r="M544" i="4" s="1"/>
  <c r="M439" i="4"/>
  <c r="D502" i="4"/>
  <c r="G502" i="4" s="1"/>
  <c r="D451" i="4"/>
  <c r="G451" i="4" s="1"/>
  <c r="M388" i="4"/>
  <c r="D491" i="4"/>
  <c r="G491" i="4" s="1"/>
  <c r="M428" i="4"/>
  <c r="D499" i="4"/>
  <c r="G499" i="4" s="1"/>
  <c r="M436" i="4"/>
  <c r="D447" i="4"/>
  <c r="G447" i="4" s="1"/>
  <c r="M384" i="4"/>
  <c r="M416" i="4"/>
  <c r="D479" i="4"/>
  <c r="G479" i="4" s="1"/>
  <c r="D504" i="4"/>
  <c r="G504" i="4" s="1"/>
  <c r="M441" i="4"/>
  <c r="M180" i="4"/>
  <c r="M221" i="4" s="1"/>
  <c r="M224" i="4" s="1"/>
  <c r="M226" i="4" s="1"/>
  <c r="D507" i="4"/>
  <c r="G507" i="4" s="1"/>
  <c r="M444" i="4"/>
  <c r="D557" i="4"/>
  <c r="G557" i="4" s="1"/>
  <c r="M557" i="4" s="1"/>
  <c r="M494" i="4"/>
  <c r="D541" i="4"/>
  <c r="G541" i="4" s="1"/>
  <c r="M541" i="4" s="1"/>
  <c r="M478" i="4"/>
  <c r="D565" i="4" l="1"/>
  <c r="G565" i="4" s="1"/>
  <c r="M565" i="4" s="1"/>
  <c r="M502" i="4"/>
  <c r="M480" i="4"/>
  <c r="D543" i="4"/>
  <c r="G543" i="4" s="1"/>
  <c r="M543" i="4" s="1"/>
  <c r="M447" i="4"/>
  <c r="D510" i="4"/>
  <c r="G510" i="4" s="1"/>
  <c r="D547" i="4"/>
  <c r="G547" i="4" s="1"/>
  <c r="M547" i="4" s="1"/>
  <c r="M484" i="4"/>
  <c r="D555" i="4"/>
  <c r="G555" i="4" s="1"/>
  <c r="M555" i="4" s="1"/>
  <c r="M492" i="4"/>
  <c r="M513" i="4"/>
  <c r="D576" i="4"/>
  <c r="G576" i="4" s="1"/>
  <c r="M576" i="4" s="1"/>
  <c r="M507" i="4"/>
  <c r="D570" i="4"/>
  <c r="G570" i="4" s="1"/>
  <c r="M570" i="4" s="1"/>
  <c r="D292" i="4"/>
  <c r="G277" i="4"/>
  <c r="G280" i="4" s="1"/>
  <c r="G282" i="4" s="1"/>
  <c r="M499" i="4"/>
  <c r="D562" i="4"/>
  <c r="G562" i="4" s="1"/>
  <c r="M562" i="4" s="1"/>
  <c r="D548" i="4"/>
  <c r="G548" i="4" s="1"/>
  <c r="M548" i="4" s="1"/>
  <c r="M485" i="4"/>
  <c r="D572" i="4"/>
  <c r="G572" i="4" s="1"/>
  <c r="M572" i="4" s="1"/>
  <c r="M509" i="4"/>
  <c r="M420" i="4"/>
  <c r="D483" i="4"/>
  <c r="G483" i="4" s="1"/>
  <c r="D550" i="4"/>
  <c r="G550" i="4" s="1"/>
  <c r="M550" i="4" s="1"/>
  <c r="M487" i="4"/>
  <c r="M496" i="4"/>
  <c r="D559" i="4"/>
  <c r="G559" i="4" s="1"/>
  <c r="M559" i="4" s="1"/>
  <c r="D556" i="4"/>
  <c r="G556" i="4" s="1"/>
  <c r="M556" i="4" s="1"/>
  <c r="M493" i="4"/>
  <c r="D490" i="4"/>
  <c r="G490" i="4" s="1"/>
  <c r="M427" i="4"/>
  <c r="M504" i="4"/>
  <c r="D567" i="4"/>
  <c r="G567" i="4" s="1"/>
  <c r="M567" i="4" s="1"/>
  <c r="D554" i="4"/>
  <c r="G554" i="4" s="1"/>
  <c r="M554" i="4" s="1"/>
  <c r="M491" i="4"/>
  <c r="D515" i="4"/>
  <c r="G515" i="4" s="1"/>
  <c r="M452" i="4"/>
  <c r="D498" i="4"/>
  <c r="G498" i="4" s="1"/>
  <c r="M435" i="4"/>
  <c r="D508" i="4"/>
  <c r="G508" i="4" s="1"/>
  <c r="M445" i="4"/>
  <c r="D574" i="4"/>
  <c r="G574" i="4" s="1"/>
  <c r="M574" i="4" s="1"/>
  <c r="M511" i="4"/>
  <c r="D500" i="4"/>
  <c r="G500" i="4" s="1"/>
  <c r="M437" i="4"/>
  <c r="D542" i="4"/>
  <c r="G542" i="4" s="1"/>
  <c r="M542" i="4" s="1"/>
  <c r="M479" i="4"/>
  <c r="M488" i="4"/>
  <c r="D551" i="4"/>
  <c r="G551" i="4" s="1"/>
  <c r="M551" i="4" s="1"/>
  <c r="D514" i="4"/>
  <c r="G514" i="4" s="1"/>
  <c r="M451" i="4"/>
  <c r="I277" i="4"/>
  <c r="I280" i="4" s="1"/>
  <c r="I282" i="4" s="1"/>
  <c r="L236" i="4"/>
  <c r="M512" i="4"/>
  <c r="D575" i="4"/>
  <c r="G575" i="4" s="1"/>
  <c r="M575" i="4" s="1"/>
  <c r="D558" i="4"/>
  <c r="G558" i="4" s="1"/>
  <c r="M558" i="4" s="1"/>
  <c r="M495" i="4"/>
  <c r="D506" i="4"/>
  <c r="G506" i="4" s="1"/>
  <c r="M443" i="4"/>
  <c r="D545" i="4"/>
  <c r="G545" i="4" s="1"/>
  <c r="M545" i="4" s="1"/>
  <c r="M482" i="4"/>
  <c r="D561" i="4" l="1"/>
  <c r="G561" i="4" s="1"/>
  <c r="M561" i="4" s="1"/>
  <c r="M498" i="4"/>
  <c r="D553" i="4"/>
  <c r="G553" i="4" s="1"/>
  <c r="M553" i="4" s="1"/>
  <c r="M490" i="4"/>
  <c r="G292" i="4"/>
  <c r="D333" i="4"/>
  <c r="D336" i="4" s="1"/>
  <c r="D338" i="4" s="1"/>
  <c r="I292" i="4"/>
  <c r="L277" i="4"/>
  <c r="L280" i="4" s="1"/>
  <c r="L282" i="4" s="1"/>
  <c r="M236" i="4"/>
  <c r="M277" i="4" s="1"/>
  <c r="M280" i="4" s="1"/>
  <c r="M282" i="4" s="1"/>
  <c r="D563" i="4"/>
  <c r="G563" i="4" s="1"/>
  <c r="M563" i="4" s="1"/>
  <c r="M500" i="4"/>
  <c r="D578" i="4"/>
  <c r="G578" i="4" s="1"/>
  <c r="M578" i="4" s="1"/>
  <c r="M515" i="4"/>
  <c r="M510" i="4"/>
  <c r="D573" i="4"/>
  <c r="G573" i="4" s="1"/>
  <c r="M573" i="4" s="1"/>
  <c r="D569" i="4"/>
  <c r="G569" i="4" s="1"/>
  <c r="M569" i="4" s="1"/>
  <c r="M506" i="4"/>
  <c r="D577" i="4"/>
  <c r="G577" i="4" s="1"/>
  <c r="M577" i="4" s="1"/>
  <c r="M514" i="4"/>
  <c r="D571" i="4"/>
  <c r="G571" i="4" s="1"/>
  <c r="M571" i="4" s="1"/>
  <c r="M508" i="4"/>
  <c r="M483" i="4"/>
  <c r="D546" i="4"/>
  <c r="G546" i="4" s="1"/>
  <c r="M546" i="4" s="1"/>
  <c r="I333" i="4" l="1"/>
  <c r="I336" i="4" s="1"/>
  <c r="I338" i="4" s="1"/>
  <c r="L292" i="4"/>
  <c r="M292" i="4" s="1"/>
  <c r="M333" i="4" s="1"/>
  <c r="M336" i="4" s="1"/>
  <c r="M338" i="4" s="1"/>
  <c r="G333" i="4"/>
  <c r="G336" i="4" s="1"/>
  <c r="G338" i="4" s="1"/>
  <c r="D349" i="4"/>
  <c r="G349" i="4" l="1"/>
  <c r="D390" i="4"/>
  <c r="D393" i="4" s="1"/>
  <c r="D395" i="4" s="1"/>
  <c r="I349" i="4"/>
  <c r="L333" i="4"/>
  <c r="L336" i="4" s="1"/>
  <c r="L338" i="4" s="1"/>
  <c r="I390" i="4" l="1"/>
  <c r="I393" i="4" s="1"/>
  <c r="I395" i="4" s="1"/>
  <c r="L349" i="4"/>
  <c r="M349" i="4" s="1"/>
  <c r="M390" i="4" s="1"/>
  <c r="M393" i="4" s="1"/>
  <c r="M395" i="4" s="1"/>
  <c r="D412" i="4"/>
  <c r="G390" i="4"/>
  <c r="G393" i="4" s="1"/>
  <c r="G395" i="4" s="1"/>
  <c r="D453" i="4" l="1"/>
  <c r="D456" i="4" s="1"/>
  <c r="D458" i="4" s="1"/>
  <c r="G412" i="4"/>
  <c r="L390" i="4"/>
  <c r="L393" i="4" s="1"/>
  <c r="L395" i="4" s="1"/>
  <c r="I412" i="4"/>
  <c r="I453" i="4" l="1"/>
  <c r="I456" i="4" s="1"/>
  <c r="I458" i="4" s="1"/>
  <c r="L412" i="4"/>
  <c r="M412" i="4" s="1"/>
  <c r="M453" i="4" s="1"/>
  <c r="M456" i="4" s="1"/>
  <c r="M458" i="4" s="1"/>
  <c r="G453" i="4"/>
  <c r="G456" i="4" s="1"/>
  <c r="G458" i="4" s="1"/>
  <c r="D475" i="4"/>
  <c r="D516" i="4" l="1"/>
  <c r="D519" i="4" s="1"/>
  <c r="D521" i="4" s="1"/>
  <c r="G475" i="4"/>
  <c r="I475" i="4"/>
  <c r="L453" i="4"/>
  <c r="L456" i="4" s="1"/>
  <c r="L458" i="4" s="1"/>
  <c r="I516" i="4" l="1"/>
  <c r="I519" i="4" s="1"/>
  <c r="I521" i="4" s="1"/>
  <c r="L475" i="4"/>
  <c r="M475" i="4" s="1"/>
  <c r="M516" i="4" s="1"/>
  <c r="M519" i="4" s="1"/>
  <c r="M521" i="4" s="1"/>
  <c r="G516" i="4"/>
  <c r="G519" i="4" s="1"/>
  <c r="G521" i="4" s="1"/>
  <c r="D538" i="4"/>
  <c r="D579" i="4" l="1"/>
  <c r="D582" i="4" s="1"/>
  <c r="D584" i="4" s="1"/>
  <c r="G538" i="4"/>
  <c r="L516" i="4"/>
  <c r="L519" i="4" s="1"/>
  <c r="L521" i="4" s="1"/>
  <c r="I538" i="4"/>
  <c r="I579" i="4" l="1"/>
  <c r="I582" i="4" s="1"/>
  <c r="I584" i="4" s="1"/>
  <c r="L538" i="4"/>
  <c r="L579" i="4" s="1"/>
  <c r="L582" i="4" s="1"/>
  <c r="L584" i="4" s="1"/>
  <c r="G579" i="4"/>
  <c r="G582" i="4" s="1"/>
  <c r="G584" i="4" s="1"/>
  <c r="M538" i="4" l="1"/>
  <c r="M579" i="4" s="1"/>
  <c r="M582" i="4" s="1"/>
  <c r="M584" i="4" s="1"/>
  <c r="F19" i="2"/>
</calcChain>
</file>

<file path=xl/sharedStrings.xml><?xml version="1.0" encoding="utf-8"?>
<sst xmlns="http://schemas.openxmlformats.org/spreadsheetml/2006/main" count="2731" uniqueCount="585">
  <si>
    <t>Reporting Basis</t>
  </si>
  <si>
    <t>System Access</t>
  </si>
  <si>
    <t>Sub-Total</t>
  </si>
  <si>
    <t>System Renewal</t>
  </si>
  <si>
    <t>System Service</t>
  </si>
  <si>
    <t>General Plant</t>
  </si>
  <si>
    <t>Total</t>
  </si>
  <si>
    <t>CATEGORY</t>
  </si>
  <si>
    <r>
      <t xml:space="preserve">Forecast Period </t>
    </r>
    <r>
      <rPr>
        <sz val="10"/>
        <rFont val="Arial"/>
        <family val="2"/>
      </rPr>
      <t>(planned)</t>
    </r>
  </si>
  <si>
    <t>Plan</t>
  </si>
  <si>
    <t>Actual</t>
  </si>
  <si>
    <t>Var</t>
  </si>
  <si>
    <r>
      <t>Actual</t>
    </r>
    <r>
      <rPr>
        <b/>
        <vertAlign val="superscript"/>
        <sz val="10"/>
        <rFont val="Arial"/>
        <family val="2"/>
      </rPr>
      <t>2</t>
    </r>
  </si>
  <si>
    <t>$ '000</t>
  </si>
  <si>
    <t>%</t>
  </si>
  <si>
    <t>TOTAL EXPENDITURE</t>
  </si>
  <si>
    <t>Capital Contributions</t>
  </si>
  <si>
    <t>NET CAPITAL EXPENDITURES</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</si>
  <si>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</si>
  <si>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</si>
  <si>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</si>
  <si>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</si>
  <si>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Provide a list of customer engagement activities</t>
  </si>
  <si>
    <t>Provide a list of customer needs and preferences identified through each engagement activity</t>
  </si>
  <si>
    <t>Actions taken to respond to identified needs and preferences.  If no action was taken, explain why.</t>
  </si>
  <si>
    <t>Accounting Standard</t>
  </si>
  <si>
    <t>CGAAP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</si>
  <si>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</si>
  <si>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</si>
  <si>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</si>
  <si>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</si>
  <si>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</si>
  <si>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</si>
  <si>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</si>
  <si>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</si>
  <si>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</si>
  <si>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</si>
  <si>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</si>
  <si>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</si>
  <si>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</si>
  <si>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</si>
  <si>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</si>
  <si>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</si>
  <si>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</si>
  <si>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</si>
  <si>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</si>
  <si>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</si>
  <si>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</si>
  <si>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</si>
  <si>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</si>
  <si>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</si>
  <si>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</si>
  <si>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</si>
  <si>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</si>
  <si>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</si>
  <si>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</si>
  <si>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</si>
  <si>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</si>
  <si>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</si>
  <si>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</si>
  <si>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</si>
  <si>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</si>
  <si>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</si>
  <si>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</si>
  <si>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</si>
  <si>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</si>
  <si>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</si>
  <si>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</si>
  <si>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</si>
  <si>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</si>
  <si>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</si>
  <si>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</si>
  <si>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</si>
  <si>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</si>
  <si>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</si>
  <si>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</si>
  <si>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</si>
  <si>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</si>
  <si>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</si>
  <si>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r>
      <t>Property Under Finance Lease</t>
    </r>
    <r>
      <rPr>
        <vertAlign val="superscript"/>
        <sz val="10"/>
        <rFont val="Arial"/>
        <family val="2"/>
      </rPr>
      <t>7</t>
    </r>
  </si>
  <si>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</si>
  <si>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</si>
  <si>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 for Rate Base Purposes</t>
  </si>
  <si>
    <t>Construction Work In Progress</t>
  </si>
  <si>
    <t>Total PP&amp;E</t>
  </si>
  <si>
    <r>
      <t>Depreciation Expense adj. from gain or loss on the retirement of assets (pool of like assets), if applicable</t>
    </r>
    <r>
      <rPr>
        <b/>
        <vertAlign val="superscript"/>
        <sz val="10"/>
        <rFont val="Arial"/>
        <family val="2"/>
      </rPr>
      <t>6</t>
    </r>
  </si>
  <si>
    <r>
      <rPr>
        <b/>
        <sz val="10"/>
        <rFont val="Arial"/>
        <family val="2"/>
      </rPr>
      <t>Less:</t>
    </r>
    <r>
      <rPr>
        <sz val="10"/>
        <rFont val="Arial"/>
        <family val="2"/>
      </rPr>
      <t xml:space="preserve"> </t>
    </r>
    <r>
      <rPr>
        <i/>
        <sz val="10"/>
        <rFont val="Arial"/>
        <family val="2"/>
      </rPr>
      <t>Fully Allocated Depreciation</t>
    </r>
  </si>
  <si>
    <t>Transportation</t>
  </si>
  <si>
    <t>Deferred Revenue</t>
  </si>
  <si>
    <t>Net Depreciation</t>
  </si>
  <si>
    <t>Appendix 2-C</t>
  </si>
  <si>
    <t>Depreciation and Amortization Expense</t>
  </si>
  <si>
    <t>Revised CGAAP</t>
  </si>
  <si>
    <t>MIFRS</t>
  </si>
  <si>
    <t>Year</t>
  </si>
  <si>
    <t>Description</t>
  </si>
  <si>
    <t>a</t>
  </si>
  <si>
    <t>b</t>
  </si>
  <si>
    <t>c</t>
  </si>
  <si>
    <t>d</t>
  </si>
  <si>
    <t>e</t>
  </si>
  <si>
    <t>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</si>
  <si>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</si>
  <si>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</si>
  <si>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</si>
  <si>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</si>
  <si>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</si>
  <si>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</si>
  <si>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</si>
  <si>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</si>
  <si>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</si>
  <si>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</si>
  <si>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Attributable?</t>
  </si>
  <si>
    <t>(Yes/No)</t>
  </si>
  <si>
    <t>Total Capitalized OM&amp;A (A)</t>
  </si>
  <si>
    <t>% of Capitalized OM&amp;A (=A/B)</t>
  </si>
  <si>
    <t>Service Reliability and Quality Indicators</t>
  </si>
  <si>
    <t>Indicator</t>
  </si>
  <si>
    <t>OEB Minimum Standard</t>
  </si>
  <si>
    <t>Appointments Met</t>
  </si>
  <si>
    <t>Other Operating Revenue</t>
  </si>
  <si>
    <t>USoA #</t>
  </si>
  <si>
    <t>USoA Description</t>
  </si>
  <si>
    <t>Last Rebasing Year</t>
  </si>
  <si>
    <t>B</t>
  </si>
  <si>
    <t>USoA Account</t>
  </si>
  <si>
    <t>Customers/FTEs</t>
  </si>
  <si>
    <t>Year:</t>
  </si>
  <si>
    <t>Shared Services</t>
  </si>
  <si>
    <t>Name of Company</t>
  </si>
  <si>
    <t>Service Offered</t>
  </si>
  <si>
    <t>Pricing Methodology</t>
  </si>
  <si>
    <t>Cost for the Service</t>
  </si>
  <si>
    <t>From</t>
  </si>
  <si>
    <t>To</t>
  </si>
  <si>
    <t>$</t>
  </si>
  <si>
    <t>Corporate Cost Allocation</t>
  </si>
  <si>
    <t>Amount Allocated</t>
  </si>
  <si>
    <t>Capital Structure and Cost of Capital</t>
  </si>
  <si>
    <t>Test Year:</t>
  </si>
  <si>
    <t>Line No.</t>
  </si>
  <si>
    <t>Particulars</t>
  </si>
  <si>
    <t>Capitalization Ratio</t>
  </si>
  <si>
    <t>Cost Rate</t>
  </si>
  <si>
    <t>Return</t>
  </si>
  <si>
    <t>(%)</t>
  </si>
  <si>
    <t>($)</t>
  </si>
  <si>
    <t>Debt</t>
  </si>
  <si>
    <t xml:space="preserve">  Long-term Debt</t>
  </si>
  <si>
    <t xml:space="preserve">  Short-term Debt</t>
  </si>
  <si>
    <t>(1)</t>
  </si>
  <si>
    <t>Total Debt</t>
  </si>
  <si>
    <t>Equity</t>
  </si>
  <si>
    <t xml:space="preserve">  Common Equity</t>
  </si>
  <si>
    <t xml:space="preserve">  Preferred Shares</t>
  </si>
  <si>
    <t>Total Equity</t>
  </si>
  <si>
    <t>Notes</t>
  </si>
  <si>
    <t>Last OEB-approved year:</t>
  </si>
  <si>
    <t>Debt Instruments</t>
  </si>
  <si>
    <t>Row</t>
  </si>
  <si>
    <t>Lender</t>
  </si>
  <si>
    <t>Affiliated or Third-Party Debt?</t>
  </si>
  <si>
    <t>Fixed or Variable-Rate?</t>
  </si>
  <si>
    <t>Start Date</t>
  </si>
  <si>
    <t>Term              (years)</t>
  </si>
  <si>
    <t>Principal                         ($)</t>
  </si>
  <si>
    <r>
      <t xml:space="preserve">Rate (%) </t>
    </r>
    <r>
      <rPr>
        <vertAlign val="superscript"/>
        <sz val="10"/>
        <rFont val="Arial"/>
        <family val="2"/>
      </rPr>
      <t>2</t>
    </r>
  </si>
  <si>
    <r>
      <t xml:space="preserve">Interest ($) </t>
    </r>
    <r>
      <rPr>
        <vertAlign val="superscript"/>
        <sz val="10"/>
        <rFont val="Arial"/>
        <family val="2"/>
      </rPr>
      <t>1</t>
    </r>
  </si>
  <si>
    <t>Additional Comments, if any</t>
  </si>
  <si>
    <t/>
  </si>
  <si>
    <t>EPCOR Electricity Distribution Ontario Inc.1609</t>
  </si>
  <si>
    <t>EPCOR Electricity Distribution Ontario Inc.1611</t>
  </si>
  <si>
    <t>EPCOR Electricity Distribution Ontario Inc.1612</t>
  </si>
  <si>
    <t>EPCOR Electricity Distribution Ontario Inc.1805</t>
  </si>
  <si>
    <t>EPCOR Electricity Distribution Ontario Inc.1808</t>
  </si>
  <si>
    <t>EPCOR Electricity Distribution Ontario Inc.1810</t>
  </si>
  <si>
    <t>EPCOR Electricity Distribution Ontario Inc.1815</t>
  </si>
  <si>
    <t>EPCOR Electricity Distribution Ontario Inc.1820</t>
  </si>
  <si>
    <t>EPCOR Electricity Distribution Ontario Inc.1825</t>
  </si>
  <si>
    <t>EPCOR Electricity Distribution Ontario Inc.1830</t>
  </si>
  <si>
    <t>EPCOR Electricity Distribution Ontario Inc.1835</t>
  </si>
  <si>
    <t>EPCOR Electricity Distribution Ontario Inc.1840</t>
  </si>
  <si>
    <t>EPCOR Electricity Distribution Ontario Inc.1845</t>
  </si>
  <si>
    <t>EPCOR Electricity Distribution Ontario Inc.1850</t>
  </si>
  <si>
    <t>EPCOR Electricity Distribution Ontario Inc.1855</t>
  </si>
  <si>
    <t>EPCOR Electricity Distribution Ontario Inc.1860</t>
  </si>
  <si>
    <t>EPCOR Electricity Distribution Ontario Inc.1905</t>
  </si>
  <si>
    <t>EPCOR Electricity Distribution Ontario Inc.1908</t>
  </si>
  <si>
    <t>EPCOR Electricity Distribution Ontario Inc.1910</t>
  </si>
  <si>
    <t>EPCOR Electricity Distribution Ontario Inc.1915</t>
  </si>
  <si>
    <t>EPCOR Electricity Distribution Ontario Inc.1920</t>
  </si>
  <si>
    <t>EPCOR Electricity Distribution Ontario Inc.1930</t>
  </si>
  <si>
    <t>EPCOR Electricity Distribution Ontario Inc.1935</t>
  </si>
  <si>
    <t>EPCOR Electricity Distribution Ontario Inc.1940</t>
  </si>
  <si>
    <t>EPCOR Electricity Distribution Ontario Inc.1945</t>
  </si>
  <si>
    <t>EPCOR Electricity Distribution Ontario Inc.1950</t>
  </si>
  <si>
    <t>EPCOR Electricity Distribution Ontario Inc.1955</t>
  </si>
  <si>
    <t>EPCOR Electricity Distribution Ontario Inc.1960</t>
  </si>
  <si>
    <t>EPCOR Electricity Distribution Ontario Inc.1970</t>
  </si>
  <si>
    <t>EPCOR Electricity Distribution Ontario Inc.1975</t>
  </si>
  <si>
    <t>EPCOR Electricity Distribution Ontario Inc.1980</t>
  </si>
  <si>
    <t>EPCOR Electricity Distribution Ontario Inc.1985</t>
  </si>
  <si>
    <t>EPCOR Electricity Distribution Ontario Inc.1990</t>
  </si>
  <si>
    <t>EPCOR Electricity Distribution Ontario Inc.1995</t>
  </si>
  <si>
    <t>EPCOR Electricity Distribution Ontario Inc.2440</t>
  </si>
  <si>
    <t>EPCOR Electricity Distribution Ontario Inc.2005</t>
  </si>
  <si>
    <t xml:space="preserve">Utility Name   </t>
  </si>
  <si>
    <t>Assigned EB Number</t>
  </si>
  <si>
    <t>Name of Contact and Title</t>
  </si>
  <si>
    <t xml:space="preserve">Phone Number   </t>
  </si>
  <si>
    <t xml:space="preserve">Email Address   </t>
  </si>
  <si>
    <t>EPCOR Natural Gas Limited Partnership</t>
  </si>
  <si>
    <t>Tim Hesselink, Senior Manager, Regulatory Affairs</t>
  </si>
  <si>
    <t>705-445-1800</t>
  </si>
  <si>
    <t>thesselink@epcor.com</t>
  </si>
  <si>
    <t>Appendix 1A</t>
  </si>
  <si>
    <t>Appendix 1B</t>
  </si>
  <si>
    <t>Appendix 2A</t>
  </si>
  <si>
    <t>Appendix 2B</t>
  </si>
  <si>
    <t>2025 TEST</t>
  </si>
  <si>
    <t>2024 BRIDGE</t>
  </si>
  <si>
    <t>Appendix 2C</t>
  </si>
  <si>
    <t>EB-2024-0130</t>
  </si>
  <si>
    <t>Exhibit 1</t>
  </si>
  <si>
    <t>Aylmer Spitfires Jr. C Hockey Club</t>
  </si>
  <si>
    <t>Community Giving - we provided $1,500 to the local hockey team as an equipment sponsor.</t>
  </si>
  <si>
    <t>This gives ENGLP a chance to give back to the community in which we serve.</t>
  </si>
  <si>
    <t>East Elgin School Scholarship</t>
  </si>
  <si>
    <t>Community Giving - we provided $1,000 to a student as a scholarship</t>
  </si>
  <si>
    <t>United Way BBQ</t>
  </si>
  <si>
    <t>Customer Education - Bill Inserts and Email Campaigns</t>
  </si>
  <si>
    <t>Customer Education - Dig Safety Awareness Inserts</t>
  </si>
  <si>
    <t>Education and Safety - There is a need for the community to understand the dangers of digging without the proper locates.</t>
  </si>
  <si>
    <t xml:space="preserve">ENGLP coordinated a mail insert to help educate and inform the community. </t>
  </si>
  <si>
    <t>Customer Support - Financial Assistance Programs (LEAP)</t>
  </si>
  <si>
    <t>ENGLP provides support through the United Way with the province's Low-income Energy Assistance Program (LEAP). These emergency financial assistance programs are designed to help low-income customers who have difficulty making their natural gas bill payments.</t>
  </si>
  <si>
    <t>Community Engagement - EPCOR Heart + Soul Fund</t>
  </si>
  <si>
    <t>In 2020, EPCOR launched the Heart + Soul Fund to help arts, culture and non-profit sectors impacted by the COVID-19 pandemic. From 2020 - 2022, EPCOR supported local programming that helped organizations build resiliency, uplift our communities and enabled them to continuing to do what they do best: bringing the heart and soul to the communities we serve.</t>
  </si>
  <si>
    <t>Community Engagement - United Way Day of Caring</t>
  </si>
  <si>
    <t>ENGLP provided support through the United Way to the Re-store in Aylmer and learned of the needs of the community through conversations with workers and volunteers at the re-store.</t>
  </si>
  <si>
    <t>In 2023, EPCOR assisted with pulling weeds and breaking down boxes at the Re-store in Aylmer, which is a locally owned and operated thrift store, and also recorded some radio ads for the local radio station that broadcasts in Low German.</t>
  </si>
  <si>
    <t>Customer Engagement Activities Summary</t>
  </si>
  <si>
    <t>Call Answering</t>
  </si>
  <si>
    <t>minimum 75%</t>
  </si>
  <si>
    <t>Call Abandon Rate</t>
  </si>
  <si>
    <t>not exceed 10%</t>
  </si>
  <si>
    <t>Meter Reading</t>
  </si>
  <si>
    <t>not exceed 0.5%</t>
  </si>
  <si>
    <t>minimum 85%</t>
  </si>
  <si>
    <t>Reschedule Appointments</t>
  </si>
  <si>
    <t>Emergency Call Response</t>
  </si>
  <si>
    <t>minimum 90%</t>
  </si>
  <si>
    <t>Days to Provide Written Response</t>
  </si>
  <si>
    <t>minimum 80%</t>
  </si>
  <si>
    <t>Days to Reconnect</t>
  </si>
  <si>
    <t>Exhibit 2</t>
  </si>
  <si>
    <t>USP</t>
  </si>
  <si>
    <t>Historical</t>
  </si>
  <si>
    <t>Asset Service Life</t>
  </si>
  <si>
    <t>Asset Description</t>
  </si>
  <si>
    <t>Furnishing / Office Equipment</t>
  </si>
  <si>
    <t>Computer Equipment</t>
  </si>
  <si>
    <t>Software - Acquired</t>
  </si>
  <si>
    <t>Tools and Work Equipment</t>
  </si>
  <si>
    <t>Communication Equipment</t>
  </si>
  <si>
    <t>Vehicles - Transportation Equipment</t>
  </si>
  <si>
    <t>Vehicle - Heavy Work Equipment</t>
  </si>
  <si>
    <t>Meters  - Residential</t>
  </si>
  <si>
    <t>Meters - Commercial</t>
  </si>
  <si>
    <t xml:space="preserve">Meter – IGPC </t>
  </si>
  <si>
    <t>Regulators</t>
  </si>
  <si>
    <t>Regulator and Meter Installations</t>
  </si>
  <si>
    <t>Measuring and Regulating Equipment</t>
  </si>
  <si>
    <t>Franchises and Consents</t>
  </si>
  <si>
    <t>Franchises – Aylmer &amp; Appeal</t>
  </si>
  <si>
    <t>Annual Depr</t>
  </si>
  <si>
    <t>Useful Life (years)</t>
  </si>
  <si>
    <t>2020 Approved
 (EB-2018-0336)</t>
  </si>
  <si>
    <t>2025 Proposed
 (EB-2024-0130)</t>
  </si>
  <si>
    <t>Change from Previous Filing?</t>
  </si>
  <si>
    <t>N</t>
  </si>
  <si>
    <t>Exhibit 5</t>
  </si>
  <si>
    <t>Appendix 5C</t>
  </si>
  <si>
    <t>Appendix 5B</t>
  </si>
  <si>
    <t>2020 rate base is presented consistent with the EB-2018-0336 settlement agreement.</t>
  </si>
  <si>
    <t>DISTRIBUTION PLANT</t>
  </si>
  <si>
    <t>Subtotal</t>
  </si>
  <si>
    <t>GENERAL PLANT</t>
  </si>
  <si>
    <t>OTHER</t>
  </si>
  <si>
    <t>Customer Support - Commercial Customer Engagement</t>
  </si>
  <si>
    <t>We have regular meetings with some of our larger clients to ensure they receive white glove service and to ensure we are meeting all of their needs.</t>
  </si>
  <si>
    <t>Customer Support - Customer visits to the Office</t>
  </si>
  <si>
    <t>Customer Support - Customer Service Phone Calls</t>
  </si>
  <si>
    <t xml:space="preserve">Annual Meeting &amp; Presentation With Municipalities </t>
  </si>
  <si>
    <t>Quarterly Meetings with Lagasco</t>
  </si>
  <si>
    <t>Annual Meetings with Developer and Builders</t>
  </si>
  <si>
    <t>IGPC Engagement during Major Project on 6" Line</t>
  </si>
  <si>
    <t>Meters - Residential</t>
  </si>
  <si>
    <t>Meters - IGPC</t>
  </si>
  <si>
    <t>Measuring &amp; Regulating Equip</t>
  </si>
  <si>
    <t>Mains - Metallic</t>
  </si>
  <si>
    <t>Mains - Metallic (IGPC)</t>
  </si>
  <si>
    <t>Mains - Plastic</t>
  </si>
  <si>
    <t>Services - Plastic</t>
  </si>
  <si>
    <t>Structures &amp; Improvements</t>
  </si>
  <si>
    <t>Vehicles - Transportation Equip</t>
  </si>
  <si>
    <t>Vehicle - Heavy Work Equip</t>
  </si>
  <si>
    <t>Franchises</t>
  </si>
  <si>
    <t>2020T</t>
  </si>
  <si>
    <t>Approved</t>
  </si>
  <si>
    <t>Appendix 2-F</t>
  </si>
  <si>
    <t>Direct Wages</t>
  </si>
  <si>
    <t>Burden, administration and other general overhead costs</t>
  </si>
  <si>
    <t>Exhibit 4</t>
  </si>
  <si>
    <t>Appendix 4B</t>
  </si>
  <si>
    <t>OM&amp;A Detail - By USoA Account</t>
  </si>
  <si>
    <t>2020T - Last Rebasing Year</t>
  </si>
  <si>
    <t>Variance 
(Test Year vs. 2023 Actuals)</t>
  </si>
  <si>
    <t>Variance 
(Test Year vs. Last Rebasing Year (2020 OEB-Approved)</t>
  </si>
  <si>
    <t>Appendix 4C</t>
  </si>
  <si>
    <t>Appendix 4E</t>
  </si>
  <si>
    <t>OM&amp;A Per Customer and FTE</t>
  </si>
  <si>
    <t>EPCOR Utilities Inc.</t>
  </si>
  <si>
    <t>Management Oversight</t>
  </si>
  <si>
    <t>Regulatory</t>
  </si>
  <si>
    <t>EPCOR Water Services Inc.</t>
  </si>
  <si>
    <t>Supply Chain Management</t>
  </si>
  <si>
    <t>Human Resources</t>
  </si>
  <si>
    <t>Operational Support</t>
  </si>
  <si>
    <t>Appendix 4F</t>
  </si>
  <si>
    <t>2024B</t>
  </si>
  <si>
    <t>2025T</t>
  </si>
  <si>
    <t>Late Payment Charge               </t>
  </si>
  <si>
    <t>Penalty Fees</t>
  </si>
  <si>
    <t>Collection &amp; NSF Fees             </t>
  </si>
  <si>
    <t>Connection Fees                   </t>
  </si>
  <si>
    <t>Bank Interest</t>
  </si>
  <si>
    <t>Miscellaneous Revenue             </t>
  </si>
  <si>
    <t>Total OM&amp;A per customer</t>
  </si>
  <si>
    <t>Total OM&amp;A per FTE</t>
  </si>
  <si>
    <t>Appendix 5A</t>
  </si>
  <si>
    <t xml:space="preserve">For the purpose of this Application, capital contributions are included as an offset to rate base and the related amortized revenue as an offset to depreciation expense. </t>
  </si>
  <si>
    <t>Promissory Note</t>
  </si>
  <si>
    <t>Affiliated</t>
  </si>
  <si>
    <t>Fixed Rate</t>
  </si>
  <si>
    <t>Through EPCOR's Heart + Soul Fund, just under $30,000 was invested into 10 organizations that focus on delivering arts, culture, charitable and mental health supports.</t>
  </si>
  <si>
    <t>Working together to reduce and prevent line strikes based on their use of heavy equipment around our buried pipe.</t>
  </si>
  <si>
    <t>End of year issuance</t>
  </si>
  <si>
    <t>True cost of debt</t>
  </si>
  <si>
    <t>Less: pro-rated principal for 2025</t>
  </si>
  <si>
    <t>Contributions - Mains - Metallic (IGPC)</t>
  </si>
  <si>
    <t>Contributions - Mains Plastic</t>
  </si>
  <si>
    <t>Contributions - Services Metal</t>
  </si>
  <si>
    <t>Contributions - Services Plastic</t>
  </si>
  <si>
    <t>Franchise &amp; Consents</t>
  </si>
  <si>
    <t>Measuring &amp; Regulating Equip (IGPC)</t>
  </si>
  <si>
    <t>Employee benefits</t>
  </si>
  <si>
    <t>Costs of site preparation</t>
  </si>
  <si>
    <t>Initial delivery and handling costs</t>
  </si>
  <si>
    <t>Costs of testing whether the asset is functioning properly</t>
  </si>
  <si>
    <t>Professional fees</t>
  </si>
  <si>
    <t>USoA 301</t>
  </si>
  <si>
    <t>USoA 302</t>
  </si>
  <si>
    <t>USoA 313</t>
  </si>
  <si>
    <t>Yes</t>
  </si>
  <si>
    <t>Expense Category</t>
  </si>
  <si>
    <t>in Thousands ($000's)</t>
  </si>
  <si>
    <t>Employee Salaries</t>
  </si>
  <si>
    <t>Employee Benefits</t>
  </si>
  <si>
    <t>Capital Recoveries</t>
  </si>
  <si>
    <t>Operating Recoveries &amp; Burden</t>
  </si>
  <si>
    <t>Ontario Affiliate Shared Services</t>
  </si>
  <si>
    <t>Contractors and Consultants</t>
  </si>
  <si>
    <t>Legal</t>
  </si>
  <si>
    <t>Audit Fees</t>
  </si>
  <si>
    <t>Equipment, Rent &amp; Utilities</t>
  </si>
  <si>
    <t>Telecom &amp; IT Costs</t>
  </si>
  <si>
    <t>Office &amp; Postage</t>
  </si>
  <si>
    <t>Advertising</t>
  </si>
  <si>
    <t>Dues &amp; Fees</t>
  </si>
  <si>
    <t>Travel &amp; Entertainment</t>
  </si>
  <si>
    <t>Training</t>
  </si>
  <si>
    <t>Insurance</t>
  </si>
  <si>
    <t>Donations</t>
  </si>
  <si>
    <t>Corporate Shared Services</t>
  </si>
  <si>
    <t>Finance Costs</t>
  </si>
  <si>
    <t>Bank Fees</t>
  </si>
  <si>
    <t>Bad Debts</t>
  </si>
  <si>
    <t>Other</t>
  </si>
  <si>
    <t>LEAP</t>
  </si>
  <si>
    <t>Automotive &amp; Other Maintenance</t>
  </si>
  <si>
    <t>Customer Count</t>
  </si>
  <si>
    <t>Net FTEs</t>
  </si>
  <si>
    <t>EPCOR Ontario Operations Management Inc.</t>
  </si>
  <si>
    <t>EPCOR Natural Gas Limited Partnership - Aylmer</t>
  </si>
  <si>
    <t>EUI Shared Service Reallocation Costs</t>
  </si>
  <si>
    <t>Customer Operations Management</t>
  </si>
  <si>
    <t>Gas Procurement Support</t>
  </si>
  <si>
    <t>Health, Safety &amp; Environment</t>
  </si>
  <si>
    <t>Ontario Head Office Costs</t>
  </si>
  <si>
    <t>Operations Engineering</t>
  </si>
  <si>
    <t>EPCOR Electricity Distribution Ontario Inc.</t>
  </si>
  <si>
    <t>GIS Support</t>
  </si>
  <si>
    <t>IT &amp; Cybersecurity</t>
  </si>
  <si>
    <t>Direct</t>
  </si>
  <si>
    <t>Allocated Cost</t>
  </si>
  <si>
    <t>Finance &amp; Accounting</t>
  </si>
  <si>
    <t>Board of Directors</t>
  </si>
  <si>
    <t>EPCOR Energy Alberta Limited Partnership by its General Partner EPCOR Energy Alberta GP Inc.</t>
  </si>
  <si>
    <t>IT Costs - Affiliate</t>
  </si>
  <si>
    <t>Non-Reg Operational Support</t>
  </si>
  <si>
    <t>Public &amp; Government Affairs Services</t>
  </si>
  <si>
    <t xml:space="preserve">Information Services </t>
  </si>
  <si>
    <t>Corporate Asset Usage</t>
  </si>
  <si>
    <t>Finance, Treasury and Audit</t>
  </si>
  <si>
    <t>Legal Services, Health, Safety, Security and Environment</t>
  </si>
  <si>
    <t>Sustainability and Public Affairs</t>
  </si>
  <si>
    <t>Board and Executive</t>
  </si>
  <si>
    <t>Incentive Compensation</t>
  </si>
  <si>
    <t>Allocated &amp; Direct</t>
  </si>
  <si>
    <t>Capital Projects Table (net of Contributions)</t>
  </si>
  <si>
    <t xml:space="preserve">Bill inserts and messaging provides an opportunity for customers to be made aware of changes in the industry that could impact them.  This can include rate changes, pricing optionality, health and safety, conservation and low income support.  The regulatory environment is complex and this medium provides an opportunity to proactively inform customers of changes that could impact them. </t>
  </si>
  <si>
    <t>Every ENGLP customer is billed monthly. As such, this continues to be a good avenue to reach all customers. Periodic billing inserts provide current rate information and other important safety considerations. ENGLP prepares a communication plan annually to schedule important customer communications allowing for flexibility to address industry changes. ENGLP also ran an e-billing campaign in 2023 to inform customers of the option of receiving their bills electronically, reducing its impact on the environment.</t>
  </si>
  <si>
    <t>ENGLP continues to promote financial assistance programs that are available to assist low-income customers through social media, the LDC's website, telephone calls and e-mails, as well as bill inserts</t>
  </si>
  <si>
    <t>This allows ENGLP to interact with some of our bigger clients and get feedback and work collaboratively on how to improve its system.</t>
  </si>
  <si>
    <t>Prior to the pandemic, customers could come directly into ENGLP’s office to drop off any forms, or ask any questions they have regarding their natural gas service. Since the pandemic, customers can still book an appointment to come into the office and receive assistance, if needed.</t>
  </si>
  <si>
    <t>ENGLP takes 6,000 calls a year from its customer base to answer any questions regarding billing, emergency gas leaks, meter replacements, etc. ENGLP also respond to customer e-mails in a timely manner to ensure customers receive prompt responses to their questions or concerns. ENGLP’s hours are 8 am - 4pm Monday - Friday (excluding holidays).</t>
  </si>
  <si>
    <t>This allows ENGLP to receive real-time feedback from its customers regarding their services, and allows the customer to call or e-mail ENGLP to receive information regarding their natural nas service.</t>
  </si>
  <si>
    <t xml:space="preserve">With support from Public Affairs - deliver presentations to Municipalities of Aylmer, Bayham, Malahide, Elgin County, and SouthWest Oxford Township. </t>
  </si>
  <si>
    <t xml:space="preserve">Engaging with Mayors and Council members to explore opportunities to work with them as good corporate citizens. </t>
  </si>
  <si>
    <t>Quarterly meeting to discuss operational and gas supply related issues.</t>
  </si>
  <si>
    <t>Explore opportunities to work together to keep the communities safe.</t>
  </si>
  <si>
    <t xml:space="preserve">Meetings with Local developers and builder to discuss working around ENGLP gas pipeline assets diligently to prevent line strikes. </t>
  </si>
  <si>
    <t xml:space="preserve">Engage IGPC on all aspect of planned work on the IGPC 6" steel that may have potential disruption to their operations. </t>
  </si>
  <si>
    <t>Ensure IGPC employees are informed regarding what steps and activities that EPCOR is completed to ensure the integrity and reliability of the gas supply to their facility with minimal disruption.</t>
  </si>
  <si>
    <t>This gives ENGLP a chance to give back to the communities it serves.</t>
  </si>
  <si>
    <t>Face-to-face community events provides an opportunity for ENGLP to interact with commercial businesses in our service area. ENGLP invites local businesses to come out and have food, and support a cause that directly gives back to the communities it serves.</t>
  </si>
  <si>
    <t xml:space="preserve">ENGLP holds the annual BBQ, which helps raise community awareness and provides an opportunity to interact with the community in a unique way. </t>
  </si>
  <si>
    <t>This allowed us to have face-to-face conversations with those in the community that ENGLP services. ENGLP has not experienced many individuals schedule appointments since closing the office to the public.</t>
  </si>
  <si>
    <t>2014 Actual</t>
  </si>
  <si>
    <t>2015 Actual</t>
  </si>
  <si>
    <t>2016 Actual</t>
  </si>
  <si>
    <t>2017 Actual</t>
  </si>
  <si>
    <t>2018 Actual</t>
  </si>
  <si>
    <t>2019 Actual</t>
  </si>
  <si>
    <t>2020 Actual</t>
  </si>
  <si>
    <t>2021 Actual</t>
  </si>
  <si>
    <t>2022 Actual</t>
  </si>
  <si>
    <t>2023 Actual</t>
  </si>
  <si>
    <t>2023 Normalized</t>
  </si>
  <si>
    <t>2024 Forecast</t>
  </si>
  <si>
    <t>2025 Forecast</t>
  </si>
  <si>
    <t>2026 Forecast</t>
  </si>
  <si>
    <t>2027 Forecast</t>
  </si>
  <si>
    <t>2028 Forecast</t>
  </si>
  <si>
    <t>R1 Residential</t>
  </si>
  <si>
    <t>R1 Industrial</t>
  </si>
  <si>
    <t>R1 Commercial</t>
  </si>
  <si>
    <t>R2 Seasonal</t>
  </si>
  <si>
    <t>R3</t>
  </si>
  <si>
    <t>R4</t>
  </si>
  <si>
    <t>R5</t>
  </si>
  <si>
    <t>R6</t>
  </si>
  <si>
    <t>Customers</t>
  </si>
  <si>
    <t>Load Forecast</t>
  </si>
  <si>
    <t>Exhibit 3</t>
  </si>
  <si>
    <t>Appendix 3A</t>
  </si>
  <si>
    <t>Load Forecast &amp; Customer Count Billing Determinant Summary</t>
  </si>
  <si>
    <t>One-Time Cost Schedule</t>
  </si>
  <si>
    <t>A</t>
  </si>
  <si>
    <t>Category</t>
  </si>
  <si>
    <t>Amount</t>
  </si>
  <si>
    <t>Customer engagement contractor</t>
  </si>
  <si>
    <t>Load and forecast report</t>
  </si>
  <si>
    <t>Cost allocation study</t>
  </si>
  <si>
    <t>Legal counsel</t>
  </si>
  <si>
    <t>Printing and advertising</t>
  </si>
  <si>
    <t>Intervenor and OEB costs</t>
  </si>
  <si>
    <t>Settlement – 2 day conference</t>
  </si>
  <si>
    <t>Application Preparation</t>
  </si>
  <si>
    <t>1/5 Cost Included in Revenue Requirement</t>
  </si>
  <si>
    <t>Mains - Metallic IGPC</t>
  </si>
  <si>
    <t>Total Net Depreciation</t>
  </si>
  <si>
    <t>Accumulated Depreciation / Contributions</t>
  </si>
  <si>
    <t>Net Depreciation Expense Summary</t>
  </si>
  <si>
    <t>OEB Account</t>
  </si>
  <si>
    <t>2020A</t>
  </si>
  <si>
    <t>2021A</t>
  </si>
  <si>
    <t>2022A</t>
  </si>
  <si>
    <t>2023A</t>
  </si>
  <si>
    <t>2024 Bridge Year</t>
  </si>
  <si>
    <t>2025 Test Period</t>
  </si>
  <si>
    <t>Required Adjustments</t>
  </si>
  <si>
    <t>2024 Bridge Year Depreciation</t>
  </si>
  <si>
    <t>2024 Opening PPE Balance</t>
  </si>
  <si>
    <t>2024 Additions</t>
  </si>
  <si>
    <t>Depreciation Rate</t>
  </si>
  <si>
    <t>Depreciation on Existing Rate Base</t>
  </si>
  <si>
    <t>Depreciation on 2024 Additions</t>
  </si>
  <si>
    <t>Total Depreciation</t>
  </si>
  <si>
    <t>b*c*0.5= e (half year rule)</t>
  </si>
  <si>
    <t>d+e=f</t>
  </si>
  <si>
    <t>2025 Test Year Depreciation</t>
  </si>
  <si>
    <t>2025 Additions</t>
  </si>
  <si>
    <t>Depreciation on 2025 Additions</t>
  </si>
  <si>
    <t>b*d=f</t>
  </si>
  <si>
    <t>c*d*0.5= g (half year rule)</t>
  </si>
  <si>
    <t>e+f+g=h</t>
  </si>
  <si>
    <t>Appendix 4A</t>
  </si>
  <si>
    <t>2025 Test Year</t>
  </si>
  <si>
    <t>2020 Decision</t>
  </si>
  <si>
    <t>Employee Compensation</t>
  </si>
  <si>
    <t>2020 A</t>
  </si>
  <si>
    <t>2021 A</t>
  </si>
  <si>
    <t>2022 A</t>
  </si>
  <si>
    <t>2023 A</t>
  </si>
  <si>
    <t>Management FTE</t>
  </si>
  <si>
    <t>Non-Management FTE</t>
  </si>
  <si>
    <t>Ontario Affiliate Services</t>
  </si>
  <si>
    <t>Total Gross FTE</t>
  </si>
  <si>
    <t>Operating and Capital Recoveries</t>
  </si>
  <si>
    <t>Note 1</t>
  </si>
  <si>
    <t>Total Operating and Capital Recoveries</t>
  </si>
  <si>
    <t>Net FTEs (Gross FTE net of recoveries)</t>
  </si>
  <si>
    <t>Management FTE (row 1+6)</t>
  </si>
  <si>
    <t>Non-Management FTE (row 2+7)</t>
  </si>
  <si>
    <t>Ontario Affiliate Services (row 3+8)</t>
  </si>
  <si>
    <t>Total Net FTE</t>
  </si>
  <si>
    <t>Compensation &amp; Recoveries</t>
  </si>
  <si>
    <t>Salaries - Mgmt &amp; Non-Mgmt</t>
  </si>
  <si>
    <t>Note 2</t>
  </si>
  <si>
    <t>Benefits</t>
  </si>
  <si>
    <t>Incentive Plan (STIP)</t>
  </si>
  <si>
    <t>Capital Transfers</t>
  </si>
  <si>
    <t>Note 1,3</t>
  </si>
  <si>
    <t>Operating Transfers &amp; Burden</t>
  </si>
  <si>
    <t>Note 4</t>
  </si>
  <si>
    <t>Total Compensation &amp; Recoveries</t>
  </si>
  <si>
    <t>Variance - Year over Year</t>
  </si>
  <si>
    <r>
      <rPr>
        <b/>
        <sz val="10"/>
        <color theme="1"/>
        <rFont val="Arial"/>
        <family val="2"/>
      </rPr>
      <t>Note 1</t>
    </r>
    <r>
      <rPr>
        <sz val="10"/>
        <color theme="1"/>
        <rFont val="Arial"/>
        <family val="2"/>
      </rPr>
      <t xml:space="preserve"> - The FTEs included in the Operating &amp; Capital Recoveries are summarized based on the recoveries of Management &amp; Non-Management FTEs. The dollars associated with these recoveries would be recorded under Capital Transfers or Operating Transfers, whichever is applicable for each respective FTE.</t>
    </r>
  </si>
  <si>
    <r>
      <rPr>
        <b/>
        <sz val="10"/>
        <color theme="1"/>
        <rFont val="Arial"/>
        <family val="2"/>
      </rPr>
      <t>Note 2</t>
    </r>
    <r>
      <rPr>
        <sz val="10"/>
        <color theme="1"/>
        <rFont val="Arial"/>
        <family val="2"/>
      </rPr>
      <t xml:space="preserve"> - The salaries included on row 16 do not include overtime.</t>
    </r>
  </si>
  <si>
    <r>
      <rPr>
        <b/>
        <sz val="10"/>
        <color theme="1"/>
        <rFont val="Arial"/>
        <family val="2"/>
      </rPr>
      <t>Note 3</t>
    </r>
    <r>
      <rPr>
        <sz val="10"/>
        <color theme="1"/>
        <rFont val="Arial"/>
        <family val="2"/>
      </rPr>
      <t xml:space="preserve"> - Capital transfers do not include overtime. Additionally, row 19 would include Capital Overhead which would not have an associated FTE recovery. For further information on the Capital Overhead pool please refer to Section 2.4.1.</t>
    </r>
  </si>
  <si>
    <t>Settlement Adjustment</t>
  </si>
  <si>
    <t>*Operating costs include USoA Accounts – 301, 302, 313, 319 and settlement adjustments related to the 2020 Decision.</t>
  </si>
  <si>
    <t>Total Recoverable OM&amp;A*</t>
  </si>
  <si>
    <t>Appendix 4D</t>
  </si>
  <si>
    <t>USoA - General</t>
  </si>
  <si>
    <t>302 -  Maintenance Expenses</t>
  </si>
  <si>
    <t>303 -  Depreciation</t>
  </si>
  <si>
    <t>305 -  Municipal and Other Taxes</t>
  </si>
  <si>
    <t>313 -  Non-Gas Operating Expense</t>
  </si>
  <si>
    <t>Total Operating Costs by USoA</t>
  </si>
  <si>
    <t>OM&amp;A Summary - Operating Costs by USoA</t>
  </si>
  <si>
    <t>301 -  Operating Expenses*</t>
  </si>
  <si>
    <t>319 -  Other Income**</t>
  </si>
  <si>
    <t>* ENGLP has segregated USoA Account 301 into two separate categories: 1.) Operating Expenses and; 2.) Cost of Gas &amp; Supply. This line represents the operating expense only.</t>
  </si>
  <si>
    <t>** Includes Gain / Loss of sale of assets. ENGLP is not forecasting any gain or losses in the Test Year.</t>
  </si>
  <si>
    <t>EPCOR Natural Gas Limited Partnership - SB</t>
  </si>
  <si>
    <t>Operational Support / Other</t>
  </si>
  <si>
    <t>Cost Reclass (Other)</t>
  </si>
  <si>
    <t>Other Adjustments (Other)</t>
  </si>
  <si>
    <t>Other Services / Inflation (Other)</t>
  </si>
  <si>
    <t>($000's)</t>
  </si>
  <si>
    <t>Capital Expenditure Summary
Distribution System Plan Filing Requirements</t>
  </si>
  <si>
    <t>Fixed Asset Continuity Schedule ($)</t>
  </si>
  <si>
    <t>EPCOR Commercial Services Inc.</t>
  </si>
  <si>
    <t>Appendix 4G</t>
  </si>
  <si>
    <t>C</t>
  </si>
  <si>
    <t>D</t>
  </si>
  <si>
    <t>E</t>
  </si>
  <si>
    <t>F</t>
  </si>
  <si>
    <t>G</t>
  </si>
  <si>
    <t>H</t>
  </si>
  <si>
    <t>Service Provided</t>
  </si>
  <si>
    <t>Non-Regulated Operational Support</t>
  </si>
  <si>
    <t>Note 3</t>
  </si>
  <si>
    <t>Total Ontario Affiliate Shared Service Costs</t>
  </si>
  <si>
    <t>Supply Chain Mgmt</t>
  </si>
  <si>
    <t>Training &amp; Development</t>
  </si>
  <si>
    <t>Shared Services and Corporate Cost Allocation</t>
  </si>
  <si>
    <t>Ontario Affiliate Shared Service Costs</t>
  </si>
  <si>
    <r>
      <rPr>
        <b/>
        <sz val="10"/>
        <color theme="1"/>
        <rFont val="Arial"/>
        <family val="2"/>
      </rPr>
      <t>Note 1</t>
    </r>
    <r>
      <rPr>
        <sz val="10"/>
        <color theme="1"/>
        <rFont val="Arial"/>
        <family val="2"/>
      </rPr>
      <t xml:space="preserve"> - EEDO provides all or a portion of these services provided.</t>
    </r>
  </si>
  <si>
    <r>
      <rPr>
        <b/>
        <sz val="10"/>
        <color theme="1"/>
        <rFont val="Arial"/>
        <family val="2"/>
      </rPr>
      <t>Note 2</t>
    </r>
    <r>
      <rPr>
        <sz val="10"/>
        <color theme="1"/>
        <rFont val="Arial"/>
        <family val="2"/>
      </rPr>
      <t xml:space="preserve"> - EEA provides all or a portion of these services provided. Specifically, expenditures related to the call center system (Genesys).</t>
    </r>
  </si>
  <si>
    <r>
      <rPr>
        <b/>
        <sz val="10"/>
        <color theme="1"/>
        <rFont val="Arial"/>
        <family val="2"/>
      </rPr>
      <t>Note 3</t>
    </r>
    <r>
      <rPr>
        <sz val="10"/>
        <color theme="1"/>
        <rFont val="Arial"/>
        <family val="2"/>
      </rPr>
      <t xml:space="preserve"> - Non-regulated support for EPCOR Affiliates.</t>
    </r>
  </si>
  <si>
    <r>
      <rPr>
        <b/>
        <sz val="10"/>
        <color theme="1"/>
        <rFont val="Arial"/>
        <family val="2"/>
      </rPr>
      <t>Note 4</t>
    </r>
    <r>
      <rPr>
        <sz val="10"/>
        <color theme="1"/>
        <rFont val="Arial"/>
        <family val="2"/>
      </rPr>
      <t xml:space="preserve"> - The expenditures / forecast included in row 21 would be related to salary and benefits.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</si>
</sst>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_-;\-* #,##0_-;_-* &quot;-&quot;_-;_-@_-"/>
    <numFmt numFmtId="166" formatCode="0.0%"/>
    <numFmt numFmtId="167" formatCode="_-&quot;$&quot;* #,##0_-;\-&quot;$&quot;* #,##0_-;_-&quot;$&quot;* &quot;-&quot;??_-;_-@_-"/>
    <numFmt numFmtId="168" formatCode="_-* #,##0.00_-;\-* #,##0.00_-;_-* &quot;-&quot;??_-;_-@_-"/>
    <numFmt numFmtId="169" formatCode="_(* #,##0_);_(* \(#,##0\);_(* &quot;-&quot;??_);_(@_)"/>
    <numFmt numFmtId="170" formatCode="\(#\)"/>
    <numFmt numFmtId="171" formatCode="&quot;$&quot;#,##0_);[Red]\(&quot;$&quot;#,##0\);&quot;$&quot;\ \-"/>
    <numFmt numFmtId="172" formatCode="[$-1009]d\-mmm\-yy;@"/>
    <numFmt numFmtId="173" formatCode="_(* #,##0.0_);_(* \(#,##0.0\);_(* &quot;-&quot;??_);_(@_)"/>
    <numFmt numFmtId="174" formatCode="#,##0.0"/>
    <numFmt numFmtId="175" formatCode="mm/dd/yyyy"/>
    <numFmt numFmtId="176" formatCode="0\-0"/>
    <numFmt numFmtId="177" formatCode="##\-#"/>
    <numFmt numFmtId="178" formatCode="&quot;£ &quot;#,##0.00;[Red]\-&quot;£ &quot;#,##0.00"/>
    <numFmt numFmtId="179" formatCode="_-* #,##0.00_-;\-* #,##0.00_-;_-* \-??_-;_-@_-"/>
    <numFmt numFmtId="180" formatCode="_(&quot;$&quot;* #,##0_);_(&quot;$&quot;* \(#,##0\);_(&quot;$&quot;* &quot;-&quot;??_);_(@_)"/>
    <numFmt numFmtId="181" formatCode="&quot;$&quot;#,##0.00"/>
    <numFmt numFmtId="182" formatCode="&quot;$&quot;#,##0.0"/>
    <numFmt numFmtId="183" formatCode="_(* #,##0.0_);_(* \(#,##0.0\);_(* &quot;-&quot;?_);_(@_)"/>
  </numFmts>
  <fonts count="88">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sz val="10"/>
      <name val="Arial"/>
      <family val="2"/>
    </font>
    <font>
      <b/>
      <i/>
      <sz val="10"/>
      <name val="Arial"/>
      <family val="2"/>
    </font>
    <font>
      <b/>
      <sz val="11"/>
      <color rgb="FFFF0000"/>
      <name val="Arial"/>
      <family val="2"/>
    </font>
    <font>
      <b/>
      <i/>
      <sz val="12"/>
      <color rgb="FF0070C0"/>
      <name val="Calibri"/>
      <family val="2"/>
      <scheme val="minor"/>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sz val="10"/>
      <color theme="0"/>
      <name val="Arial"/>
      <family val="2"/>
    </font>
    <font>
      <b/>
      <sz val="14"/>
      <color theme="1"/>
      <name val="Calibri"/>
      <family val="2"/>
      <scheme val="minor"/>
    </font>
    <font>
      <sz val="10"/>
      <color theme="3" tint="0.39997558519241921"/>
      <name val="Arial"/>
      <family val="2"/>
    </font>
    <font>
      <b/>
      <sz val="10"/>
      <color rgb="FFFF0000"/>
      <name val="Arial"/>
      <family val="2"/>
    </font>
    <font>
      <sz val="12"/>
      <name val="Arial"/>
      <family val="2"/>
    </font>
    <font>
      <b/>
      <sz val="11"/>
      <name val="Arial"/>
      <family val="2"/>
    </font>
    <font>
      <b/>
      <u/>
      <sz val="11"/>
      <name val="Arial"/>
      <family val="2"/>
    </font>
    <font>
      <b/>
      <i/>
      <sz val="9"/>
      <name val="Arial"/>
      <family val="2"/>
    </font>
    <font>
      <u/>
      <sz val="10"/>
      <color indexed="12"/>
      <name val="Arial"/>
      <family val="2"/>
    </font>
    <font>
      <sz val="10"/>
      <name val="Arial"/>
      <family val="2"/>
    </font>
    <font>
      <sz val="11"/>
      <name val="Arial"/>
      <family val="2"/>
    </font>
    <font>
      <sz val="11"/>
      <color indexed="8"/>
      <name val="Calibri"/>
      <family val="2"/>
    </font>
    <font>
      <sz val="11"/>
      <color theme="1"/>
      <name val="Arial"/>
      <family val="2"/>
    </font>
    <font>
      <b/>
      <u/>
      <sz val="10"/>
      <name val="Arial"/>
      <family val="2"/>
    </font>
    <font>
      <b/>
      <i/>
      <sz val="9"/>
      <color rgb="FFFF0000"/>
      <name val="Arial"/>
      <family val="2"/>
    </font>
    <font>
      <u/>
      <sz val="10"/>
      <name val="Arial"/>
      <family val="2"/>
    </font>
    <font>
      <sz val="14"/>
      <color indexed="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Arial"/>
      <family val="2"/>
    </font>
    <font>
      <b/>
      <sz val="18"/>
      <color theme="3"/>
      <name val="Calibri Light"/>
      <family val="2"/>
      <scheme val="major"/>
    </font>
    <font>
      <sz val="10"/>
      <name val="Mangal"/>
      <family val="2"/>
      <charset val="1"/>
    </font>
    <font>
      <sz val="11"/>
      <color theme="1"/>
      <name val="Calibri"/>
      <family val="2"/>
    </font>
    <font>
      <sz val="10"/>
      <color theme="1"/>
      <name val="Arial"/>
      <family val="2"/>
    </font>
    <font>
      <b/>
      <sz val="10"/>
      <color theme="1"/>
      <name val="Arial"/>
      <family val="2"/>
    </font>
    <font>
      <sz val="11"/>
      <color indexed="8"/>
      <name val="Arial"/>
      <family val="2"/>
    </font>
    <font>
      <u/>
      <sz val="11"/>
      <name val="Arial"/>
      <family val="2"/>
    </font>
    <font>
      <i/>
      <sz val="11"/>
      <name val="Arial"/>
      <family val="2"/>
    </font>
    <font>
      <i/>
      <sz val="11"/>
      <color theme="1"/>
      <name val="Arial"/>
      <family val="2"/>
    </font>
    <font>
      <i/>
      <u/>
      <sz val="11"/>
      <name val="Arial"/>
      <family val="2"/>
    </font>
    <font>
      <b/>
      <i/>
      <sz val="11"/>
      <name val="Arial"/>
      <family val="2"/>
    </font>
    <font>
      <b/>
      <i/>
      <sz val="11"/>
      <color theme="1"/>
      <name val="Arial"/>
      <family val="2"/>
    </font>
    <font>
      <sz val="14"/>
      <name val="Arial"/>
      <family val="2"/>
    </font>
    <font>
      <sz val="11"/>
      <color rgb="FFFF0000"/>
      <name val="Arial"/>
      <family val="2"/>
    </font>
    <font>
      <b/>
      <sz val="12"/>
      <color rgb="FFFF0000"/>
      <name val="Arial"/>
      <family val="2"/>
    </font>
    <font>
      <b/>
      <u/>
      <sz val="10"/>
      <color theme="1"/>
      <name val="Arial"/>
      <family val="2"/>
    </font>
    <font>
      <i/>
      <sz val="10"/>
      <color theme="1"/>
      <name val="Arial"/>
      <family val="2"/>
    </font>
    <font>
      <sz val="8"/>
      <color theme="1"/>
      <name val="Arial"/>
      <family val="2"/>
    </font>
    <font>
      <sz val="11"/>
      <color rgb="FF000000"/>
      <name val="Arial"/>
      <family val="2"/>
    </font>
  </fonts>
  <fills count="6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theme="7" tint="0.59999389629810485"/>
        <bgColor indexed="64"/>
      </patternFill>
    </fill>
    <fill>
      <patternFill patternType="solid">
        <fgColor theme="2" tint="-9.9978637043366805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diagonal/>
    </border>
  </borders>
  <cellStyleXfs count="150">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12" fillId="0" borderId="0"/>
    <xf numFmtId="0" fontId="29" fillId="0" borderId="0" applyNumberFormat="0" applyFill="0" applyBorder="0" applyAlignment="0" applyProtection="0">
      <alignment vertical="top"/>
      <protection locked="0"/>
    </xf>
    <xf numFmtId="164" fontId="7"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0" fontId="32" fillId="0" borderId="0"/>
    <xf numFmtId="0" fontId="7" fillId="0" borderId="0"/>
    <xf numFmtId="0" fontId="7" fillId="0" borderId="0"/>
    <xf numFmtId="0" fontId="7" fillId="0" borderId="0"/>
    <xf numFmtId="0" fontId="30" fillId="0" borderId="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8" borderId="0" applyNumberFormat="0" applyBorder="0" applyAlignment="0" applyProtection="0"/>
    <xf numFmtId="0" fontId="52" fillId="49" borderId="0" applyNumberFormat="0" applyBorder="0" applyAlignment="0" applyProtection="0"/>
    <xf numFmtId="0" fontId="52" fillId="46" borderId="0" applyNumberFormat="0" applyBorder="0" applyAlignment="0" applyProtection="0"/>
    <xf numFmtId="0" fontId="52" fillId="47"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6" borderId="0" applyNumberFormat="0" applyBorder="0" applyAlignment="0" applyProtection="0"/>
    <xf numFmtId="0" fontId="53" fillId="40" borderId="0" applyNumberFormat="0" applyBorder="0" applyAlignment="0" applyProtection="0"/>
    <xf numFmtId="0" fontId="54" fillId="57" borderId="73" applyNumberFormat="0" applyAlignment="0" applyProtection="0"/>
    <xf numFmtId="0" fontId="55" fillId="58" borderId="74" applyNumberFormat="0" applyAlignment="0" applyProtection="0"/>
    <xf numFmtId="168" fontId="12" fillId="0" borderId="0" applyFont="0" applyFill="0" applyBorder="0" applyAlignment="0" applyProtection="0"/>
    <xf numFmtId="164" fontId="12" fillId="0" borderId="0" applyFont="0" applyFill="0" applyBorder="0" applyAlignment="0" applyProtection="0"/>
    <xf numFmtId="0" fontId="56" fillId="0" borderId="0" applyNumberFormat="0" applyFill="0" applyBorder="0" applyAlignment="0" applyProtection="0"/>
    <xf numFmtId="0" fontId="57" fillId="41" borderId="0" applyNumberFormat="0" applyBorder="0" applyAlignment="0" applyProtection="0"/>
    <xf numFmtId="0" fontId="58" fillId="0" borderId="75" applyNumberFormat="0" applyFill="0" applyAlignment="0" applyProtection="0"/>
    <xf numFmtId="0" fontId="59" fillId="0" borderId="76" applyNumberFormat="0" applyFill="0" applyAlignment="0" applyProtection="0"/>
    <xf numFmtId="0" fontId="60" fillId="0" borderId="77" applyNumberFormat="0" applyFill="0" applyAlignment="0" applyProtection="0"/>
    <xf numFmtId="0" fontId="60" fillId="0" borderId="0" applyNumberFormat="0" applyFill="0" applyBorder="0" applyAlignment="0" applyProtection="0"/>
    <xf numFmtId="0" fontId="61" fillId="44" borderId="73" applyNumberFormat="0" applyAlignment="0" applyProtection="0"/>
    <xf numFmtId="0" fontId="62" fillId="0" borderId="78" applyNumberFormat="0" applyFill="0" applyAlignment="0" applyProtection="0"/>
    <xf numFmtId="0" fontId="63" fillId="59" borderId="0" applyNumberFormat="0" applyBorder="0" applyAlignment="0" applyProtection="0"/>
    <xf numFmtId="0" fontId="12" fillId="60" borderId="79" applyNumberFormat="0" applyFont="0" applyAlignment="0" applyProtection="0"/>
    <xf numFmtId="0" fontId="64" fillId="57" borderId="80" applyNumberFormat="0" applyAlignment="0" applyProtection="0"/>
    <xf numFmtId="9" fontId="12" fillId="0" borderId="0" applyFont="0" applyFill="0" applyBorder="0" applyAlignment="0" applyProtection="0"/>
    <xf numFmtId="0" fontId="65" fillId="0" borderId="0" applyNumberFormat="0" applyFill="0" applyBorder="0" applyAlignment="0" applyProtection="0"/>
    <xf numFmtId="0" fontId="66" fillId="0" borderId="81" applyNumberFormat="0" applyFill="0" applyAlignment="0" applyProtection="0"/>
    <xf numFmtId="0" fontId="67" fillId="0" borderId="0" applyNumberFormat="0" applyFill="0" applyBorder="0" applyAlignment="0" applyProtection="0"/>
    <xf numFmtId="0" fontId="69" fillId="0" borderId="0" applyNumberFormat="0" applyFill="0" applyBorder="0" applyAlignment="0" applyProtection="0"/>
    <xf numFmtId="0" fontId="39" fillId="0" borderId="65" applyNumberFormat="0" applyFill="0" applyAlignment="0" applyProtection="0"/>
    <xf numFmtId="0" fontId="38" fillId="0" borderId="64" applyNumberFormat="0" applyFill="0" applyAlignment="0" applyProtection="0"/>
    <xf numFmtId="0" fontId="40" fillId="0" borderId="66" applyNumberFormat="0" applyFill="0" applyAlignment="0" applyProtection="0"/>
    <xf numFmtId="0" fontId="40" fillId="0" borderId="0" applyNumberFormat="0" applyFill="0" applyBorder="0" applyAlignment="0" applyProtection="0"/>
    <xf numFmtId="0" fontId="41" fillId="8" borderId="0" applyNumberFormat="0" applyBorder="0" applyAlignment="0" applyProtection="0"/>
    <xf numFmtId="0" fontId="42" fillId="9" borderId="0" applyNumberFormat="0" applyBorder="0" applyAlignment="0" applyProtection="0"/>
    <xf numFmtId="0" fontId="43" fillId="10" borderId="0" applyNumberFormat="0" applyBorder="0" applyAlignment="0" applyProtection="0"/>
    <xf numFmtId="0" fontId="44" fillId="11" borderId="67" applyNumberFormat="0" applyAlignment="0" applyProtection="0"/>
    <xf numFmtId="0" fontId="45" fillId="12" borderId="68" applyNumberFormat="0" applyAlignment="0" applyProtection="0"/>
    <xf numFmtId="0" fontId="46" fillId="12" borderId="67" applyNumberFormat="0" applyAlignment="0" applyProtection="0"/>
    <xf numFmtId="0" fontId="47" fillId="0" borderId="69" applyNumberFormat="0" applyFill="0" applyAlignment="0" applyProtection="0"/>
    <xf numFmtId="0" fontId="48" fillId="13" borderId="70" applyNumberFormat="0" applyAlignment="0" applyProtection="0"/>
    <xf numFmtId="0" fontId="49" fillId="0" borderId="0" applyNumberFormat="0" applyFill="0" applyBorder="0" applyAlignment="0" applyProtection="0"/>
    <xf numFmtId="0" fontId="7" fillId="14" borderId="71" applyNumberFormat="0" applyFont="0" applyAlignment="0" applyProtection="0"/>
    <xf numFmtId="0" fontId="50" fillId="0" borderId="0" applyNumberFormat="0" applyFill="0" applyBorder="0" applyAlignment="0" applyProtection="0"/>
    <xf numFmtId="0" fontId="8" fillId="0" borderId="72" applyNumberFormat="0" applyFill="0" applyAlignment="0" applyProtection="0"/>
    <xf numFmtId="0" fontId="51"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51" fillId="34" borderId="0" applyNumberFormat="0" applyBorder="0" applyAlignment="0" applyProtection="0"/>
    <xf numFmtId="0" fontId="51"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51" fillId="38" borderId="0" applyNumberFormat="0" applyBorder="0" applyAlignment="0" applyProtection="0"/>
    <xf numFmtId="168"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73" fontId="12" fillId="0" borderId="0"/>
    <xf numFmtId="174" fontId="12" fillId="0" borderId="0"/>
    <xf numFmtId="173" fontId="12" fillId="0" borderId="0"/>
    <xf numFmtId="173" fontId="12" fillId="0" borderId="0"/>
    <xf numFmtId="173" fontId="12" fillId="0" borderId="0"/>
    <xf numFmtId="173" fontId="12" fillId="0" borderId="0"/>
    <xf numFmtId="175" fontId="12" fillId="0" borderId="0"/>
    <xf numFmtId="176" fontId="12" fillId="0" borderId="0"/>
    <xf numFmtId="175" fontId="12" fillId="0" borderId="0"/>
    <xf numFmtId="3" fontId="12"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2" fontId="12" fillId="0" borderId="0" applyFont="0" applyFill="0" applyBorder="0" applyAlignment="0" applyProtection="0"/>
    <xf numFmtId="38" fontId="10" fillId="7" borderId="0" applyNumberFormat="0" applyBorder="0" applyAlignment="0" applyProtection="0"/>
    <xf numFmtId="10" fontId="10" fillId="61" borderId="1" applyNumberFormat="0" applyBorder="0" applyAlignment="0" applyProtection="0"/>
    <xf numFmtId="177" fontId="12" fillId="0" borderId="0"/>
    <xf numFmtId="169" fontId="12" fillId="0" borderId="0"/>
    <xf numFmtId="177" fontId="12" fillId="0" borderId="0"/>
    <xf numFmtId="177" fontId="12" fillId="0" borderId="0"/>
    <xf numFmtId="177" fontId="12" fillId="0" borderId="0"/>
    <xf numFmtId="177" fontId="12" fillId="0" borderId="0"/>
    <xf numFmtId="178" fontId="12" fillId="0" borderId="0"/>
    <xf numFmtId="10" fontId="12" fillId="0" borderId="0" applyFont="0" applyFill="0" applyBorder="0" applyAlignment="0" applyProtection="0"/>
    <xf numFmtId="0" fontId="7" fillId="0" borderId="0"/>
    <xf numFmtId="168" fontId="7" fillId="0" borderId="0" applyFont="0" applyFill="0" applyBorder="0" applyAlignment="0" applyProtection="0"/>
    <xf numFmtId="9" fontId="7" fillId="0" borderId="0" applyFont="0" applyFill="0" applyBorder="0" applyAlignment="0" applyProtection="0"/>
    <xf numFmtId="164" fontId="12" fillId="0" borderId="0" applyFont="0" applyFill="0" applyBorder="0" applyAlignment="0" applyProtection="0"/>
    <xf numFmtId="0" fontId="7" fillId="0" borderId="0"/>
    <xf numFmtId="168" fontId="7" fillId="0" borderId="0" applyFont="0" applyFill="0" applyBorder="0" applyAlignment="0" applyProtection="0"/>
    <xf numFmtId="9" fontId="7" fillId="0" borderId="0" applyFont="0" applyFill="0" applyBorder="0" applyAlignment="0" applyProtection="0"/>
    <xf numFmtId="0" fontId="7" fillId="0" borderId="0"/>
    <xf numFmtId="164" fontId="12" fillId="0" borderId="0" applyFont="0" applyFill="0" applyBorder="0" applyAlignment="0" applyProtection="0"/>
    <xf numFmtId="179" fontId="70" fillId="0" borderId="0" applyFill="0" applyBorder="0" applyAlignment="0" applyProtection="0"/>
    <xf numFmtId="9" fontId="70" fillId="0" borderId="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0" fontId="71" fillId="0" borderId="0"/>
    <xf numFmtId="0" fontId="71"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cellStyleXfs>
  <cellXfs count="650">
    <xf numFmtId="0" fontId="0" fillId="0" borderId="0" xfId="0"/>
    <xf numFmtId="0" fontId="0" fillId="0" borderId="0" xfId="0" applyProtection="1">
      <protection locked="0"/>
    </xf>
    <xf numFmtId="0" fontId="9" fillId="0" borderId="0" xfId="0" applyFont="1" applyProtection="1">
      <protection locked="0"/>
    </xf>
    <xf numFmtId="0" fontId="11" fillId="0" borderId="0" xfId="0" applyFont="1" applyAlignment="1" applyProtection="1">
      <protection locked="0"/>
    </xf>
    <xf numFmtId="0" fontId="9" fillId="0" borderId="0" xfId="0" applyFont="1" applyAlignment="1" applyProtection="1">
      <alignment horizontal="right"/>
      <protection locked="0"/>
    </xf>
    <xf numFmtId="0" fontId="9" fillId="3" borderId="5" xfId="0" applyFont="1" applyFill="1" applyBorder="1" applyAlignment="1" applyProtection="1">
      <alignment horizontal="center"/>
      <protection locked="0"/>
    </xf>
    <xf numFmtId="3" fontId="9" fillId="0" borderId="11" xfId="0" applyNumberFormat="1" applyFont="1" applyFill="1" applyBorder="1" applyProtection="1">
      <protection locked="0"/>
    </xf>
    <xf numFmtId="0" fontId="0" fillId="0" borderId="0" xfId="0" applyProtection="1"/>
    <xf numFmtId="0" fontId="12" fillId="0" borderId="0" xfId="0" applyFont="1" applyFill="1" applyProtection="1"/>
    <xf numFmtId="0" fontId="15" fillId="0" borderId="0" xfId="0" applyFont="1" applyAlignment="1" applyProtection="1">
      <alignment horizontal="center" vertical="center"/>
    </xf>
    <xf numFmtId="0" fontId="21" fillId="4" borderId="0" xfId="0" applyFont="1" applyFill="1" applyProtection="1"/>
    <xf numFmtId="0" fontId="9" fillId="0" borderId="0" xfId="4" applyFont="1" applyAlignment="1" applyProtection="1">
      <alignment horizontal="right"/>
      <protection locked="0"/>
    </xf>
    <xf numFmtId="0" fontId="10" fillId="0" borderId="0" xfId="4" applyFont="1" applyAlignment="1" applyProtection="1">
      <alignment vertical="top"/>
      <protection locked="0"/>
    </xf>
    <xf numFmtId="0" fontId="24" fillId="0" borderId="0" xfId="0" applyFont="1" applyProtection="1">
      <protection locked="0"/>
    </xf>
    <xf numFmtId="0" fontId="12" fillId="0" borderId="0" xfId="4" applyAlignment="1" applyProtection="1">
      <alignment horizontal="center"/>
      <protection locked="0"/>
    </xf>
    <xf numFmtId="0" fontId="12" fillId="0" borderId="0" xfId="4" applyProtection="1">
      <protection locked="0"/>
    </xf>
    <xf numFmtId="0" fontId="12" fillId="0" borderId="0" xfId="4" applyBorder="1" applyProtection="1">
      <protection locked="0"/>
    </xf>
    <xf numFmtId="0" fontId="9" fillId="0" borderId="0" xfId="4" applyFont="1" applyProtection="1">
      <protection locked="0"/>
    </xf>
    <xf numFmtId="0" fontId="12" fillId="0" borderId="0" xfId="4" applyFont="1" applyAlignment="1" applyProtection="1">
      <alignment horizontal="left"/>
      <protection locked="0"/>
    </xf>
    <xf numFmtId="0" fontId="12" fillId="0" borderId="0" xfId="4" applyFont="1" applyProtection="1">
      <protection locked="0"/>
    </xf>
    <xf numFmtId="0" fontId="12" fillId="0" borderId="0" xfId="4" applyAlignment="1" applyProtection="1">
      <alignment horizontal="left"/>
      <protection locked="0"/>
    </xf>
    <xf numFmtId="0" fontId="0" fillId="3" borderId="0" xfId="0" applyNumberFormat="1" applyFill="1" applyBorder="1" applyAlignment="1" applyProtection="1">
      <alignment horizontal="center" vertical="center"/>
      <protection locked="0"/>
    </xf>
    <xf numFmtId="0" fontId="26" fillId="0" borderId="16" xfId="4" applyFont="1" applyFill="1" applyBorder="1" applyAlignment="1" applyProtection="1">
      <alignment horizontal="center"/>
    </xf>
    <xf numFmtId="0" fontId="27" fillId="0" borderId="0" xfId="4" applyFont="1" applyAlignment="1" applyProtection="1">
      <alignment horizontal="center"/>
      <protection locked="0"/>
    </xf>
    <xf numFmtId="0" fontId="12" fillId="5" borderId="18" xfId="4" applyFill="1" applyBorder="1" applyProtection="1">
      <protection locked="0"/>
    </xf>
    <xf numFmtId="0" fontId="9" fillId="5" borderId="19" xfId="4" applyFont="1" applyFill="1" applyBorder="1" applyAlignment="1" applyProtection="1">
      <protection locked="0"/>
    </xf>
    <xf numFmtId="0" fontId="9" fillId="5" borderId="6" xfId="4" applyFont="1" applyFill="1" applyBorder="1" applyAlignment="1" applyProtection="1">
      <protection locked="0"/>
    </xf>
    <xf numFmtId="0" fontId="9" fillId="5" borderId="1" xfId="4" applyFont="1" applyFill="1" applyBorder="1" applyAlignment="1" applyProtection="1">
      <alignment horizontal="center" wrapText="1"/>
      <protection locked="0"/>
    </xf>
    <xf numFmtId="0" fontId="9" fillId="5" borderId="1" xfId="4" applyFont="1" applyFill="1" applyBorder="1" applyProtection="1">
      <protection locked="0"/>
    </xf>
    <xf numFmtId="0" fontId="9" fillId="5" borderId="1" xfId="4" applyFont="1" applyFill="1" applyBorder="1" applyAlignment="1" applyProtection="1">
      <alignment horizontal="center"/>
      <protection locked="0"/>
    </xf>
    <xf numFmtId="0" fontId="12" fillId="5" borderId="8" xfId="4" applyFill="1" applyBorder="1" applyProtection="1">
      <protection locked="0"/>
    </xf>
    <xf numFmtId="0" fontId="9" fillId="5" borderId="5" xfId="4" applyFont="1" applyFill="1" applyBorder="1" applyAlignment="1" applyProtection="1">
      <alignment horizontal="center"/>
      <protection locked="0"/>
    </xf>
    <xf numFmtId="0" fontId="9" fillId="5" borderId="5" xfId="4" applyFont="1" applyFill="1" applyBorder="1" applyAlignment="1" applyProtection="1">
      <alignment horizontal="center" wrapText="1"/>
      <protection locked="0"/>
    </xf>
    <xf numFmtId="0" fontId="12" fillId="0" borderId="1" xfId="4" applyBorder="1" applyAlignment="1" applyProtection="1">
      <alignment horizontal="center" vertical="center"/>
      <protection locked="0"/>
    </xf>
    <xf numFmtId="0" fontId="12" fillId="0" borderId="1" xfId="4" applyFont="1" applyBorder="1" applyAlignment="1" applyProtection="1">
      <alignment vertical="center" wrapText="1"/>
      <protection locked="0"/>
    </xf>
    <xf numFmtId="167" fontId="0" fillId="2" borderId="1" xfId="2" applyNumberFormat="1" applyFont="1" applyFill="1" applyBorder="1" applyProtection="1">
      <protection locked="0"/>
    </xf>
    <xf numFmtId="167" fontId="0" fillId="0" borderId="1" xfId="2" applyNumberFormat="1" applyFont="1" applyBorder="1" applyProtection="1"/>
    <xf numFmtId="167" fontId="0" fillId="2" borderId="6" xfId="2" applyNumberFormat="1" applyFont="1" applyFill="1" applyBorder="1" applyProtection="1">
      <protection locked="0"/>
    </xf>
    <xf numFmtId="167" fontId="12" fillId="0" borderId="1" xfId="4" applyNumberFormat="1" applyBorder="1" applyProtection="1"/>
    <xf numFmtId="0" fontId="12" fillId="0" borderId="0" xfId="4" applyProtection="1"/>
    <xf numFmtId="0" fontId="12" fillId="0" borderId="1" xfId="4" applyFill="1" applyBorder="1" applyAlignment="1" applyProtection="1">
      <alignment horizontal="center" vertical="center"/>
      <protection locked="0"/>
    </xf>
    <xf numFmtId="0" fontId="12" fillId="0" borderId="8" xfId="4" applyBorder="1" applyProtection="1">
      <protection locked="0"/>
    </xf>
    <xf numFmtId="0" fontId="12" fillId="0" borderId="1" xfId="4" applyFill="1" applyBorder="1" applyAlignment="1" applyProtection="1">
      <alignment vertical="center" wrapText="1"/>
      <protection locked="0"/>
    </xf>
    <xf numFmtId="0" fontId="12" fillId="0" borderId="1" xfId="4" applyBorder="1" applyAlignment="1" applyProtection="1">
      <alignment vertical="center" wrapText="1"/>
      <protection locked="0"/>
    </xf>
    <xf numFmtId="0" fontId="12" fillId="0" borderId="1" xfId="4" applyFont="1" applyFill="1" applyBorder="1" applyAlignment="1" applyProtection="1">
      <alignment horizontal="center" vertical="center"/>
      <protection locked="0"/>
    </xf>
    <xf numFmtId="167" fontId="0" fillId="2" borderId="0" xfId="2" applyNumberFormat="1" applyFont="1" applyFill="1" applyProtection="1">
      <protection locked="0"/>
    </xf>
    <xf numFmtId="0" fontId="12" fillId="0" borderId="1" xfId="4" applyFont="1" applyFill="1" applyBorder="1" applyAlignment="1" applyProtection="1">
      <alignment vertical="center" wrapText="1"/>
      <protection locked="0"/>
    </xf>
    <xf numFmtId="0" fontId="12" fillId="0" borderId="1" xfId="4" applyFont="1" applyBorder="1" applyAlignment="1" applyProtection="1">
      <alignment horizontal="center" vertical="center"/>
      <protection locked="0"/>
    </xf>
    <xf numFmtId="0" fontId="12" fillId="0" borderId="0" xfId="4" applyFill="1" applyAlignment="1" applyProtection="1">
      <alignment horizontal="center"/>
      <protection locked="0"/>
    </xf>
    <xf numFmtId="0" fontId="12" fillId="0" borderId="1" xfId="4" applyBorder="1" applyAlignment="1" applyProtection="1">
      <alignment horizontal="left" vertical="center"/>
      <protection locked="0"/>
    </xf>
    <xf numFmtId="0" fontId="12" fillId="0" borderId="1" xfId="4" applyBorder="1" applyAlignment="1" applyProtection="1">
      <alignment horizontal="center"/>
      <protection locked="0"/>
    </xf>
    <xf numFmtId="0" fontId="12" fillId="0" borderId="1" xfId="4" applyBorder="1" applyProtection="1">
      <protection locked="0"/>
    </xf>
    <xf numFmtId="0" fontId="12" fillId="2" borderId="1" xfId="4" applyFill="1" applyBorder="1" applyProtection="1">
      <protection locked="0"/>
    </xf>
    <xf numFmtId="0" fontId="9" fillId="0" borderId="1" xfId="4" applyFont="1" applyBorder="1" applyProtection="1">
      <protection locked="0"/>
    </xf>
    <xf numFmtId="167" fontId="9" fillId="0" borderId="1" xfId="4" applyNumberFormat="1" applyFont="1" applyBorder="1" applyProtection="1"/>
    <xf numFmtId="167" fontId="9" fillId="0" borderId="1" xfId="4" applyNumberFormat="1" applyFont="1" applyBorder="1" applyProtection="1">
      <protection locked="0"/>
    </xf>
    <xf numFmtId="0" fontId="9" fillId="0" borderId="1" xfId="4" applyFont="1" applyBorder="1" applyAlignment="1" applyProtection="1">
      <alignment vertical="center" wrapText="1"/>
      <protection locked="0"/>
    </xf>
    <xf numFmtId="0" fontId="13" fillId="0" borderId="1" xfId="4" applyFont="1" applyBorder="1" applyAlignment="1" applyProtection="1">
      <alignment vertical="top" wrapText="1"/>
      <protection locked="0"/>
    </xf>
    <xf numFmtId="0" fontId="9" fillId="0" borderId="18" xfId="4" applyFont="1" applyBorder="1" applyProtection="1">
      <protection locked="0"/>
    </xf>
    <xf numFmtId="0" fontId="12" fillId="0" borderId="0" xfId="4" applyFill="1" applyBorder="1" applyProtection="1">
      <protection locked="0"/>
    </xf>
    <xf numFmtId="167" fontId="0" fillId="0" borderId="0" xfId="2" applyNumberFormat="1" applyFont="1" applyFill="1" applyBorder="1" applyProtection="1">
      <protection locked="0"/>
    </xf>
    <xf numFmtId="167" fontId="12" fillId="0" borderId="0" xfId="4" applyNumberFormat="1" applyFill="1" applyBorder="1" applyProtection="1">
      <protection locked="0"/>
    </xf>
    <xf numFmtId="0" fontId="12" fillId="0" borderId="0" xfId="4" applyFont="1" applyAlignment="1" applyProtection="1">
      <protection locked="0"/>
    </xf>
    <xf numFmtId="0" fontId="12" fillId="0" borderId="0" xfId="4" applyAlignment="1" applyProtection="1">
      <protection locked="0"/>
    </xf>
    <xf numFmtId="0" fontId="12" fillId="0" borderId="18" xfId="4" applyBorder="1" applyProtection="1">
      <protection locked="0"/>
    </xf>
    <xf numFmtId="0" fontId="12" fillId="0" borderId="19" xfId="4" applyBorder="1" applyProtection="1">
      <protection locked="0"/>
    </xf>
    <xf numFmtId="0" fontId="12" fillId="0" borderId="19" xfId="4" applyBorder="1" applyAlignment="1" applyProtection="1">
      <protection locked="0"/>
    </xf>
    <xf numFmtId="167" fontId="9" fillId="0" borderId="6" xfId="4" applyNumberFormat="1" applyFont="1" applyBorder="1" applyProtection="1"/>
    <xf numFmtId="167" fontId="0" fillId="0" borderId="1" xfId="2" applyNumberFormat="1" applyFont="1" applyFill="1" applyBorder="1" applyProtection="1">
      <protection locked="0"/>
    </xf>
    <xf numFmtId="167" fontId="0" fillId="0" borderId="6" xfId="2" applyNumberFormat="1" applyFont="1" applyFill="1" applyBorder="1" applyProtection="1">
      <protection locked="0"/>
    </xf>
    <xf numFmtId="167" fontId="9" fillId="0" borderId="1" xfId="4" applyNumberFormat="1" applyFont="1" applyFill="1" applyBorder="1" applyProtection="1"/>
    <xf numFmtId="0" fontId="11" fillId="0" borderId="0" xfId="4" applyFont="1" applyProtection="1">
      <protection locked="0"/>
    </xf>
    <xf numFmtId="0" fontId="9" fillId="0" borderId="0" xfId="4" applyFont="1" applyAlignment="1" applyProtection="1">
      <alignment vertical="top" wrapText="1"/>
      <protection locked="0"/>
    </xf>
    <xf numFmtId="0" fontId="9" fillId="0" borderId="0" xfId="4" applyFont="1" applyAlignment="1" applyProtection="1">
      <alignment horizontal="center"/>
      <protection locked="0"/>
    </xf>
    <xf numFmtId="0" fontId="9" fillId="4" borderId="47" xfId="4" applyFont="1" applyFill="1" applyBorder="1" applyAlignment="1" applyProtection="1">
      <alignment horizontal="center"/>
    </xf>
    <xf numFmtId="0" fontId="12" fillId="2" borderId="49" xfId="4" applyFill="1" applyBorder="1" applyAlignment="1" applyProtection="1">
      <alignment horizontal="left" wrapText="1"/>
      <protection locked="0"/>
    </xf>
    <xf numFmtId="167" fontId="7" fillId="2" borderId="26" xfId="2" applyNumberFormat="1" applyFill="1" applyBorder="1" applyProtection="1">
      <protection locked="0"/>
    </xf>
    <xf numFmtId="0" fontId="12" fillId="2" borderId="50" xfId="4" applyFill="1" applyBorder="1" applyAlignment="1" applyProtection="1">
      <alignment horizontal="left" wrapText="1"/>
      <protection locked="0"/>
    </xf>
    <xf numFmtId="167" fontId="7" fillId="2" borderId="27" xfId="2" applyNumberFormat="1" applyFill="1" applyBorder="1" applyProtection="1">
      <protection locked="0"/>
    </xf>
    <xf numFmtId="0" fontId="9" fillId="0" borderId="12" xfId="4" applyFont="1" applyBorder="1" applyAlignment="1" applyProtection="1">
      <alignment vertical="top"/>
      <protection locked="0"/>
    </xf>
    <xf numFmtId="167" fontId="7" fillId="0" borderId="51" xfId="2" applyNumberFormat="1" applyBorder="1" applyProtection="1">
      <protection locked="0"/>
    </xf>
    <xf numFmtId="0" fontId="9" fillId="0" borderId="0" xfId="4" applyFont="1" applyBorder="1" applyAlignment="1" applyProtection="1">
      <alignment vertical="top"/>
      <protection locked="0"/>
    </xf>
    <xf numFmtId="167" fontId="7" fillId="0" borderId="0" xfId="2" applyNumberFormat="1" applyBorder="1" applyProtection="1">
      <protection locked="0"/>
    </xf>
    <xf numFmtId="167" fontId="7" fillId="0" borderId="0" xfId="2" applyNumberFormat="1" applyFill="1" applyBorder="1" applyProtection="1">
      <protection locked="0"/>
    </xf>
    <xf numFmtId="0" fontId="9" fillId="0" borderId="0" xfId="4" applyFont="1" applyFill="1" applyBorder="1" applyAlignment="1" applyProtection="1">
      <alignment vertical="top"/>
      <protection locked="0"/>
    </xf>
    <xf numFmtId="0" fontId="9" fillId="0" borderId="37" xfId="4" applyFont="1" applyFill="1" applyBorder="1" applyAlignment="1" applyProtection="1">
      <alignment horizontal="center"/>
      <protection locked="0"/>
    </xf>
    <xf numFmtId="0" fontId="9" fillId="0" borderId="15" xfId="4" applyFont="1" applyFill="1" applyBorder="1" applyAlignment="1" applyProtection="1">
      <alignment horizontal="center"/>
      <protection locked="0"/>
    </xf>
    <xf numFmtId="0" fontId="9" fillId="0" borderId="38" xfId="4" applyFont="1" applyFill="1" applyBorder="1" applyAlignment="1" applyProtection="1">
      <alignment horizontal="center"/>
      <protection locked="0"/>
    </xf>
    <xf numFmtId="0" fontId="9" fillId="0" borderId="52" xfId="4" applyFont="1" applyFill="1" applyBorder="1" applyAlignment="1" applyProtection="1">
      <alignment horizontal="center"/>
      <protection locked="0"/>
    </xf>
    <xf numFmtId="0" fontId="12" fillId="0" borderId="52" xfId="4" applyBorder="1" applyAlignment="1" applyProtection="1">
      <alignment horizontal="left" wrapText="1"/>
      <protection locked="0"/>
    </xf>
    <xf numFmtId="167" fontId="12" fillId="2" borderId="48" xfId="2" applyNumberFormat="1" applyFont="1" applyFill="1" applyBorder="1" applyAlignment="1" applyProtection="1">
      <alignment horizontal="center"/>
      <protection locked="0"/>
    </xf>
    <xf numFmtId="167" fontId="7" fillId="3" borderId="54" xfId="2" applyNumberFormat="1" applyFill="1" applyBorder="1" applyProtection="1">
      <protection locked="0"/>
    </xf>
    <xf numFmtId="0" fontId="12" fillId="0" borderId="54" xfId="4" applyBorder="1" applyAlignment="1" applyProtection="1">
      <alignment horizontal="left" wrapText="1"/>
      <protection locked="0"/>
    </xf>
    <xf numFmtId="0" fontId="12" fillId="0" borderId="55" xfId="4" applyBorder="1" applyAlignment="1" applyProtection="1">
      <alignment horizontal="left" wrapText="1"/>
      <protection locked="0"/>
    </xf>
    <xf numFmtId="0" fontId="12" fillId="2" borderId="55" xfId="4" applyFill="1" applyBorder="1" applyAlignment="1" applyProtection="1">
      <alignment horizontal="left" wrapText="1"/>
      <protection locked="0"/>
    </xf>
    <xf numFmtId="167" fontId="12" fillId="2" borderId="50" xfId="2" applyNumberFormat="1" applyFont="1" applyFill="1" applyBorder="1" applyProtection="1">
      <protection locked="0"/>
    </xf>
    <xf numFmtId="167" fontId="7" fillId="3" borderId="55" xfId="2" applyNumberFormat="1" applyFill="1" applyBorder="1" applyProtection="1">
      <protection locked="0"/>
    </xf>
    <xf numFmtId="0" fontId="12" fillId="2" borderId="56" xfId="4" applyFill="1" applyBorder="1" applyAlignment="1" applyProtection="1">
      <alignment horizontal="left" wrapText="1"/>
      <protection locked="0"/>
    </xf>
    <xf numFmtId="167" fontId="12" fillId="2" borderId="49" xfId="2" applyNumberFormat="1" applyFont="1" applyFill="1" applyBorder="1" applyProtection="1">
      <protection locked="0"/>
    </xf>
    <xf numFmtId="0" fontId="9" fillId="0" borderId="17" xfId="4" applyFont="1" applyBorder="1" applyAlignment="1" applyProtection="1">
      <alignment vertical="top"/>
      <protection locked="0"/>
    </xf>
    <xf numFmtId="167" fontId="7" fillId="0" borderId="57" xfId="2" applyNumberFormat="1" applyBorder="1" applyProtection="1">
      <protection locked="0"/>
    </xf>
    <xf numFmtId="167" fontId="7" fillId="6" borderId="58" xfId="2" applyNumberFormat="1" applyFill="1" applyBorder="1" applyProtection="1">
      <protection locked="0"/>
    </xf>
    <xf numFmtId="0" fontId="9" fillId="0" borderId="16" xfId="4" applyFont="1" applyBorder="1" applyAlignment="1" applyProtection="1">
      <alignment vertical="top"/>
      <protection locked="0"/>
    </xf>
    <xf numFmtId="9" fontId="7" fillId="0" borderId="34" xfId="3" applyBorder="1" applyAlignment="1" applyProtection="1">
      <alignment horizontal="right"/>
      <protection locked="0"/>
    </xf>
    <xf numFmtId="167" fontId="7" fillId="0" borderId="16" xfId="2" applyNumberFormat="1" applyBorder="1" applyProtection="1">
      <protection locked="0"/>
    </xf>
    <xf numFmtId="0" fontId="12" fillId="0" borderId="0" xfId="4" applyAlignment="1" applyProtection="1">
      <alignment wrapText="1"/>
      <protection locked="0"/>
    </xf>
    <xf numFmtId="0" fontId="12" fillId="0" borderId="0" xfId="4" applyFont="1" applyAlignment="1" applyProtection="1">
      <alignment horizontal="left" wrapText="1"/>
      <protection locked="0"/>
    </xf>
    <xf numFmtId="0" fontId="9" fillId="0" borderId="0" xfId="0" applyFont="1" applyAlignment="1" applyProtection="1">
      <alignment horizontal="left"/>
    </xf>
    <xf numFmtId="0" fontId="21" fillId="0" borderId="0" xfId="0" applyFont="1" applyProtection="1"/>
    <xf numFmtId="0" fontId="13" fillId="0" borderId="5" xfId="0" applyFont="1" applyBorder="1" applyProtection="1"/>
    <xf numFmtId="0" fontId="9" fillId="0" borderId="1" xfId="0" applyFont="1" applyBorder="1" applyProtection="1"/>
    <xf numFmtId="0" fontId="11" fillId="0" borderId="0" xfId="4" applyFont="1" applyAlignment="1" applyProtection="1">
      <protection locked="0"/>
    </xf>
    <xf numFmtId="0" fontId="9" fillId="3" borderId="29" xfId="0" applyFont="1" applyFill="1" applyBorder="1" applyAlignment="1" applyProtection="1">
      <alignment horizontal="center" vertical="top" wrapText="1"/>
      <protection locked="0"/>
    </xf>
    <xf numFmtId="3" fontId="9" fillId="0" borderId="2" xfId="0" applyNumberFormat="1" applyFont="1" applyFill="1" applyBorder="1" applyProtection="1">
      <protection locked="0"/>
    </xf>
    <xf numFmtId="3" fontId="9" fillId="0" borderId="35" xfId="0" applyNumberFormat="1" applyFont="1" applyFill="1" applyBorder="1" applyAlignment="1" applyProtection="1">
      <alignment horizontal="center" vertical="center" wrapText="1"/>
    </xf>
    <xf numFmtId="3" fontId="9" fillId="0" borderId="36" xfId="0" applyNumberFormat="1" applyFont="1" applyFill="1" applyBorder="1" applyAlignment="1" applyProtection="1">
      <alignment horizontal="center" vertical="center" wrapText="1"/>
    </xf>
    <xf numFmtId="3" fontId="35" fillId="0" borderId="34" xfId="4" applyNumberFormat="1" applyFont="1" applyFill="1" applyBorder="1" applyAlignment="1" applyProtection="1">
      <alignment vertical="center" wrapText="1"/>
      <protection locked="0"/>
    </xf>
    <xf numFmtId="3" fontId="9" fillId="3" borderId="35" xfId="0" applyNumberFormat="1" applyFont="1" applyFill="1" applyBorder="1" applyAlignment="1" applyProtection="1">
      <alignment horizontal="center" vertical="top" wrapText="1"/>
      <protection locked="0"/>
    </xf>
    <xf numFmtId="3" fontId="9" fillId="2" borderId="6" xfId="0" applyNumberFormat="1" applyFont="1" applyFill="1" applyBorder="1" applyProtection="1">
      <protection locked="0"/>
    </xf>
    <xf numFmtId="3" fontId="9" fillId="2" borderId="6" xfId="0" applyNumberFormat="1" applyFont="1" applyFill="1" applyBorder="1" applyAlignment="1" applyProtection="1">
      <alignment wrapText="1"/>
      <protection locked="0"/>
    </xf>
    <xf numFmtId="3" fontId="13" fillId="0" borderId="0" xfId="0" applyNumberFormat="1" applyFont="1" applyAlignment="1" applyProtection="1">
      <alignment horizontal="left" vertical="top"/>
      <protection locked="0"/>
    </xf>
    <xf numFmtId="3" fontId="9" fillId="0" borderId="0" xfId="0" applyNumberFormat="1" applyFont="1" applyAlignment="1" applyProtection="1">
      <alignment horizontal="left" wrapText="1"/>
      <protection locked="0"/>
    </xf>
    <xf numFmtId="3" fontId="9" fillId="0" borderId="0" xfId="0" applyNumberFormat="1" applyFont="1" applyProtection="1">
      <protection locked="0"/>
    </xf>
    <xf numFmtId="0" fontId="9" fillId="0" borderId="37" xfId="0" applyFont="1" applyBorder="1" applyAlignment="1" applyProtection="1">
      <protection locked="0"/>
    </xf>
    <xf numFmtId="0" fontId="9" fillId="5" borderId="26" xfId="0" applyFont="1" applyFill="1" applyBorder="1" applyAlignment="1" applyProtection="1">
      <alignment horizontal="center"/>
      <protection locked="0"/>
    </xf>
    <xf numFmtId="0" fontId="24" fillId="0" borderId="0" xfId="4" applyFont="1" applyAlignment="1" applyProtection="1">
      <alignment horizontal="center" vertical="center"/>
      <protection locked="0"/>
    </xf>
    <xf numFmtId="0" fontId="9" fillId="0" borderId="23" xfId="4" applyFont="1" applyBorder="1" applyAlignment="1" applyProtection="1">
      <alignment horizontal="center" vertical="center"/>
      <protection locked="0"/>
    </xf>
    <xf numFmtId="0" fontId="9" fillId="0" borderId="0" xfId="4" applyFont="1" applyBorder="1" applyAlignment="1" applyProtection="1">
      <alignment vertical="center"/>
      <protection locked="0"/>
    </xf>
    <xf numFmtId="0" fontId="9" fillId="0" borderId="0" xfId="4" applyFont="1" applyBorder="1" applyAlignment="1" applyProtection="1">
      <alignment horizontal="center" vertical="center"/>
      <protection locked="0"/>
    </xf>
    <xf numFmtId="0" fontId="12" fillId="0" borderId="0" xfId="4" applyBorder="1" applyAlignment="1" applyProtection="1">
      <alignment horizontal="center"/>
      <protection locked="0"/>
    </xf>
    <xf numFmtId="0" fontId="9" fillId="0" borderId="0" xfId="4" applyFont="1" applyBorder="1" applyProtection="1">
      <protection locked="0"/>
    </xf>
    <xf numFmtId="0" fontId="12" fillId="0" borderId="0" xfId="4" quotePrefix="1" applyBorder="1" applyAlignment="1" applyProtection="1">
      <alignment horizontal="center"/>
      <protection locked="0"/>
    </xf>
    <xf numFmtId="0" fontId="12" fillId="0" borderId="0" xfId="4" quotePrefix="1" applyBorder="1" applyAlignment="1" applyProtection="1">
      <alignment horizontal="right"/>
      <protection locked="0"/>
    </xf>
    <xf numFmtId="0" fontId="9" fillId="0" borderId="23" xfId="4" applyFont="1" applyBorder="1" applyProtection="1">
      <protection locked="0"/>
    </xf>
    <xf numFmtId="0" fontId="12" fillId="0" borderId="0" xfId="4" quotePrefix="1" applyBorder="1" applyProtection="1">
      <protection locked="0"/>
    </xf>
    <xf numFmtId="10" fontId="12" fillId="0" borderId="0" xfId="3" applyNumberFormat="1" applyFont="1" applyFill="1" applyBorder="1" applyAlignment="1" applyProtection="1"/>
    <xf numFmtId="10" fontId="12" fillId="0" borderId="0" xfId="3" applyNumberFormat="1" applyFont="1" applyFill="1" applyBorder="1" applyProtection="1">
      <protection locked="0"/>
    </xf>
    <xf numFmtId="170" fontId="12" fillId="2" borderId="0" xfId="4" applyNumberFormat="1" applyFill="1" applyBorder="1" applyProtection="1">
      <protection locked="0"/>
    </xf>
    <xf numFmtId="170" fontId="12" fillId="0" borderId="0" xfId="4" applyNumberFormat="1" applyFill="1" applyBorder="1" applyProtection="1">
      <protection locked="0"/>
    </xf>
    <xf numFmtId="171" fontId="12" fillId="0" borderId="0" xfId="2" applyNumberFormat="1" applyFont="1" applyBorder="1" applyProtection="1">
      <protection locked="0"/>
    </xf>
    <xf numFmtId="10" fontId="12" fillId="2" borderId="0" xfId="3" applyNumberFormat="1" applyFont="1" applyFill="1" applyBorder="1" applyProtection="1">
      <protection locked="0"/>
    </xf>
    <xf numFmtId="170" fontId="12" fillId="0" borderId="0" xfId="4" quotePrefix="1" applyNumberFormat="1" applyFill="1" applyBorder="1" applyProtection="1">
      <protection locked="0"/>
    </xf>
    <xf numFmtId="171" fontId="12" fillId="0" borderId="23" xfId="2" applyNumberFormat="1" applyFont="1" applyBorder="1" applyProtection="1">
      <protection locked="0"/>
    </xf>
    <xf numFmtId="10" fontId="12" fillId="2" borderId="23" xfId="3" applyNumberFormat="1" applyFont="1" applyFill="1" applyBorder="1" applyProtection="1">
      <protection locked="0"/>
    </xf>
    <xf numFmtId="166" fontId="12" fillId="0" borderId="61" xfId="3" applyNumberFormat="1" applyFont="1" applyBorder="1" applyProtection="1">
      <protection locked="0"/>
    </xf>
    <xf numFmtId="166" fontId="12" fillId="0" borderId="61" xfId="3" applyNumberFormat="1" applyFont="1" applyFill="1" applyBorder="1" applyProtection="1">
      <protection locked="0"/>
    </xf>
    <xf numFmtId="171" fontId="12" fillId="0" borderId="61" xfId="2" applyNumberFormat="1" applyFont="1" applyBorder="1" applyProtection="1">
      <protection locked="0"/>
    </xf>
    <xf numFmtId="10" fontId="12" fillId="0" borderId="61" xfId="3" applyNumberFormat="1" applyFont="1" applyBorder="1" applyProtection="1">
      <protection locked="0"/>
    </xf>
    <xf numFmtId="0" fontId="12" fillId="4" borderId="0" xfId="4" applyFill="1" applyBorder="1" applyProtection="1">
      <protection locked="0"/>
    </xf>
    <xf numFmtId="166" fontId="12" fillId="0" borderId="0" xfId="3" applyNumberFormat="1" applyFont="1" applyBorder="1" applyProtection="1">
      <protection locked="0"/>
    </xf>
    <xf numFmtId="166" fontId="12" fillId="0" borderId="0" xfId="3" applyNumberFormat="1" applyFont="1" applyFill="1" applyBorder="1" applyProtection="1">
      <protection locked="0"/>
    </xf>
    <xf numFmtId="171" fontId="12" fillId="0" borderId="0" xfId="4" applyNumberFormat="1" applyBorder="1" applyProtection="1">
      <protection locked="0"/>
    </xf>
    <xf numFmtId="10" fontId="12" fillId="0" borderId="0" xfId="3" applyNumberFormat="1" applyFont="1" applyBorder="1" applyProtection="1">
      <protection locked="0"/>
    </xf>
    <xf numFmtId="0" fontId="9" fillId="0" borderId="0" xfId="4" applyFont="1" applyBorder="1" applyAlignment="1" applyProtection="1">
      <protection locked="0"/>
    </xf>
    <xf numFmtId="0" fontId="12" fillId="0" borderId="0" xfId="4" applyBorder="1" applyAlignment="1" applyProtection="1">
      <protection locked="0"/>
    </xf>
    <xf numFmtId="0" fontId="12" fillId="0" borderId="0" xfId="4" quotePrefix="1" applyBorder="1" applyAlignment="1" applyProtection="1">
      <protection locked="0"/>
    </xf>
    <xf numFmtId="10" fontId="12" fillId="0" borderId="0" xfId="3" applyNumberFormat="1" applyFont="1" applyFill="1" applyBorder="1" applyAlignment="1" applyProtection="1">
      <protection locked="0"/>
    </xf>
    <xf numFmtId="171" fontId="12" fillId="0" borderId="0" xfId="2" applyNumberFormat="1" applyFont="1" applyBorder="1" applyAlignment="1" applyProtection="1">
      <protection locked="0"/>
    </xf>
    <xf numFmtId="10" fontId="12" fillId="2" borderId="23" xfId="3" applyNumberFormat="1" applyFont="1" applyFill="1" applyBorder="1" applyAlignment="1" applyProtection="1">
      <protection locked="0"/>
    </xf>
    <xf numFmtId="171" fontId="12" fillId="0" borderId="23" xfId="2" applyNumberFormat="1" applyFont="1" applyBorder="1" applyAlignment="1" applyProtection="1">
      <protection locked="0"/>
    </xf>
    <xf numFmtId="166" fontId="12" fillId="0" borderId="63" xfId="4" applyNumberFormat="1" applyBorder="1" applyProtection="1">
      <protection locked="0"/>
    </xf>
    <xf numFmtId="9" fontId="12" fillId="0" borderId="63" xfId="4" applyNumberFormat="1" applyBorder="1" applyProtection="1">
      <protection locked="0"/>
    </xf>
    <xf numFmtId="171" fontId="12" fillId="2" borderId="63" xfId="2" applyNumberFormat="1" applyFont="1" applyFill="1" applyBorder="1" applyProtection="1">
      <protection locked="0"/>
    </xf>
    <xf numFmtId="10" fontId="12" fillId="0" borderId="63" xfId="3" applyNumberFormat="1" applyFont="1" applyBorder="1" applyProtection="1">
      <protection locked="0"/>
    </xf>
    <xf numFmtId="171" fontId="12" fillId="0" borderId="63" xfId="2" applyNumberFormat="1" applyFont="1" applyBorder="1" applyProtection="1">
      <protection locked="0"/>
    </xf>
    <xf numFmtId="0" fontId="9" fillId="0" borderId="0" xfId="4" quotePrefix="1" applyFont="1" applyAlignment="1" applyProtection="1">
      <alignment horizontal="center" vertical="center"/>
      <protection locked="0"/>
    </xf>
    <xf numFmtId="170" fontId="12" fillId="2" borderId="0" xfId="4" applyNumberFormat="1" applyFill="1" applyAlignment="1" applyProtection="1">
      <alignment horizontal="center" vertical="center"/>
      <protection locked="0"/>
    </xf>
    <xf numFmtId="0" fontId="37" fillId="0" borderId="0" xfId="4" applyFont="1" applyProtection="1">
      <protection locked="0"/>
    </xf>
    <xf numFmtId="0" fontId="20" fillId="0" borderId="0" xfId="0" applyFont="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30" fillId="0" borderId="0" xfId="13"/>
    <xf numFmtId="0" fontId="30" fillId="0" borderId="0" xfId="13" applyProtection="1"/>
    <xf numFmtId="0" fontId="30" fillId="0" borderId="0" xfId="13" applyAlignment="1" applyProtection="1">
      <alignment vertical="center"/>
    </xf>
    <xf numFmtId="0" fontId="30" fillId="0" borderId="0" xfId="13" applyFill="1" applyAlignment="1" applyProtection="1">
      <alignment vertical="center"/>
    </xf>
    <xf numFmtId="0" fontId="12" fillId="0" borderId="0" xfId="13" applyFont="1" applyProtection="1"/>
    <xf numFmtId="0" fontId="68" fillId="0" borderId="0" xfId="13" applyFont="1" applyAlignment="1" applyProtection="1">
      <alignment horizontal="right" vertical="center"/>
    </xf>
    <xf numFmtId="0" fontId="12" fillId="0" borderId="0" xfId="13" applyFont="1" applyAlignment="1" applyProtection="1">
      <alignment horizontal="right" vertical="center"/>
    </xf>
    <xf numFmtId="0" fontId="68" fillId="0" borderId="0" xfId="13" applyFont="1" applyAlignment="1" applyProtection="1">
      <alignment horizontal="right" vertical="center" indent="1"/>
    </xf>
    <xf numFmtId="0" fontId="68" fillId="0" borderId="0" xfId="13" applyFont="1" applyAlignment="1" applyProtection="1">
      <alignment horizontal="right" vertical="center" wrapText="1" indent="1"/>
    </xf>
    <xf numFmtId="0" fontId="12" fillId="0" borderId="0" xfId="13" applyFont="1" applyAlignment="1" applyProtection="1">
      <alignment horizontal="right" indent="1"/>
    </xf>
    <xf numFmtId="0" fontId="30" fillId="0" borderId="0" xfId="13" applyAlignment="1" applyProtection="1">
      <alignment horizontal="left" wrapText="1"/>
    </xf>
    <xf numFmtId="0" fontId="26" fillId="0" borderId="16" xfId="4" applyFont="1" applyFill="1" applyBorder="1" applyAlignment="1" applyProtection="1">
      <alignment horizontal="center"/>
    </xf>
    <xf numFmtId="0" fontId="17"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165" fontId="12" fillId="2" borderId="1" xfId="0" applyNumberFormat="1" applyFont="1" applyFill="1" applyBorder="1" applyAlignment="1" applyProtection="1">
      <alignment horizontal="center" vertical="center" wrapText="1"/>
      <protection locked="0"/>
    </xf>
    <xf numFmtId="166" fontId="12" fillId="0" borderId="1" xfId="0" applyNumberFormat="1" applyFont="1" applyFill="1" applyBorder="1" applyAlignment="1" applyProtection="1">
      <alignment horizontal="center" vertical="center" wrapText="1"/>
    </xf>
    <xf numFmtId="165" fontId="12"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0" xfId="4" applyFont="1" applyAlignment="1" applyProtection="1">
      <alignment horizontal="right" vertical="top"/>
      <protection locked="0"/>
    </xf>
    <xf numFmtId="14" fontId="9" fillId="0" borderId="0" xfId="4" applyNumberFormat="1" applyFont="1" applyAlignment="1" applyProtection="1">
      <alignment horizontal="right" vertical="top"/>
      <protection locked="0"/>
    </xf>
    <xf numFmtId="0" fontId="26" fillId="0" borderId="1" xfId="10" applyFont="1" applyBorder="1" applyAlignment="1" applyProtection="1">
      <alignment horizontal="center" vertical="center"/>
    </xf>
    <xf numFmtId="0" fontId="26" fillId="0" borderId="1" xfId="10" applyFont="1" applyBorder="1" applyAlignment="1" applyProtection="1">
      <alignment horizontal="left" vertical="center" wrapText="1"/>
      <protection locked="0"/>
    </xf>
    <xf numFmtId="0" fontId="26" fillId="0" borderId="1" xfId="10" applyFont="1" applyBorder="1" applyAlignment="1" applyProtection="1">
      <alignment horizontal="center" vertical="center" wrapText="1"/>
      <protection locked="0"/>
    </xf>
    <xf numFmtId="0" fontId="33" fillId="0" borderId="0" xfId="0" applyFont="1" applyProtection="1">
      <protection locked="0"/>
    </xf>
    <xf numFmtId="0" fontId="33" fillId="0" borderId="0" xfId="0" applyFont="1" applyAlignment="1" applyProtection="1">
      <alignment horizontal="center" vertical="center"/>
      <protection locked="0"/>
    </xf>
    <xf numFmtId="0" fontId="72" fillId="0" borderId="0" xfId="0" applyFont="1" applyAlignment="1" applyProtection="1">
      <alignment horizontal="left" vertical="center" wrapText="1"/>
      <protection locked="0"/>
    </xf>
    <xf numFmtId="0" fontId="72" fillId="0" borderId="0" xfId="0" applyFont="1" applyAlignment="1" applyProtection="1">
      <alignment vertical="center"/>
      <protection locked="0"/>
    </xf>
    <xf numFmtId="0" fontId="9" fillId="0" borderId="1" xfId="0" applyFont="1" applyFill="1" applyBorder="1" applyAlignment="1" applyProtection="1">
      <alignment horizontal="center" vertical="center" wrapText="1"/>
      <protection locked="0"/>
    </xf>
    <xf numFmtId="0" fontId="9" fillId="0" borderId="5" xfId="0" applyFont="1" applyFill="1" applyBorder="1" applyProtection="1">
      <protection locked="0"/>
    </xf>
    <xf numFmtId="0" fontId="9" fillId="2" borderId="1" xfId="0" applyFont="1" applyFill="1" applyBorder="1" applyProtection="1">
      <protection locked="0"/>
    </xf>
    <xf numFmtId="0" fontId="9" fillId="0" borderId="1" xfId="0" applyFont="1" applyFill="1" applyBorder="1" applyProtection="1">
      <protection locked="0"/>
    </xf>
    <xf numFmtId="3" fontId="33" fillId="0" borderId="19" xfId="2" applyNumberFormat="1" applyFont="1" applyFill="1" applyBorder="1" applyProtection="1">
      <protection locked="0"/>
    </xf>
    <xf numFmtId="3" fontId="33" fillId="0" borderId="6" xfId="2" applyNumberFormat="1" applyFont="1" applyFill="1" applyBorder="1" applyProtection="1">
      <protection locked="0"/>
    </xf>
    <xf numFmtId="0" fontId="20" fillId="0" borderId="1" xfId="0" applyFont="1" applyFill="1" applyBorder="1" applyAlignment="1" applyProtection="1">
      <alignment horizontal="left" vertical="center" wrapText="1" indent="1"/>
    </xf>
    <xf numFmtId="0" fontId="25" fillId="0" borderId="1" xfId="0" applyFont="1" applyFill="1" applyBorder="1" applyAlignment="1" applyProtection="1">
      <alignment horizontal="left" vertical="center" wrapText="1" indent="1"/>
    </xf>
    <xf numFmtId="0" fontId="31" fillId="0" borderId="0" xfId="4" applyFont="1" applyProtection="1">
      <protection locked="0"/>
    </xf>
    <xf numFmtId="0" fontId="26" fillId="0" borderId="0" xfId="4" applyFont="1" applyAlignment="1" applyProtection="1">
      <alignment horizontal="right" vertical="top"/>
      <protection locked="0"/>
    </xf>
    <xf numFmtId="0" fontId="31" fillId="0" borderId="0" xfId="4" applyFont="1" applyAlignment="1" applyProtection="1">
      <alignment horizontal="center"/>
      <protection locked="0"/>
    </xf>
    <xf numFmtId="14" fontId="26" fillId="0" borderId="0" xfId="4" applyNumberFormat="1" applyFont="1" applyAlignment="1" applyProtection="1">
      <alignment horizontal="right" vertical="top"/>
      <protection locked="0"/>
    </xf>
    <xf numFmtId="0" fontId="26" fillId="0" borderId="0" xfId="4" applyFont="1" applyAlignment="1" applyProtection="1">
      <alignment vertical="center"/>
      <protection locked="0"/>
    </xf>
    <xf numFmtId="0" fontId="26" fillId="0" borderId="0" xfId="4" applyFont="1" applyAlignment="1" applyProtection="1">
      <alignment vertical="center" wrapText="1"/>
      <protection locked="0"/>
    </xf>
    <xf numFmtId="0" fontId="31" fillId="0" borderId="1" xfId="4" applyFont="1" applyBorder="1" applyProtection="1">
      <protection locked="0"/>
    </xf>
    <xf numFmtId="10" fontId="31" fillId="0" borderId="1" xfId="4" applyNumberFormat="1" applyFont="1" applyBorder="1" applyAlignment="1" applyProtection="1">
      <alignment horizontal="center"/>
      <protection locked="0"/>
    </xf>
    <xf numFmtId="0" fontId="26" fillId="0" borderId="1" xfId="4" applyFont="1" applyBorder="1" applyAlignment="1" applyProtection="1">
      <alignment horizontal="center" vertical="center" wrapText="1"/>
      <protection locked="0"/>
    </xf>
    <xf numFmtId="0" fontId="31" fillId="0" borderId="0" xfId="4" applyFont="1" applyAlignment="1" applyProtection="1">
      <alignment vertical="center" wrapText="1"/>
      <protection locked="0"/>
    </xf>
    <xf numFmtId="0" fontId="26" fillId="0" borderId="0" xfId="4" applyFont="1" applyAlignment="1" applyProtection="1">
      <alignment horizontal="center" vertical="center" wrapText="1"/>
      <protection locked="0"/>
    </xf>
    <xf numFmtId="37" fontId="31" fillId="0" borderId="1" xfId="4" applyNumberFormat="1" applyFont="1" applyBorder="1" applyAlignment="1" applyProtection="1">
      <alignment horizontal="center"/>
      <protection locked="0"/>
    </xf>
    <xf numFmtId="37" fontId="31" fillId="0" borderId="1" xfId="1" applyNumberFormat="1" applyFont="1" applyBorder="1" applyAlignment="1" applyProtection="1">
      <alignment horizontal="center"/>
      <protection locked="0"/>
    </xf>
    <xf numFmtId="0" fontId="33" fillId="0" borderId="16" xfId="0" applyFont="1" applyFill="1" applyBorder="1" applyAlignment="1" applyProtection="1">
      <alignment horizontal="center"/>
    </xf>
    <xf numFmtId="0" fontId="33" fillId="0" borderId="3" xfId="0" applyFont="1" applyBorder="1" applyAlignment="1" applyProtection="1">
      <alignment horizontal="center" vertical="center"/>
      <protection locked="0"/>
    </xf>
    <xf numFmtId="0" fontId="33" fillId="0" borderId="3" xfId="0" applyFont="1" applyBorder="1" applyAlignment="1" applyProtection="1">
      <alignment horizontal="center" vertical="center" wrapText="1"/>
      <protection locked="0"/>
    </xf>
    <xf numFmtId="0" fontId="33" fillId="0" borderId="30" xfId="0" applyFont="1" applyBorder="1" applyProtection="1">
      <protection locked="0"/>
    </xf>
    <xf numFmtId="0" fontId="33" fillId="2" borderId="1" xfId="0" applyFont="1" applyFill="1" applyBorder="1" applyProtection="1">
      <protection locked="0"/>
    </xf>
    <xf numFmtId="0" fontId="33" fillId="3" borderId="1" xfId="0" applyFont="1" applyFill="1" applyBorder="1" applyProtection="1">
      <protection locked="0"/>
    </xf>
    <xf numFmtId="172" fontId="33" fillId="2" borderId="1" xfId="0" applyNumberFormat="1" applyFont="1" applyFill="1" applyBorder="1" applyProtection="1">
      <protection locked="0"/>
    </xf>
    <xf numFmtId="167" fontId="33" fillId="2" borderId="1" xfId="2" applyNumberFormat="1" applyFont="1" applyFill="1" applyBorder="1" applyProtection="1">
      <protection locked="0"/>
    </xf>
    <xf numFmtId="44" fontId="33" fillId="0" borderId="1" xfId="2" applyFont="1" applyFill="1" applyBorder="1" applyProtection="1">
      <protection locked="0"/>
    </xf>
    <xf numFmtId="0" fontId="33" fillId="0" borderId="26" xfId="0" applyFont="1" applyBorder="1" applyProtection="1">
      <protection locked="0"/>
    </xf>
    <xf numFmtId="0" fontId="33" fillId="0" borderId="59" xfId="0" applyFont="1" applyBorder="1" applyProtection="1">
      <protection locked="0"/>
    </xf>
    <xf numFmtId="0" fontId="33" fillId="0" borderId="60" xfId="0" applyFont="1" applyBorder="1" applyProtection="1">
      <protection locked="0"/>
    </xf>
    <xf numFmtId="0" fontId="33" fillId="0" borderId="10" xfId="0" applyFont="1" applyBorder="1" applyProtection="1">
      <protection locked="0"/>
    </xf>
    <xf numFmtId="0" fontId="33" fillId="0" borderId="39" xfId="0" applyFont="1" applyBorder="1" applyProtection="1">
      <protection locked="0"/>
    </xf>
    <xf numFmtId="0" fontId="33" fillId="0" borderId="41" xfId="0" applyFont="1" applyBorder="1" applyProtection="1">
      <protection locked="0"/>
    </xf>
    <xf numFmtId="0" fontId="33" fillId="0" borderId="11" xfId="0" applyFont="1" applyBorder="1" applyProtection="1">
      <protection locked="0"/>
    </xf>
    <xf numFmtId="167" fontId="33" fillId="0" borderId="11" xfId="2" applyNumberFormat="1" applyFont="1" applyBorder="1" applyProtection="1">
      <protection locked="0"/>
    </xf>
    <xf numFmtId="10" fontId="33" fillId="0" borderId="11" xfId="3" applyNumberFormat="1" applyFont="1" applyBorder="1" applyProtection="1">
      <protection locked="0"/>
    </xf>
    <xf numFmtId="164" fontId="33" fillId="0" borderId="41" xfId="0" applyNumberFormat="1" applyFont="1" applyBorder="1" applyProtection="1">
      <protection locked="0"/>
    </xf>
    <xf numFmtId="0" fontId="33" fillId="0" borderId="33" xfId="0" applyFont="1" applyBorder="1" applyProtection="1">
      <protection locked="0"/>
    </xf>
    <xf numFmtId="0" fontId="12" fillId="0" borderId="0" xfId="0" applyFont="1" applyAlignment="1" applyProtection="1">
      <alignment horizontal="center" vertical="top" wrapText="1"/>
      <protection locked="0"/>
    </xf>
    <xf numFmtId="0" fontId="73" fillId="0" borderId="1" xfId="0" applyFont="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74" fillId="0" borderId="0" xfId="9" applyFont="1" applyProtection="1">
      <protection locked="0"/>
    </xf>
    <xf numFmtId="0" fontId="33" fillId="0" borderId="0" xfId="11" applyFont="1" applyProtection="1">
      <protection locked="0"/>
    </xf>
    <xf numFmtId="0" fontId="68" fillId="0" borderId="1" xfId="11" applyFont="1" applyBorder="1" applyAlignment="1" applyProtection="1">
      <alignment vertical="center"/>
      <protection locked="0"/>
    </xf>
    <xf numFmtId="166" fontId="33" fillId="0" borderId="1" xfId="11" applyNumberFormat="1" applyFont="1" applyBorder="1" applyAlignment="1" applyProtection="1">
      <alignment horizontal="center" vertical="center"/>
      <protection locked="0"/>
    </xf>
    <xf numFmtId="9" fontId="33" fillId="0" borderId="1" xfId="3" applyFont="1" applyFill="1" applyBorder="1" applyAlignment="1" applyProtection="1">
      <alignment horizontal="center" vertical="center"/>
    </xf>
    <xf numFmtId="0" fontId="12" fillId="0" borderId="0" xfId="4" applyAlignment="1" applyProtection="1">
      <alignment horizontal="left" wrapText="1"/>
      <protection locked="0"/>
    </xf>
    <xf numFmtId="0" fontId="26" fillId="0" borderId="0" xfId="4" applyFont="1" applyAlignment="1" applyProtection="1">
      <alignment horizontal="center" vertical="center" wrapText="1"/>
      <protection locked="0"/>
    </xf>
    <xf numFmtId="0" fontId="9" fillId="0" borderId="0" xfId="4" applyFont="1" applyAlignment="1" applyProtection="1">
      <alignment horizontal="center" vertical="top"/>
      <protection locked="0"/>
    </xf>
    <xf numFmtId="0" fontId="9" fillId="0" borderId="37" xfId="4" applyFont="1" applyFill="1" applyBorder="1" applyAlignment="1" applyProtection="1">
      <alignment vertical="center" wrapText="1"/>
      <protection locked="0"/>
    </xf>
    <xf numFmtId="0" fontId="9" fillId="0" borderId="15" xfId="4" applyFont="1" applyFill="1" applyBorder="1" applyAlignment="1" applyProtection="1">
      <alignment vertical="center" wrapText="1"/>
      <protection locked="0"/>
    </xf>
    <xf numFmtId="0" fontId="9" fillId="0" borderId="52" xfId="4" applyFont="1" applyFill="1" applyBorder="1" applyAlignment="1" applyProtection="1">
      <alignment vertical="center" wrapText="1"/>
      <protection locked="0"/>
    </xf>
    <xf numFmtId="0" fontId="9" fillId="0" borderId="53" xfId="4" applyFont="1" applyFill="1" applyBorder="1" applyAlignment="1" applyProtection="1">
      <alignment vertical="center" wrapText="1"/>
      <protection locked="0"/>
    </xf>
    <xf numFmtId="0" fontId="12" fillId="0" borderId="0" xfId="4" applyFont="1" applyAlignment="1" applyProtection="1">
      <alignment wrapText="1"/>
      <protection locked="0"/>
    </xf>
    <xf numFmtId="0" fontId="9" fillId="0" borderId="0" xfId="4" applyFont="1" applyAlignment="1" applyProtection="1">
      <alignment horizontal="center" vertical="top" wrapText="1"/>
      <protection locked="0"/>
    </xf>
    <xf numFmtId="3" fontId="12" fillId="0" borderId="0" xfId="0" applyNumberFormat="1" applyFont="1" applyAlignment="1" applyProtection="1">
      <alignment horizontal="left" vertical="top" wrapText="1"/>
      <protection locked="0"/>
    </xf>
    <xf numFmtId="0" fontId="72" fillId="0" borderId="0" xfId="0" applyFont="1" applyBorder="1" applyAlignment="1" applyProtection="1">
      <alignment horizontal="center" vertical="center" wrapText="1"/>
      <protection locked="0"/>
    </xf>
    <xf numFmtId="0" fontId="33" fillId="0" borderId="0" xfId="0" applyFont="1" applyAlignment="1" applyProtection="1">
      <alignment horizontal="center"/>
      <protection locked="0"/>
    </xf>
    <xf numFmtId="3" fontId="33" fillId="0" borderId="23" xfId="2" applyNumberFormat="1" applyFont="1" applyFill="1" applyBorder="1" applyAlignment="1" applyProtection="1">
      <alignment horizontal="center"/>
      <protection locked="0"/>
    </xf>
    <xf numFmtId="3" fontId="33" fillId="2" borderId="10" xfId="2" applyNumberFormat="1" applyFont="1" applyFill="1" applyBorder="1" applyAlignment="1" applyProtection="1">
      <alignment horizontal="center"/>
      <protection locked="0"/>
    </xf>
    <xf numFmtId="3" fontId="68" fillId="2" borderId="10" xfId="2" applyNumberFormat="1" applyFont="1" applyFill="1" applyBorder="1" applyAlignment="1" applyProtection="1">
      <alignment horizontal="center"/>
      <protection locked="0"/>
    </xf>
    <xf numFmtId="0" fontId="12" fillId="0" borderId="20" xfId="0" applyFont="1" applyFill="1" applyBorder="1" applyProtection="1">
      <protection locked="0"/>
    </xf>
    <xf numFmtId="3" fontId="33" fillId="0" borderId="21" xfId="2" applyNumberFormat="1" applyFont="1" applyFill="1" applyBorder="1" applyAlignment="1" applyProtection="1">
      <alignment horizontal="center"/>
      <protection locked="0"/>
    </xf>
    <xf numFmtId="0" fontId="9" fillId="0" borderId="22" xfId="0" applyFont="1" applyFill="1" applyBorder="1" applyProtection="1">
      <protection locked="0"/>
    </xf>
    <xf numFmtId="3" fontId="33" fillId="2" borderId="10" xfId="2" applyNumberFormat="1" applyFont="1" applyFill="1" applyBorder="1" applyAlignment="1" applyProtection="1">
      <alignment horizontal="right"/>
      <protection locked="0"/>
    </xf>
    <xf numFmtId="3" fontId="68" fillId="2" borderId="10" xfId="2" applyNumberFormat="1" applyFont="1" applyFill="1" applyBorder="1" applyAlignment="1" applyProtection="1">
      <alignment horizontal="right"/>
      <protection locked="0"/>
    </xf>
    <xf numFmtId="3" fontId="33" fillId="0" borderId="21" xfId="2" applyNumberFormat="1" applyFont="1" applyFill="1" applyBorder="1" applyAlignment="1" applyProtection="1">
      <alignment horizontal="right"/>
      <protection locked="0"/>
    </xf>
    <xf numFmtId="3" fontId="33" fillId="0" borderId="9" xfId="2" applyNumberFormat="1" applyFont="1" applyFill="1" applyBorder="1" applyAlignment="1" applyProtection="1">
      <alignment horizontal="right"/>
      <protection locked="0"/>
    </xf>
    <xf numFmtId="3" fontId="33" fillId="0" borderId="23" xfId="2" applyNumberFormat="1" applyFont="1" applyFill="1" applyBorder="1" applyAlignment="1" applyProtection="1">
      <alignment horizontal="right"/>
      <protection locked="0"/>
    </xf>
    <xf numFmtId="3" fontId="33" fillId="0" borderId="4" xfId="2" applyNumberFormat="1" applyFont="1" applyFill="1" applyBorder="1" applyAlignment="1" applyProtection="1">
      <alignment horizontal="right"/>
      <protection locked="0"/>
    </xf>
    <xf numFmtId="3" fontId="68" fillId="2" borderId="1" xfId="2" applyNumberFormat="1" applyFont="1" applyFill="1" applyBorder="1" applyAlignment="1" applyProtection="1">
      <alignment horizontal="center"/>
      <protection locked="0"/>
    </xf>
    <xf numFmtId="3" fontId="68" fillId="2" borderId="1" xfId="2" applyNumberFormat="1" applyFont="1" applyFill="1" applyBorder="1" applyAlignment="1" applyProtection="1">
      <alignment horizontal="right"/>
      <protection locked="0"/>
    </xf>
    <xf numFmtId="0" fontId="12" fillId="0" borderId="1" xfId="0" applyFont="1" applyFill="1" applyBorder="1" applyProtection="1">
      <protection locked="0"/>
    </xf>
    <xf numFmtId="0" fontId="9" fillId="0" borderId="0" xfId="0" applyFont="1" applyAlignment="1" applyProtection="1">
      <alignment horizontal="left" vertical="top" wrapText="1"/>
      <protection locked="0"/>
    </xf>
    <xf numFmtId="0" fontId="12" fillId="0" borderId="0" xfId="4" applyAlignment="1" applyProtection="1">
      <alignment vertical="top" wrapText="1"/>
      <protection locked="0"/>
    </xf>
    <xf numFmtId="0" fontId="9" fillId="0" borderId="0" xfId="4" applyFont="1" applyAlignment="1" applyProtection="1">
      <alignment vertical="top"/>
      <protection locked="0"/>
    </xf>
    <xf numFmtId="0" fontId="12" fillId="0" borderId="0" xfId="4" applyAlignment="1" applyProtection="1">
      <alignment vertical="center"/>
      <protection locked="0"/>
    </xf>
    <xf numFmtId="0" fontId="9" fillId="4" borderId="48" xfId="4" applyFont="1" applyFill="1" applyBorder="1" applyAlignment="1" applyProtection="1">
      <alignment horizontal="center" vertical="center" wrapText="1"/>
      <protection locked="0"/>
    </xf>
    <xf numFmtId="0" fontId="9" fillId="4" borderId="48" xfId="4" applyFont="1" applyFill="1" applyBorder="1" applyAlignment="1" applyProtection="1">
      <alignment horizontal="center" vertical="center"/>
      <protection locked="0"/>
    </xf>
    <xf numFmtId="0" fontId="9" fillId="4" borderId="53" xfId="4" applyFont="1" applyFill="1" applyBorder="1" applyAlignment="1" applyProtection="1">
      <alignment horizontal="center" vertical="center"/>
      <protection locked="0"/>
    </xf>
    <xf numFmtId="0" fontId="9" fillId="4" borderId="23" xfId="4" applyFont="1" applyFill="1" applyBorder="1" applyAlignment="1" applyProtection="1">
      <alignment horizontal="center" vertical="center"/>
      <protection locked="0"/>
    </xf>
    <xf numFmtId="0" fontId="9" fillId="0" borderId="53" xfId="4" applyFont="1" applyFill="1" applyBorder="1" applyAlignment="1" applyProtection="1">
      <alignment horizontal="center" vertical="center"/>
      <protection locked="0"/>
    </xf>
    <xf numFmtId="0" fontId="9" fillId="4" borderId="45" xfId="4" applyFont="1" applyFill="1" applyBorder="1" applyAlignment="1" applyProtection="1">
      <alignment horizontal="center"/>
    </xf>
    <xf numFmtId="0" fontId="9" fillId="0" borderId="12" xfId="4" applyFont="1" applyFill="1" applyBorder="1" applyAlignment="1" applyProtection="1">
      <alignment vertical="center" wrapText="1"/>
      <protection locked="0"/>
    </xf>
    <xf numFmtId="0" fontId="9" fillId="4" borderId="40" xfId="4" applyFont="1" applyFill="1" applyBorder="1" applyAlignment="1" applyProtection="1">
      <alignment horizontal="center" vertical="center" wrapText="1"/>
      <protection locked="0"/>
    </xf>
    <xf numFmtId="0" fontId="9" fillId="4" borderId="40" xfId="4" applyFont="1" applyFill="1" applyBorder="1" applyAlignment="1" applyProtection="1">
      <alignment horizontal="center" vertical="center"/>
      <protection locked="0"/>
    </xf>
    <xf numFmtId="3" fontId="9" fillId="0" borderId="35" xfId="0" applyNumberFormat="1" applyFont="1" applyBorder="1" applyAlignment="1">
      <alignment horizontal="center" vertical="center" wrapText="1"/>
    </xf>
    <xf numFmtId="3" fontId="9" fillId="3" borderId="35" xfId="0" applyNumberFormat="1" applyFont="1" applyFill="1" applyBorder="1" applyAlignment="1" applyProtection="1">
      <alignment horizontal="center" vertical="center" wrapText="1"/>
      <protection locked="0"/>
    </xf>
    <xf numFmtId="167" fontId="33" fillId="2" borderId="5" xfId="2" applyNumberFormat="1" applyFont="1" applyFill="1" applyBorder="1" applyProtection="1">
      <protection locked="0"/>
    </xf>
    <xf numFmtId="167" fontId="33" fillId="2" borderId="60" xfId="2" applyNumberFormat="1" applyFont="1" applyFill="1" applyBorder="1" applyProtection="1">
      <protection locked="0"/>
    </xf>
    <xf numFmtId="3" fontId="33" fillId="0" borderId="0" xfId="0" applyNumberFormat="1" applyFont="1" applyProtection="1">
      <protection locked="0"/>
    </xf>
    <xf numFmtId="0" fontId="72" fillId="0" borderId="0" xfId="0" applyFont="1" applyProtection="1"/>
    <xf numFmtId="40" fontId="72" fillId="0" borderId="0" xfId="0" applyNumberFormat="1" applyFont="1" applyAlignment="1" applyProtection="1">
      <alignment horizontal="center"/>
    </xf>
    <xf numFmtId="0" fontId="73" fillId="0" borderId="0" xfId="0" applyFont="1" applyAlignment="1" applyProtection="1">
      <alignment horizontal="right"/>
    </xf>
    <xf numFmtId="14" fontId="73" fillId="0" borderId="0" xfId="0" applyNumberFormat="1" applyFont="1" applyAlignment="1" applyProtection="1">
      <alignment horizontal="right"/>
    </xf>
    <xf numFmtId="0" fontId="24" fillId="0" borderId="0" xfId="4" applyFont="1" applyProtection="1"/>
    <xf numFmtId="0" fontId="11" fillId="0" borderId="0" xfId="0" applyFont="1" applyProtection="1">
      <protection locked="0"/>
    </xf>
    <xf numFmtId="0" fontId="9" fillId="5" borderId="0" xfId="0" applyFont="1" applyFill="1" applyAlignment="1" applyProtection="1">
      <alignment horizontal="center"/>
      <protection locked="0"/>
    </xf>
    <xf numFmtId="0" fontId="6" fillId="0" borderId="0" xfId="0" applyFont="1" applyProtection="1">
      <protection locked="0"/>
    </xf>
    <xf numFmtId="0" fontId="6" fillId="5" borderId="0" xfId="0" applyFont="1" applyFill="1" applyProtection="1">
      <protection locked="0"/>
    </xf>
    <xf numFmtId="0" fontId="68" fillId="0" borderId="0" xfId="0" applyFont="1" applyAlignment="1" applyProtection="1">
      <alignment horizontal="right"/>
      <protection locked="0"/>
    </xf>
    <xf numFmtId="14" fontId="68" fillId="0" borderId="0" xfId="0" applyNumberFormat="1" applyFont="1" applyAlignment="1" applyProtection="1">
      <alignment horizontal="right"/>
      <protection locked="0"/>
    </xf>
    <xf numFmtId="0" fontId="75" fillId="2" borderId="0" xfId="0" applyFont="1" applyFill="1" applyProtection="1">
      <protection locked="0"/>
    </xf>
    <xf numFmtId="0" fontId="26" fillId="0" borderId="0" xfId="0" applyFont="1" applyAlignment="1" applyProtection="1">
      <alignment horizontal="right"/>
      <protection locked="0"/>
    </xf>
    <xf numFmtId="0" fontId="75" fillId="2" borderId="0" xfId="0" applyFont="1" applyFill="1" applyAlignment="1" applyProtection="1">
      <alignment horizontal="right"/>
      <protection locked="0"/>
    </xf>
    <xf numFmtId="0" fontId="77" fillId="0" borderId="0" xfId="0" applyFont="1" applyProtection="1">
      <protection locked="0"/>
    </xf>
    <xf numFmtId="0" fontId="78" fillId="5" borderId="0" xfId="0" applyFont="1" applyFill="1" applyProtection="1">
      <protection locked="0"/>
    </xf>
    <xf numFmtId="0" fontId="11" fillId="0" borderId="0" xfId="0" applyFont="1" applyAlignment="1" applyProtection="1"/>
    <xf numFmtId="0" fontId="9" fillId="3" borderId="45" xfId="0" applyFont="1" applyFill="1" applyBorder="1" applyAlignment="1" applyProtection="1">
      <alignment horizontal="center" vertical="top" wrapText="1"/>
      <protection locked="0"/>
    </xf>
    <xf numFmtId="0" fontId="9" fillId="0" borderId="88" xfId="0" applyFont="1" applyBorder="1" applyAlignment="1" applyProtection="1">
      <alignment horizontal="left"/>
      <protection locked="0"/>
    </xf>
    <xf numFmtId="0" fontId="9" fillId="0" borderId="88" xfId="0" quotePrefix="1" applyFont="1" applyBorder="1" applyAlignment="1" applyProtection="1">
      <alignment horizontal="left"/>
      <protection locked="0"/>
    </xf>
    <xf numFmtId="0" fontId="9" fillId="0" borderId="39" xfId="0" quotePrefix="1" applyFont="1" applyBorder="1" applyAlignment="1" applyProtection="1">
      <alignment horizontal="left"/>
      <protection locked="0"/>
    </xf>
    <xf numFmtId="0" fontId="24" fillId="0" borderId="24" xfId="0" applyFont="1" applyBorder="1" applyAlignment="1" applyProtection="1">
      <alignment horizontal="left" vertical="center"/>
      <protection locked="0"/>
    </xf>
    <xf numFmtId="0" fontId="12" fillId="0" borderId="88" xfId="0" quotePrefix="1" applyFont="1" applyBorder="1" applyAlignment="1" applyProtection="1">
      <alignment horizontal="left" vertical="top" wrapText="1"/>
      <protection locked="0"/>
    </xf>
    <xf numFmtId="0" fontId="12" fillId="0" borderId="88" xfId="0" applyFont="1" applyBorder="1" applyAlignment="1" applyProtection="1">
      <alignment horizontal="left"/>
      <protection locked="0"/>
    </xf>
    <xf numFmtId="0" fontId="12" fillId="0" borderId="42" xfId="0" applyFont="1" applyBorder="1" applyAlignment="1" applyProtection="1">
      <alignment horizontal="left"/>
      <protection locked="0"/>
    </xf>
    <xf numFmtId="167" fontId="9" fillId="0" borderId="8" xfId="2" applyNumberFormat="1" applyFont="1" applyFill="1" applyBorder="1" applyAlignment="1" applyProtection="1"/>
    <xf numFmtId="167" fontId="9" fillId="0" borderId="47" xfId="2" applyNumberFormat="1" applyFont="1" applyFill="1" applyBorder="1" applyAlignment="1" applyProtection="1"/>
    <xf numFmtId="3" fontId="12" fillId="0" borderId="8" xfId="0" applyNumberFormat="1" applyFont="1" applyFill="1" applyBorder="1" applyAlignment="1" applyProtection="1">
      <protection locked="0"/>
    </xf>
    <xf numFmtId="3" fontId="12" fillId="0" borderId="47" xfId="0" applyNumberFormat="1" applyFont="1" applyFill="1" applyBorder="1" applyAlignment="1" applyProtection="1">
      <protection locked="0"/>
    </xf>
    <xf numFmtId="174" fontId="12" fillId="0" borderId="5" xfId="0" applyNumberFormat="1" applyFont="1" applyFill="1" applyBorder="1" applyAlignment="1" applyProtection="1">
      <protection locked="0"/>
    </xf>
    <xf numFmtId="3" fontId="12" fillId="0" borderId="8" xfId="1" applyNumberFormat="1" applyFont="1" applyBorder="1" applyAlignment="1" applyProtection="1"/>
    <xf numFmtId="3" fontId="12" fillId="0" borderId="47" xfId="1" applyNumberFormat="1" applyFont="1" applyBorder="1" applyAlignment="1" applyProtection="1"/>
    <xf numFmtId="180" fontId="12" fillId="0" borderId="8" xfId="2" applyNumberFormat="1" applyFont="1" applyFill="1" applyBorder="1" applyAlignment="1" applyProtection="1"/>
    <xf numFmtId="180" fontId="12" fillId="0" borderId="47" xfId="2" applyNumberFormat="1" applyFont="1" applyFill="1" applyBorder="1" applyAlignment="1" applyProtection="1"/>
    <xf numFmtId="180" fontId="12" fillId="0" borderId="41" xfId="2" applyNumberFormat="1" applyFont="1" applyFill="1" applyBorder="1" applyAlignment="1" applyProtection="1"/>
    <xf numFmtId="180" fontId="12" fillId="0" borderId="40" xfId="2" applyNumberFormat="1" applyFont="1" applyFill="1" applyBorder="1" applyAlignment="1" applyProtection="1"/>
    <xf numFmtId="0" fontId="31" fillId="2" borderId="1"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165" fontId="9" fillId="2" borderId="1" xfId="0" applyNumberFormat="1" applyFont="1" applyFill="1" applyBorder="1" applyAlignment="1" applyProtection="1">
      <alignment horizontal="center" vertical="center" wrapText="1"/>
      <protection locked="0"/>
    </xf>
    <xf numFmtId="166" fontId="9" fillId="0" borderId="1" xfId="0" applyNumberFormat="1" applyFont="1" applyFill="1" applyBorder="1" applyAlignment="1" applyProtection="1">
      <alignment horizontal="center" vertical="center" wrapText="1"/>
    </xf>
    <xf numFmtId="10" fontId="33" fillId="2" borderId="1" xfId="0" applyNumberFormat="1" applyFont="1" applyFill="1" applyBorder="1" applyProtection="1">
      <protection locked="0"/>
    </xf>
    <xf numFmtId="172" fontId="33" fillId="2" borderId="5" xfId="0" applyNumberFormat="1" applyFont="1" applyFill="1" applyBorder="1" applyProtection="1">
      <protection locked="0"/>
    </xf>
    <xf numFmtId="172" fontId="33" fillId="2" borderId="60" xfId="0" applyNumberFormat="1" applyFont="1" applyFill="1" applyBorder="1" applyProtection="1">
      <protection locked="0"/>
    </xf>
    <xf numFmtId="0" fontId="33" fillId="0" borderId="42" xfId="0" applyFont="1" applyBorder="1" applyProtection="1">
      <protection locked="0"/>
    </xf>
    <xf numFmtId="0" fontId="33" fillId="2" borderId="5" xfId="0" applyFont="1" applyFill="1" applyBorder="1" applyProtection="1">
      <protection locked="0"/>
    </xf>
    <xf numFmtId="0" fontId="33" fillId="3" borderId="5" xfId="0" applyFont="1" applyFill="1" applyBorder="1" applyProtection="1">
      <protection locked="0"/>
    </xf>
    <xf numFmtId="44" fontId="33" fillId="0" borderId="5" xfId="2" applyFont="1" applyFill="1" applyBorder="1" applyProtection="1">
      <protection locked="0"/>
    </xf>
    <xf numFmtId="0" fontId="33" fillId="0" borderId="43" xfId="0" applyFont="1" applyBorder="1" applyProtection="1">
      <protection locked="0"/>
    </xf>
    <xf numFmtId="0" fontId="33" fillId="2" borderId="60" xfId="0" applyFont="1" applyFill="1" applyBorder="1" applyProtection="1">
      <protection locked="0"/>
    </xf>
    <xf numFmtId="0" fontId="33" fillId="3" borderId="60" xfId="0" applyFont="1" applyFill="1" applyBorder="1" applyProtection="1">
      <protection locked="0"/>
    </xf>
    <xf numFmtId="10" fontId="33" fillId="2" borderId="60" xfId="0" applyNumberFormat="1" applyFont="1" applyFill="1" applyBorder="1" applyProtection="1">
      <protection locked="0"/>
    </xf>
    <xf numFmtId="44" fontId="33" fillId="0" borderId="60" xfId="2" applyFont="1" applyFill="1" applyBorder="1" applyProtection="1">
      <protection locked="0"/>
    </xf>
    <xf numFmtId="0" fontId="33" fillId="0" borderId="62" xfId="0" applyFont="1" applyBorder="1" applyProtection="1">
      <protection locked="0"/>
    </xf>
    <xf numFmtId="10" fontId="33" fillId="2" borderId="5" xfId="0" applyNumberFormat="1" applyFont="1" applyFill="1" applyBorder="1" applyProtection="1">
      <protection locked="0"/>
    </xf>
    <xf numFmtId="172" fontId="33" fillId="2" borderId="89" xfId="0" applyNumberFormat="1" applyFont="1" applyFill="1" applyBorder="1" applyProtection="1">
      <protection locked="0"/>
    </xf>
    <xf numFmtId="0" fontId="5" fillId="0" borderId="0" xfId="0" applyFont="1" applyProtection="1">
      <protection locked="0"/>
    </xf>
    <xf numFmtId="0" fontId="26" fillId="0" borderId="1"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left" vertical="top" wrapText="1"/>
      <protection locked="0"/>
    </xf>
    <xf numFmtId="0" fontId="33" fillId="0" borderId="0" xfId="0" applyFont="1" applyAlignment="1" applyProtection="1">
      <alignment horizontal="right"/>
      <protection locked="0"/>
    </xf>
    <xf numFmtId="0" fontId="3" fillId="0" borderId="0" xfId="0" applyFont="1" applyAlignment="1" applyProtection="1">
      <alignment horizontal="right"/>
      <protection locked="0"/>
    </xf>
    <xf numFmtId="169" fontId="3" fillId="0" borderId="60" xfId="41" applyNumberFormat="1" applyFont="1" applyBorder="1"/>
    <xf numFmtId="0" fontId="3" fillId="0" borderId="61" xfId="0" applyFont="1" applyBorder="1"/>
    <xf numFmtId="167" fontId="3" fillId="0" borderId="90" xfId="41" applyNumberFormat="1" applyFont="1" applyBorder="1"/>
    <xf numFmtId="0" fontId="3" fillId="0" borderId="0" xfId="0" applyFont="1" applyProtection="1">
      <protection locked="0"/>
    </xf>
    <xf numFmtId="167" fontId="3" fillId="0" borderId="5" xfId="138" applyNumberFormat="1" applyFont="1" applyBorder="1" applyProtection="1">
      <protection locked="0"/>
    </xf>
    <xf numFmtId="10" fontId="68" fillId="62" borderId="91" xfId="54" applyNumberFormat="1" applyFont="1" applyFill="1" applyBorder="1"/>
    <xf numFmtId="167" fontId="3" fillId="0" borderId="5" xfId="0" applyNumberFormat="1" applyFont="1" applyBorder="1" applyProtection="1">
      <protection locked="0"/>
    </xf>
    <xf numFmtId="0" fontId="12" fillId="0" borderId="55" xfId="4" applyFill="1" applyBorder="1" applyAlignment="1" applyProtection="1">
      <alignment horizontal="left" wrapText="1"/>
      <protection locked="0"/>
    </xf>
    <xf numFmtId="167" fontId="12" fillId="0" borderId="48" xfId="2" applyNumberFormat="1" applyFont="1" applyFill="1" applyBorder="1" applyAlignment="1" applyProtection="1">
      <alignment horizontal="center"/>
      <protection locked="0"/>
    </xf>
    <xf numFmtId="0" fontId="12" fillId="0" borderId="54" xfId="4" applyFill="1" applyBorder="1" applyAlignment="1" applyProtection="1">
      <alignment horizontal="left" wrapText="1"/>
      <protection locked="0"/>
    </xf>
    <xf numFmtId="0" fontId="12" fillId="0" borderId="46" xfId="4" applyFill="1" applyBorder="1" applyAlignment="1" applyProtection="1">
      <alignment horizontal="left" wrapText="1"/>
      <protection locked="0"/>
    </xf>
    <xf numFmtId="167" fontId="12" fillId="0" borderId="43" xfId="2" applyNumberFormat="1" applyFont="1" applyFill="1" applyBorder="1" applyProtection="1">
      <protection locked="0"/>
    </xf>
    <xf numFmtId="0" fontId="12" fillId="0" borderId="49" xfId="4" applyFill="1" applyBorder="1" applyAlignment="1" applyProtection="1">
      <alignment horizontal="left" wrapText="1"/>
      <protection locked="0"/>
    </xf>
    <xf numFmtId="167" fontId="7" fillId="0" borderId="26" xfId="2" applyNumberFormat="1" applyFill="1" applyBorder="1" applyProtection="1">
      <protection locked="0"/>
    </xf>
    <xf numFmtId="173" fontId="33" fillId="2" borderId="1" xfId="1" applyNumberFormat="1" applyFont="1" applyFill="1" applyBorder="1" applyProtection="1">
      <protection locked="0"/>
    </xf>
    <xf numFmtId="173" fontId="33" fillId="2" borderId="10" xfId="1" applyNumberFormat="1" applyFont="1" applyFill="1" applyBorder="1" applyProtection="1">
      <protection locked="0"/>
    </xf>
    <xf numFmtId="173" fontId="33" fillId="4" borderId="1" xfId="1" applyNumberFormat="1" applyFont="1" applyFill="1" applyBorder="1" applyProtection="1"/>
    <xf numFmtId="173" fontId="9" fillId="0" borderId="11" xfId="1" applyNumberFormat="1" applyFont="1" applyFill="1" applyBorder="1" applyProtection="1"/>
    <xf numFmtId="174" fontId="12" fillId="0" borderId="43" xfId="0" applyNumberFormat="1" applyFont="1" applyFill="1" applyBorder="1" applyAlignment="1" applyProtection="1">
      <protection locked="0"/>
    </xf>
    <xf numFmtId="0" fontId="6" fillId="0" borderId="30" xfId="0" applyFont="1" applyFill="1" applyBorder="1" applyProtection="1">
      <protection locked="0"/>
    </xf>
    <xf numFmtId="0" fontId="6" fillId="0" borderId="1" xfId="0" applyFont="1" applyFill="1" applyBorder="1" applyProtection="1">
      <protection locked="0"/>
    </xf>
    <xf numFmtId="0" fontId="6" fillId="0" borderId="1" xfId="0" applyFont="1" applyFill="1" applyBorder="1" applyAlignment="1" applyProtection="1">
      <alignment horizontal="left"/>
      <protection locked="0"/>
    </xf>
    <xf numFmtId="0" fontId="77" fillId="0" borderId="1" xfId="0" applyFont="1" applyFill="1" applyBorder="1" applyAlignment="1" applyProtection="1">
      <alignment horizontal="left"/>
      <protection locked="0"/>
    </xf>
    <xf numFmtId="0" fontId="68" fillId="0" borderId="31" xfId="0" applyFont="1" applyFill="1" applyBorder="1" applyProtection="1">
      <protection locked="0"/>
    </xf>
    <xf numFmtId="0" fontId="68" fillId="0" borderId="32" xfId="0" applyFont="1" applyFill="1" applyBorder="1" applyProtection="1">
      <protection locked="0"/>
    </xf>
    <xf numFmtId="0" fontId="68" fillId="0" borderId="32" xfId="0" applyFont="1" applyFill="1" applyBorder="1" applyAlignment="1" applyProtection="1">
      <alignment horizontal="left"/>
      <protection locked="0"/>
    </xf>
    <xf numFmtId="0" fontId="80" fillId="0" borderId="32" xfId="0" applyFont="1" applyFill="1" applyBorder="1" applyAlignment="1" applyProtection="1">
      <alignment horizontal="left"/>
      <protection locked="0"/>
    </xf>
    <xf numFmtId="0" fontId="31" fillId="0" borderId="1" xfId="0" applyFont="1" applyFill="1" applyBorder="1" applyProtection="1">
      <protection locked="0"/>
    </xf>
    <xf numFmtId="0" fontId="76" fillId="0" borderId="1" xfId="0" applyFont="1" applyFill="1" applyBorder="1" applyProtection="1">
      <protection locked="0"/>
    </xf>
    <xf numFmtId="0" fontId="77" fillId="0" borderId="1" xfId="0" applyFont="1" applyFill="1" applyBorder="1" applyProtection="1">
      <protection locked="0"/>
    </xf>
    <xf numFmtId="0" fontId="3" fillId="0" borderId="30" xfId="0" applyFont="1" applyFill="1" applyBorder="1" applyProtection="1">
      <protection locked="0"/>
    </xf>
    <xf numFmtId="0" fontId="3" fillId="0" borderId="1" xfId="0" applyFont="1" applyFill="1" applyBorder="1" applyProtection="1">
      <protection locked="0"/>
    </xf>
    <xf numFmtId="0" fontId="3" fillId="0" borderId="1" xfId="0" applyFont="1" applyFill="1" applyBorder="1" applyAlignment="1" applyProtection="1">
      <alignment horizontal="left"/>
      <protection locked="0"/>
    </xf>
    <xf numFmtId="0" fontId="14" fillId="0" borderId="0" xfId="0" applyFont="1" applyProtection="1">
      <protection locked="0"/>
    </xf>
    <xf numFmtId="0" fontId="24" fillId="0" borderId="0" xfId="4" applyFont="1" applyFill="1" applyProtection="1">
      <protection locked="0"/>
    </xf>
    <xf numFmtId="0" fontId="24" fillId="0" borderId="0" xfId="4" applyFont="1" applyFill="1" applyProtection="1"/>
    <xf numFmtId="0" fontId="12" fillId="0" borderId="0" xfId="4" applyFill="1" applyProtection="1">
      <protection locked="0"/>
    </xf>
    <xf numFmtId="0" fontId="24" fillId="0" borderId="0" xfId="4" applyFont="1" applyProtection="1">
      <protection locked="0"/>
    </xf>
    <xf numFmtId="0" fontId="82" fillId="0" borderId="0" xfId="0" applyFont="1" applyFill="1" applyProtection="1">
      <protection locked="0"/>
    </xf>
    <xf numFmtId="0" fontId="6" fillId="0" borderId="0" xfId="0" applyFont="1" applyFill="1" applyProtection="1">
      <protection locked="0"/>
    </xf>
    <xf numFmtId="0" fontId="24" fillId="0" borderId="0" xfId="0" applyFont="1" applyFill="1" applyProtection="1"/>
    <xf numFmtId="0" fontId="20" fillId="0" borderId="0" xfId="4" applyFont="1" applyFill="1" applyBorder="1"/>
    <xf numFmtId="0" fontId="12" fillId="0" borderId="0" xfId="4" applyFont="1" applyFill="1" applyBorder="1"/>
    <xf numFmtId="0" fontId="9" fillId="0" borderId="92" xfId="4" applyFont="1" applyFill="1" applyBorder="1"/>
    <xf numFmtId="0" fontId="9" fillId="0" borderId="93" xfId="4" applyFont="1" applyFill="1" applyBorder="1" applyAlignment="1">
      <alignment horizontal="center" vertical="center"/>
    </xf>
    <xf numFmtId="0" fontId="13" fillId="0" borderId="93" xfId="4" applyFont="1" applyFill="1" applyBorder="1" applyAlignment="1">
      <alignment horizontal="center" vertical="center"/>
    </xf>
    <xf numFmtId="0" fontId="9" fillId="0" borderId="94" xfId="4" applyFont="1" applyFill="1" applyBorder="1" applyAlignment="1">
      <alignment horizontal="center" vertical="center"/>
    </xf>
    <xf numFmtId="0" fontId="9" fillId="0" borderId="44" xfId="4" applyFont="1" applyFill="1" applyBorder="1" applyAlignment="1">
      <alignment horizontal="left"/>
    </xf>
    <xf numFmtId="169" fontId="12" fillId="0" borderId="0" xfId="99" applyNumberFormat="1" applyFont="1" applyFill="1" applyBorder="1" applyAlignment="1">
      <alignment horizontal="center"/>
    </xf>
    <xf numFmtId="169" fontId="19" fillId="0" borderId="0" xfId="4" applyNumberFormat="1" applyFont="1" applyFill="1" applyBorder="1"/>
    <xf numFmtId="169" fontId="12" fillId="0" borderId="0" xfId="4" applyNumberFormat="1" applyFont="1" applyFill="1" applyBorder="1"/>
    <xf numFmtId="169" fontId="12" fillId="0" borderId="95" xfId="4" applyNumberFormat="1" applyFont="1" applyFill="1" applyBorder="1"/>
    <xf numFmtId="0" fontId="9" fillId="0" borderId="88" xfId="4" applyFont="1" applyFill="1" applyBorder="1" applyAlignment="1">
      <alignment horizontal="left"/>
    </xf>
    <xf numFmtId="0" fontId="9" fillId="0" borderId="39" xfId="4" applyFont="1" applyFill="1" applyBorder="1" applyAlignment="1">
      <alignment horizontal="left"/>
    </xf>
    <xf numFmtId="3" fontId="9" fillId="0" borderId="13" xfId="4" applyNumberFormat="1" applyFont="1" applyFill="1" applyBorder="1"/>
    <xf numFmtId="0" fontId="12" fillId="0" borderId="0" xfId="4" applyFont="1" applyFill="1" applyBorder="1" applyAlignment="1">
      <alignment horizontal="left"/>
    </xf>
    <xf numFmtId="0" fontId="20" fillId="0" borderId="0" xfId="4" applyFont="1" applyFill="1" applyBorder="1" applyAlignment="1">
      <alignment horizontal="left"/>
    </xf>
    <xf numFmtId="0" fontId="9" fillId="0" borderId="92" xfId="4" applyFont="1" applyFill="1" applyBorder="1" applyAlignment="1">
      <alignment horizontal="left"/>
    </xf>
    <xf numFmtId="0" fontId="9" fillId="0" borderId="93" xfId="4" applyFont="1" applyFill="1" applyBorder="1" applyAlignment="1">
      <alignment vertical="center"/>
    </xf>
    <xf numFmtId="0" fontId="9" fillId="0" borderId="94" xfId="4" applyFont="1" applyFill="1" applyBorder="1" applyAlignment="1">
      <alignment vertical="center"/>
    </xf>
    <xf numFmtId="169" fontId="12" fillId="0" borderId="0" xfId="99" applyNumberFormat="1" applyFont="1" applyFill="1" applyBorder="1" applyAlignment="1">
      <alignment horizontal="right"/>
    </xf>
    <xf numFmtId="169" fontId="12" fillId="0" borderId="95" xfId="99" applyNumberFormat="1" applyFont="1" applyFill="1" applyBorder="1" applyAlignment="1">
      <alignment horizontal="right"/>
    </xf>
    <xf numFmtId="3" fontId="9" fillId="0" borderId="13" xfId="4" applyNumberFormat="1" applyFont="1" applyFill="1" applyBorder="1" applyAlignment="1">
      <alignment horizontal="right"/>
    </xf>
    <xf numFmtId="169" fontId="9" fillId="0" borderId="13" xfId="99" applyNumberFormat="1" applyFont="1" applyFill="1" applyBorder="1" applyAlignment="1">
      <alignment horizontal="right"/>
    </xf>
    <xf numFmtId="169" fontId="9" fillId="0" borderId="14" xfId="99" applyNumberFormat="1" applyFont="1" applyFill="1" applyBorder="1" applyAlignment="1">
      <alignment horizontal="right"/>
    </xf>
    <xf numFmtId="0" fontId="0" fillId="0" borderId="0" xfId="0" applyFill="1"/>
    <xf numFmtId="0" fontId="9" fillId="63" borderId="93" xfId="4" applyFont="1" applyFill="1" applyBorder="1" applyAlignment="1">
      <alignment horizontal="center" vertical="center"/>
    </xf>
    <xf numFmtId="169" fontId="12" fillId="63" borderId="0" xfId="4" applyNumberFormat="1" applyFont="1" applyFill="1" applyBorder="1"/>
    <xf numFmtId="3" fontId="9" fillId="63" borderId="13" xfId="4" applyNumberFormat="1" applyFont="1" applyFill="1" applyBorder="1"/>
    <xf numFmtId="0" fontId="9" fillId="63" borderId="93" xfId="4" applyFont="1" applyFill="1" applyBorder="1" applyAlignment="1">
      <alignment vertical="center"/>
    </xf>
    <xf numFmtId="169" fontId="12" fillId="63" borderId="0" xfId="99" applyNumberFormat="1" applyFont="1" applyFill="1" applyBorder="1" applyAlignment="1">
      <alignment horizontal="right"/>
    </xf>
    <xf numFmtId="169" fontId="9" fillId="63" borderId="13" xfId="99" applyNumberFormat="1" applyFont="1" applyFill="1" applyBorder="1" applyAlignment="1">
      <alignment horizontal="right"/>
    </xf>
    <xf numFmtId="0" fontId="71" fillId="0" borderId="8" xfId="0" applyFont="1" applyBorder="1" applyAlignment="1">
      <alignment vertical="center" wrapText="1"/>
    </xf>
    <xf numFmtId="0" fontId="68" fillId="0" borderId="8" xfId="0" applyFont="1" applyBorder="1" applyAlignment="1">
      <alignment horizontal="left" vertical="center" wrapText="1"/>
    </xf>
    <xf numFmtId="0" fontId="68"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5" fontId="2" fillId="0" borderId="8" xfId="2" applyNumberFormat="1" applyFont="1" applyBorder="1" applyAlignment="1">
      <alignment horizontal="center" vertical="center"/>
    </xf>
    <xf numFmtId="0" fontId="2" fillId="0" borderId="5" xfId="0" applyFont="1" applyBorder="1" applyAlignment="1">
      <alignment horizontal="center" vertical="center"/>
    </xf>
    <xf numFmtId="5" fontId="2" fillId="0" borderId="5" xfId="2" applyNumberFormat="1" applyFont="1" applyBorder="1" applyAlignment="1">
      <alignment horizontal="center" vertical="center"/>
    </xf>
    <xf numFmtId="0" fontId="2" fillId="0" borderId="1" xfId="0" applyFont="1" applyBorder="1" applyAlignment="1">
      <alignment horizontal="center" vertical="center"/>
    </xf>
    <xf numFmtId="0" fontId="68" fillId="0" borderId="1" xfId="0" applyFont="1" applyBorder="1" applyAlignment="1">
      <alignment horizontal="left" vertical="center"/>
    </xf>
    <xf numFmtId="5" fontId="68" fillId="0" borderId="1" xfId="2" applyNumberFormat="1" applyFont="1" applyBorder="1" applyAlignment="1">
      <alignment horizontal="center" vertical="center"/>
    </xf>
    <xf numFmtId="0" fontId="71" fillId="0" borderId="1" xfId="0" applyFont="1" applyBorder="1" applyAlignment="1">
      <alignment vertical="center"/>
    </xf>
    <xf numFmtId="0" fontId="0" fillId="0" borderId="1" xfId="0" applyFont="1" applyBorder="1" applyAlignment="1">
      <alignment horizontal="center" vertical="center"/>
    </xf>
    <xf numFmtId="0" fontId="2" fillId="0" borderId="5" xfId="0" applyFont="1" applyBorder="1" applyAlignment="1">
      <alignment horizontal="left" vertical="center"/>
    </xf>
    <xf numFmtId="0" fontId="11" fillId="0" borderId="0" xfId="4" applyFont="1" applyAlignment="1" applyProtection="1">
      <alignment horizontal="center"/>
      <protection locked="0"/>
    </xf>
    <xf numFmtId="0" fontId="26" fillId="0" borderId="0" xfId="4" applyFont="1" applyAlignment="1" applyProtection="1">
      <alignment horizontal="center" vertical="center" wrapText="1"/>
      <protection locked="0"/>
    </xf>
    <xf numFmtId="0" fontId="11" fillId="0" borderId="0" xfId="0" applyFont="1" applyAlignment="1" applyProtection="1">
      <alignment horizontal="center" vertical="top"/>
    </xf>
    <xf numFmtId="0" fontId="83" fillId="0" borderId="0" xfId="4" applyFont="1" applyFill="1" applyProtection="1">
      <protection locked="0"/>
    </xf>
    <xf numFmtId="0" fontId="81" fillId="0" borderId="0" xfId="4" applyFont="1" applyFill="1" applyProtection="1">
      <protection locked="0"/>
    </xf>
    <xf numFmtId="0" fontId="9" fillId="5" borderId="5" xfId="4" applyFont="1" applyFill="1" applyBorder="1" applyAlignment="1" applyProtection="1">
      <alignment horizontal="center" vertical="center"/>
      <protection locked="0"/>
    </xf>
    <xf numFmtId="169" fontId="72" fillId="0" borderId="1" xfId="1" applyNumberFormat="1" applyFont="1" applyBorder="1"/>
    <xf numFmtId="0" fontId="9" fillId="0" borderId="1" xfId="4" applyFont="1" applyFill="1" applyBorder="1" applyAlignment="1" applyProtection="1">
      <alignment horizontal="center" vertical="center"/>
      <protection locked="0"/>
    </xf>
    <xf numFmtId="0" fontId="9" fillId="5" borderId="5" xfId="4" applyFont="1" applyFill="1" applyBorder="1" applyAlignment="1" applyProtection="1">
      <alignment horizontal="center" vertical="center" wrapText="1"/>
      <protection locked="0"/>
    </xf>
    <xf numFmtId="169" fontId="72" fillId="0" borderId="1" xfId="1" applyNumberFormat="1" applyFont="1" applyBorder="1" applyAlignment="1">
      <alignment horizontal="center"/>
    </xf>
    <xf numFmtId="10" fontId="72" fillId="0" borderId="1" xfId="3" applyNumberFormat="1" applyFont="1" applyBorder="1" applyAlignment="1">
      <alignment horizontal="center"/>
    </xf>
    <xf numFmtId="169" fontId="72" fillId="0" borderId="1" xfId="1" applyNumberFormat="1" applyFont="1" applyBorder="1" applyAlignment="1">
      <alignment horizontal="center" vertical="center"/>
    </xf>
    <xf numFmtId="10" fontId="72" fillId="0" borderId="1" xfId="3" applyNumberFormat="1" applyFont="1" applyBorder="1" applyAlignment="1">
      <alignment horizontal="center" vertical="center"/>
    </xf>
    <xf numFmtId="169" fontId="73" fillId="0" borderId="1" xfId="1" applyNumberFormat="1" applyFont="1" applyBorder="1" applyAlignment="1">
      <alignment horizontal="center"/>
    </xf>
    <xf numFmtId="0" fontId="9" fillId="5" borderId="1" xfId="4" applyFont="1" applyFill="1" applyBorder="1" applyAlignment="1" applyProtection="1">
      <alignment horizontal="center" vertical="center" wrapText="1"/>
      <protection locked="0"/>
    </xf>
    <xf numFmtId="0" fontId="7" fillId="0" borderId="0" xfId="12"/>
    <xf numFmtId="0" fontId="73" fillId="0" borderId="22" xfId="0" applyFont="1" applyBorder="1" applyAlignment="1">
      <alignment horizontal="center" vertical="center"/>
    </xf>
    <xf numFmtId="0" fontId="73" fillId="0" borderId="23" xfId="0" applyFont="1" applyBorder="1" applyAlignment="1">
      <alignment horizontal="center" vertical="center"/>
    </xf>
    <xf numFmtId="0" fontId="73" fillId="0" borderId="23" xfId="0" applyFont="1" applyBorder="1" applyAlignment="1">
      <alignment horizontal="center" vertical="center" wrapText="1"/>
    </xf>
    <xf numFmtId="0" fontId="73" fillId="0" borderId="4" xfId="0" applyFont="1" applyBorder="1" applyAlignment="1">
      <alignment horizontal="center" vertical="center" wrapText="1"/>
    </xf>
    <xf numFmtId="0" fontId="72" fillId="0" borderId="0" xfId="0" applyFont="1" applyAlignment="1">
      <alignment horizontal="center"/>
    </xf>
    <xf numFmtId="0" fontId="72" fillId="0" borderId="0" xfId="0" applyFont="1"/>
    <xf numFmtId="173" fontId="72" fillId="0" borderId="0" xfId="1" applyNumberFormat="1" applyFont="1"/>
    <xf numFmtId="173" fontId="72" fillId="0" borderId="7" xfId="1" applyNumberFormat="1" applyFont="1" applyBorder="1" applyAlignment="1">
      <alignment horizontal="center"/>
    </xf>
    <xf numFmtId="0" fontId="73" fillId="0" borderId="19" xfId="0" applyFont="1" applyBorder="1"/>
    <xf numFmtId="173" fontId="73" fillId="0" borderId="19" xfId="1" applyNumberFormat="1" applyFont="1" applyBorder="1"/>
    <xf numFmtId="173" fontId="73" fillId="0" borderId="7" xfId="1" applyNumberFormat="1" applyFont="1" applyBorder="1" applyAlignment="1">
      <alignment horizontal="center"/>
    </xf>
    <xf numFmtId="0" fontId="72" fillId="0" borderId="7" xfId="0" applyFont="1" applyBorder="1" applyAlignment="1">
      <alignment horizontal="center"/>
    </xf>
    <xf numFmtId="0" fontId="85" fillId="0" borderId="0" xfId="0" applyFont="1"/>
    <xf numFmtId="173" fontId="72" fillId="0" borderId="0" xfId="0" applyNumberFormat="1" applyFont="1"/>
    <xf numFmtId="173" fontId="72" fillId="0" borderId="7" xfId="0" applyNumberFormat="1" applyFont="1" applyBorder="1" applyAlignment="1">
      <alignment horizontal="center"/>
    </xf>
    <xf numFmtId="0" fontId="73" fillId="0" borderId="0" xfId="0" applyFont="1"/>
    <xf numFmtId="0" fontId="72" fillId="0" borderId="23" xfId="0" applyFont="1" applyBorder="1" applyAlignment="1">
      <alignment horizontal="center"/>
    </xf>
    <xf numFmtId="0" fontId="72" fillId="0" borderId="19" xfId="0" applyFont="1" applyBorder="1"/>
    <xf numFmtId="173" fontId="72" fillId="0" borderId="19" xfId="0" applyNumberFormat="1" applyFont="1" applyBorder="1"/>
    <xf numFmtId="0" fontId="72" fillId="0" borderId="4" xfId="0" applyFont="1" applyBorder="1" applyAlignment="1">
      <alignment horizontal="center"/>
    </xf>
    <xf numFmtId="0" fontId="72" fillId="0" borderId="0" xfId="0" applyFont="1" applyAlignment="1">
      <alignment vertical="top"/>
    </xf>
    <xf numFmtId="0" fontId="72" fillId="0" borderId="0" xfId="0" applyFont="1" applyAlignment="1">
      <alignment vertical="top" wrapText="1"/>
    </xf>
    <xf numFmtId="43" fontId="0" fillId="0" borderId="0" xfId="0" applyNumberFormat="1" applyProtection="1"/>
    <xf numFmtId="44" fontId="6" fillId="0" borderId="0" xfId="0" applyNumberFormat="1" applyFont="1" applyProtection="1">
      <protection locked="0"/>
    </xf>
    <xf numFmtId="43" fontId="6" fillId="0" borderId="0" xfId="1" applyFont="1" applyProtection="1">
      <protection locked="0"/>
    </xf>
    <xf numFmtId="0" fontId="2" fillId="0" borderId="0" xfId="0" applyFont="1" applyProtection="1">
      <protection locked="0"/>
    </xf>
    <xf numFmtId="0" fontId="86" fillId="0" borderId="0" xfId="0" applyFont="1" applyProtection="1">
      <protection locked="0"/>
    </xf>
    <xf numFmtId="0" fontId="11" fillId="0" borderId="0" xfId="0" applyFont="1" applyAlignment="1" applyProtection="1">
      <alignment vertical="top"/>
      <protection locked="0"/>
    </xf>
    <xf numFmtId="0" fontId="68" fillId="0" borderId="1" xfId="0" applyFont="1" applyBorder="1" applyAlignment="1">
      <alignment horizontal="center"/>
    </xf>
    <xf numFmtId="0" fontId="68" fillId="0" borderId="19" xfId="0" applyFont="1" applyBorder="1" applyAlignment="1">
      <alignment horizontal="center"/>
    </xf>
    <xf numFmtId="0" fontId="68" fillId="0" borderId="6" xfId="0" applyFont="1" applyBorder="1" applyAlignment="1">
      <alignment horizontal="center"/>
    </xf>
    <xf numFmtId="0" fontId="68" fillId="0" borderId="7" xfId="0" applyFont="1" applyBorder="1"/>
    <xf numFmtId="0" fontId="68" fillId="0" borderId="6" xfId="0" applyFont="1" applyBorder="1"/>
    <xf numFmtId="0" fontId="86" fillId="0" borderId="0" xfId="0" applyFont="1" applyAlignment="1">
      <alignment horizontal="left" vertical="center"/>
    </xf>
    <xf numFmtId="0" fontId="86" fillId="0" borderId="0" xfId="0" applyFont="1" applyAlignment="1">
      <alignment horizontal="left"/>
    </xf>
    <xf numFmtId="173" fontId="2" fillId="0" borderId="0" xfId="0" applyNumberFormat="1" applyFont="1" applyAlignment="1">
      <alignment horizontal="center"/>
    </xf>
    <xf numFmtId="173" fontId="2" fillId="0" borderId="7" xfId="0" applyNumberFormat="1" applyFont="1" applyBorder="1" applyAlignment="1">
      <alignment horizontal="center"/>
    </xf>
    <xf numFmtId="173" fontId="68" fillId="0" borderId="19" xfId="0" applyNumberFormat="1" applyFont="1" applyBorder="1" applyAlignment="1">
      <alignment horizontal="center"/>
    </xf>
    <xf numFmtId="173" fontId="68" fillId="0" borderId="6" xfId="0" applyNumberFormat="1" applyFont="1" applyBorder="1" applyAlignment="1">
      <alignment horizontal="center"/>
    </xf>
    <xf numFmtId="181" fontId="6" fillId="5" borderId="0" xfId="0" applyNumberFormat="1" applyFont="1" applyFill="1" applyProtection="1">
      <protection locked="0"/>
    </xf>
    <xf numFmtId="182" fontId="6" fillId="5" borderId="0" xfId="0" applyNumberFormat="1" applyFont="1" applyFill="1" applyProtection="1">
      <protection locked="0"/>
    </xf>
    <xf numFmtId="173" fontId="6" fillId="0" borderId="26" xfId="1" applyNumberFormat="1" applyFont="1" applyFill="1" applyBorder="1" applyProtection="1">
      <protection locked="0"/>
    </xf>
    <xf numFmtId="173" fontId="68" fillId="0" borderId="32" xfId="1" applyNumberFormat="1" applyFont="1" applyFill="1" applyBorder="1" applyProtection="1">
      <protection locked="0"/>
    </xf>
    <xf numFmtId="0" fontId="14" fillId="0" borderId="0" xfId="0" applyFont="1" applyFill="1" applyProtection="1">
      <protection locked="0"/>
    </xf>
    <xf numFmtId="0" fontId="2" fillId="0" borderId="1" xfId="0" applyFont="1" applyFill="1" applyBorder="1" applyAlignment="1" applyProtection="1">
      <alignment horizontal="left"/>
      <protection locked="0"/>
    </xf>
    <xf numFmtId="0" fontId="2" fillId="0" borderId="1" xfId="0" applyFont="1" applyFill="1" applyBorder="1" applyProtection="1">
      <protection locked="0"/>
    </xf>
    <xf numFmtId="0" fontId="26" fillId="0" borderId="0" xfId="4" applyFont="1" applyAlignment="1" applyProtection="1">
      <alignment horizontal="right"/>
      <protection locked="0"/>
    </xf>
    <xf numFmtId="0" fontId="9" fillId="0" borderId="1" xfId="0" applyFont="1" applyBorder="1" applyAlignment="1" applyProtection="1">
      <alignment vertical="center" wrapText="1"/>
    </xf>
    <xf numFmtId="0" fontId="9" fillId="0" borderId="5" xfId="0" applyFont="1" applyBorder="1" applyProtection="1"/>
    <xf numFmtId="49" fontId="9" fillId="0" borderId="1" xfId="0" applyNumberFormat="1" applyFont="1" applyBorder="1" applyAlignment="1" applyProtection="1">
      <alignment horizontal="center"/>
    </xf>
    <xf numFmtId="49" fontId="9" fillId="0" borderId="1" xfId="0" applyNumberFormat="1" applyFont="1" applyFill="1" applyBorder="1" applyAlignment="1" applyProtection="1">
      <alignment horizontal="center"/>
    </xf>
    <xf numFmtId="3" fontId="9" fillId="0" borderId="1" xfId="0" applyNumberFormat="1" applyFont="1" applyFill="1" applyBorder="1" applyAlignment="1" applyProtection="1">
      <alignment horizontal="center" vertical="center" wrapText="1"/>
    </xf>
    <xf numFmtId="0" fontId="1" fillId="0" borderId="0" xfId="0" applyFont="1" applyProtection="1"/>
    <xf numFmtId="0" fontId="1" fillId="0" borderId="0" xfId="0" applyFont="1" applyAlignment="1" applyProtection="1">
      <alignment vertical="center" wrapText="1"/>
    </xf>
    <xf numFmtId="167" fontId="1" fillId="2" borderId="1" xfId="2" applyNumberFormat="1" applyFont="1" applyFill="1" applyBorder="1" applyProtection="1"/>
    <xf numFmtId="167" fontId="1" fillId="0" borderId="1" xfId="2" applyNumberFormat="1" applyFont="1" applyFill="1" applyBorder="1" applyProtection="1"/>
    <xf numFmtId="167" fontId="68" fillId="0" borderId="5" xfId="2" applyNumberFormat="1" applyFont="1" applyBorder="1" applyProtection="1"/>
    <xf numFmtId="0" fontId="1" fillId="0" borderId="0" xfId="0" applyFont="1" applyFill="1" applyBorder="1" applyAlignment="1">
      <alignment horizontal="center"/>
    </xf>
    <xf numFmtId="0" fontId="87" fillId="0" borderId="0" xfId="0" applyFont="1" applyFill="1" applyBorder="1" applyAlignment="1">
      <alignment horizontal="center"/>
    </xf>
    <xf numFmtId="0" fontId="87" fillId="0" borderId="0" xfId="0" applyFont="1" applyFill="1" applyBorder="1" applyAlignment="1">
      <alignment horizontal="left"/>
    </xf>
    <xf numFmtId="0" fontId="1" fillId="0" borderId="0" xfId="0" applyFont="1" applyFill="1" applyBorder="1" applyAlignment="1"/>
    <xf numFmtId="43" fontId="12" fillId="0" borderId="0" xfId="99" applyNumberFormat="1" applyFont="1" applyFill="1"/>
    <xf numFmtId="0" fontId="31" fillId="0" borderId="0" xfId="0" applyFont="1" applyFill="1" applyBorder="1"/>
    <xf numFmtId="0" fontId="31" fillId="0" borderId="0" xfId="0" applyFont="1" applyFill="1" applyBorder="1" applyAlignment="1">
      <alignment horizontal="center" wrapText="1"/>
    </xf>
    <xf numFmtId="0" fontId="1" fillId="0" borderId="30" xfId="0" applyFont="1" applyFill="1" applyBorder="1" applyProtection="1">
      <protection locked="0"/>
    </xf>
    <xf numFmtId="0" fontId="72" fillId="0" borderId="20" xfId="0" applyFont="1" applyBorder="1" applyAlignment="1">
      <alignment horizontal="center" vertical="center"/>
    </xf>
    <xf numFmtId="0" fontId="72" fillId="0" borderId="21" xfId="0" applyFont="1" applyBorder="1" applyAlignment="1">
      <alignment horizontal="center" vertical="center"/>
    </xf>
    <xf numFmtId="0" fontId="72" fillId="0" borderId="9" xfId="0" applyFont="1" applyBorder="1" applyAlignment="1">
      <alignment horizontal="center" vertical="center"/>
    </xf>
    <xf numFmtId="0" fontId="72" fillId="0" borderId="96" xfId="0" applyFont="1" applyBorder="1" applyAlignment="1">
      <alignment horizontal="center"/>
    </xf>
    <xf numFmtId="0" fontId="72" fillId="0" borderId="9" xfId="0" applyFont="1" applyBorder="1" applyAlignment="1">
      <alignment horizontal="center"/>
    </xf>
    <xf numFmtId="0" fontId="72" fillId="0" borderId="22" xfId="0" applyFont="1" applyBorder="1" applyAlignment="1">
      <alignment horizontal="center"/>
    </xf>
    <xf numFmtId="183" fontId="72" fillId="0" borderId="23" xfId="0" applyNumberFormat="1" applyFont="1" applyBorder="1"/>
    <xf numFmtId="173" fontId="72" fillId="0" borderId="23" xfId="0" applyNumberFormat="1" applyFont="1" applyBorder="1"/>
    <xf numFmtId="0" fontId="11" fillId="0" borderId="0" xfId="0" applyFont="1" applyBorder="1" applyAlignment="1" applyProtection="1">
      <alignment horizontal="center" vertical="top"/>
      <protection locked="0"/>
    </xf>
    <xf numFmtId="0" fontId="12" fillId="2" borderId="46" xfId="4" applyFill="1" applyBorder="1" applyAlignment="1" applyProtection="1">
      <alignment horizontal="left" wrapText="1"/>
      <protection locked="0"/>
    </xf>
    <xf numFmtId="0" fontId="12" fillId="0" borderId="59" xfId="4" applyFill="1" applyBorder="1" applyAlignment="1" applyProtection="1">
      <alignment horizontal="left" wrapText="1"/>
      <protection locked="0"/>
    </xf>
    <xf numFmtId="0" fontId="30" fillId="3" borderId="82" xfId="13" applyNumberFormat="1" applyFill="1" applyBorder="1" applyAlignment="1" applyProtection="1">
      <alignment horizontal="center" vertical="center"/>
      <protection locked="0"/>
    </xf>
    <xf numFmtId="0" fontId="30" fillId="3" borderId="83" xfId="13" applyNumberFormat="1" applyFill="1" applyBorder="1" applyAlignment="1" applyProtection="1">
      <alignment horizontal="center" vertical="center"/>
      <protection locked="0"/>
    </xf>
    <xf numFmtId="0" fontId="30" fillId="3" borderId="84" xfId="13" applyNumberFormat="1" applyFill="1" applyBorder="1" applyAlignment="1" applyProtection="1">
      <alignment horizontal="center" vertical="center"/>
      <protection locked="0"/>
    </xf>
    <xf numFmtId="0" fontId="30" fillId="2" borderId="85" xfId="13" applyFill="1" applyBorder="1" applyAlignment="1" applyProtection="1">
      <alignment vertical="center"/>
      <protection locked="0"/>
    </xf>
    <xf numFmtId="0" fontId="30" fillId="2" borderId="86" xfId="13" applyFill="1" applyBorder="1" applyAlignment="1" applyProtection="1">
      <alignment vertical="center"/>
      <protection locked="0"/>
    </xf>
    <xf numFmtId="0" fontId="30" fillId="2" borderId="87" xfId="13" applyFill="1" applyBorder="1" applyAlignment="1" applyProtection="1">
      <alignment vertical="center"/>
      <protection locked="0"/>
    </xf>
    <xf numFmtId="0" fontId="12" fillId="3" borderId="82" xfId="13" applyFont="1" applyFill="1" applyBorder="1" applyAlignment="1" applyProtection="1">
      <alignment horizontal="left" vertical="center" wrapText="1"/>
      <protection locked="0"/>
    </xf>
    <xf numFmtId="0" fontId="30" fillId="3" borderId="83" xfId="13" applyFill="1" applyBorder="1" applyAlignment="1" applyProtection="1">
      <alignment horizontal="left" vertical="center" wrapText="1"/>
      <protection locked="0"/>
    </xf>
    <xf numFmtId="0" fontId="30" fillId="3" borderId="84" xfId="13" applyFill="1" applyBorder="1" applyAlignment="1" applyProtection="1">
      <alignment horizontal="left" vertical="center" wrapText="1"/>
      <protection locked="0"/>
    </xf>
    <xf numFmtId="0" fontId="12" fillId="2" borderId="82" xfId="13" applyFont="1" applyFill="1" applyBorder="1" applyAlignment="1" applyProtection="1">
      <alignment vertical="center"/>
      <protection locked="0"/>
    </xf>
    <xf numFmtId="0" fontId="30" fillId="2" borderId="83" xfId="13" applyFill="1" applyBorder="1" applyAlignment="1" applyProtection="1">
      <alignment vertical="center"/>
      <protection locked="0"/>
    </xf>
    <xf numFmtId="0" fontId="30" fillId="2" borderId="84" xfId="13" applyFill="1" applyBorder="1" applyAlignment="1" applyProtection="1">
      <alignment vertical="center"/>
      <protection locked="0"/>
    </xf>
    <xf numFmtId="0" fontId="30" fillId="2" borderId="82" xfId="13" applyFill="1" applyBorder="1" applyAlignment="1" applyProtection="1">
      <alignment vertical="center"/>
      <protection locked="0"/>
    </xf>
    <xf numFmtId="0" fontId="30" fillId="4" borderId="82" xfId="13" applyNumberFormat="1" applyFill="1" applyBorder="1" applyAlignment="1" applyProtection="1">
      <alignment horizontal="center" vertical="center"/>
    </xf>
    <xf numFmtId="0" fontId="30" fillId="4" borderId="83" xfId="13" applyNumberFormat="1" applyFill="1" applyBorder="1" applyAlignment="1" applyProtection="1">
      <alignment horizontal="center" vertical="center"/>
    </xf>
    <xf numFmtId="0" fontId="30" fillId="4" borderId="84" xfId="13" applyNumberFormat="1" applyFill="1" applyBorder="1" applyAlignment="1" applyProtection="1">
      <alignment horizontal="center" vertical="center"/>
    </xf>
    <xf numFmtId="0" fontId="29" fillId="2" borderId="82" xfId="5" applyNumberFormat="1" applyFill="1" applyBorder="1" applyAlignment="1" applyProtection="1">
      <alignment horizontal="left" vertical="top"/>
      <protection locked="0"/>
    </xf>
    <xf numFmtId="0" fontId="30" fillId="2" borderId="83" xfId="13" applyNumberFormat="1" applyFill="1" applyBorder="1" applyAlignment="1" applyProtection="1">
      <alignment horizontal="left" vertical="top"/>
      <protection locked="0"/>
    </xf>
    <xf numFmtId="0" fontId="30" fillId="2" borderId="84" xfId="13" applyNumberFormat="1" applyFill="1" applyBorder="1" applyAlignment="1" applyProtection="1">
      <alignment horizontal="left" vertical="top"/>
      <protection locked="0"/>
    </xf>
    <xf numFmtId="0" fontId="11" fillId="0" borderId="0" xfId="0" applyFont="1" applyAlignment="1" applyProtection="1">
      <alignment horizontal="center" vertical="center"/>
      <protection locked="0"/>
    </xf>
    <xf numFmtId="0" fontId="11" fillId="0" borderId="0" xfId="4" applyFont="1" applyAlignment="1" applyProtection="1">
      <alignment horizontal="center"/>
      <protection locked="0"/>
    </xf>
    <xf numFmtId="0" fontId="11" fillId="0" borderId="0" xfId="0" applyFont="1" applyAlignment="1" applyProtection="1">
      <alignment horizontal="center" vertical="top" wrapText="1"/>
    </xf>
    <xf numFmtId="0" fontId="11" fillId="0" borderId="0" xfId="0" applyFont="1" applyAlignment="1" applyProtection="1">
      <alignment horizontal="center" vertical="top"/>
    </xf>
    <xf numFmtId="0" fontId="73" fillId="0" borderId="1"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vertical="center" wrapText="1"/>
    </xf>
    <xf numFmtId="0" fontId="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8" fillId="0" borderId="18" xfId="0" applyFont="1" applyBorder="1" applyProtection="1"/>
    <xf numFmtId="0" fontId="8" fillId="0" borderId="19" xfId="0" applyFont="1" applyBorder="1" applyProtection="1"/>
    <xf numFmtId="0" fontId="8" fillId="0" borderId="6" xfId="0" applyFont="1" applyBorder="1" applyProtection="1"/>
    <xf numFmtId="0" fontId="23" fillId="2" borderId="20" xfId="0" applyFont="1" applyFill="1" applyBorder="1" applyAlignment="1" applyProtection="1">
      <alignment horizontal="left" vertical="top"/>
      <protection locked="0"/>
    </xf>
    <xf numFmtId="0" fontId="23" fillId="2" borderId="21" xfId="0" applyFont="1" applyFill="1" applyBorder="1" applyAlignment="1" applyProtection="1">
      <alignment horizontal="left" vertical="top"/>
      <protection locked="0"/>
    </xf>
    <xf numFmtId="0" fontId="23" fillId="2" borderId="9" xfId="0" applyFont="1" applyFill="1" applyBorder="1" applyAlignment="1" applyProtection="1">
      <alignment horizontal="left" vertical="top"/>
      <protection locked="0"/>
    </xf>
    <xf numFmtId="0" fontId="23" fillId="2" borderId="22" xfId="0" applyFont="1" applyFill="1" applyBorder="1" applyAlignment="1" applyProtection="1">
      <alignment horizontal="left" vertical="top"/>
      <protection locked="0"/>
    </xf>
    <xf numFmtId="0" fontId="23" fillId="2" borderId="23" xfId="0" applyFont="1" applyFill="1" applyBorder="1" applyAlignment="1" applyProtection="1">
      <alignment horizontal="left" vertical="top"/>
      <protection locked="0"/>
    </xf>
    <xf numFmtId="0" fontId="23" fillId="2" borderId="4" xfId="0" applyFont="1" applyFill="1" applyBorder="1" applyAlignment="1" applyProtection="1">
      <alignment horizontal="left" vertical="top"/>
      <protection locked="0"/>
    </xf>
    <xf numFmtId="0" fontId="22" fillId="0" borderId="18" xfId="0" applyFont="1" applyBorder="1" applyProtection="1"/>
    <xf numFmtId="0" fontId="22" fillId="0" borderId="19" xfId="0" applyFont="1" applyBorder="1" applyProtection="1"/>
    <xf numFmtId="0" fontId="22" fillId="0" borderId="6" xfId="0" applyFont="1" applyBorder="1" applyProtection="1"/>
    <xf numFmtId="0" fontId="12" fillId="2" borderId="20" xfId="0" applyFont="1" applyFill="1" applyBorder="1" applyAlignment="1" applyProtection="1">
      <alignment horizontal="left" vertical="top"/>
      <protection locked="0"/>
    </xf>
    <xf numFmtId="0" fontId="12" fillId="2" borderId="21" xfId="0" applyFont="1" applyFill="1" applyBorder="1" applyAlignment="1" applyProtection="1">
      <alignment horizontal="left" vertical="top"/>
      <protection locked="0"/>
    </xf>
    <xf numFmtId="0" fontId="12" fillId="2" borderId="9" xfId="0" applyFont="1" applyFill="1" applyBorder="1" applyAlignment="1" applyProtection="1">
      <alignment horizontal="left" vertical="top"/>
      <protection locked="0"/>
    </xf>
    <xf numFmtId="0" fontId="12" fillId="2" borderId="22" xfId="0" applyFont="1" applyFill="1" applyBorder="1" applyAlignment="1" applyProtection="1">
      <alignment horizontal="left" vertical="top"/>
      <protection locked="0"/>
    </xf>
    <xf numFmtId="0" fontId="12" fillId="2" borderId="23" xfId="0" applyFont="1" applyFill="1" applyBorder="1" applyAlignment="1" applyProtection="1">
      <alignment horizontal="left" vertical="top"/>
      <protection locked="0"/>
    </xf>
    <xf numFmtId="0" fontId="12" fillId="2" borderId="4" xfId="0" applyFont="1" applyFill="1" applyBorder="1" applyAlignment="1" applyProtection="1">
      <alignment horizontal="left" vertical="top"/>
      <protection locked="0"/>
    </xf>
    <xf numFmtId="0" fontId="9" fillId="5" borderId="18" xfId="4" applyFont="1" applyFill="1" applyBorder="1" applyAlignment="1" applyProtection="1">
      <alignment horizontal="center"/>
      <protection locked="0"/>
    </xf>
    <xf numFmtId="0" fontId="9" fillId="5" borderId="19" xfId="4" applyFont="1" applyFill="1" applyBorder="1" applyAlignment="1" applyProtection="1">
      <alignment horizontal="center"/>
      <protection locked="0"/>
    </xf>
    <xf numFmtId="0" fontId="9" fillId="5" borderId="6" xfId="4" applyFont="1" applyFill="1" applyBorder="1" applyAlignment="1" applyProtection="1">
      <alignment horizontal="center"/>
      <protection locked="0"/>
    </xf>
    <xf numFmtId="0" fontId="11" fillId="0" borderId="0" xfId="4" applyFont="1" applyAlignment="1" applyProtection="1">
      <alignment horizontal="center" vertical="top"/>
      <protection locked="0"/>
    </xf>
    <xf numFmtId="0" fontId="9" fillId="0" borderId="18" xfId="4" applyFont="1" applyFill="1" applyBorder="1" applyAlignment="1" applyProtection="1">
      <alignment horizontal="left"/>
      <protection locked="0"/>
    </xf>
    <xf numFmtId="0" fontId="9" fillId="0" borderId="19" xfId="4" applyFont="1" applyFill="1" applyBorder="1" applyAlignment="1" applyProtection="1">
      <alignment horizontal="left"/>
      <protection locked="0"/>
    </xf>
    <xf numFmtId="0" fontId="9" fillId="0" borderId="6" xfId="4" applyFont="1" applyFill="1" applyBorder="1" applyAlignment="1" applyProtection="1">
      <alignment horizontal="left"/>
      <protection locked="0"/>
    </xf>
    <xf numFmtId="0" fontId="9" fillId="0" borderId="18" xfId="4" applyFont="1" applyBorder="1" applyProtection="1">
      <protection locked="0"/>
    </xf>
    <xf numFmtId="0" fontId="9" fillId="0" borderId="19" xfId="4" applyFont="1" applyBorder="1" applyProtection="1">
      <protection locked="0"/>
    </xf>
    <xf numFmtId="0" fontId="26" fillId="0" borderId="10" xfId="4" applyFont="1" applyBorder="1" applyAlignment="1" applyProtection="1">
      <alignment horizontal="center" vertical="center" wrapText="1"/>
      <protection locked="0"/>
    </xf>
    <xf numFmtId="0" fontId="26" fillId="0" borderId="5" xfId="4" applyFont="1" applyBorder="1" applyAlignment="1" applyProtection="1">
      <alignment horizontal="center" vertical="center" wrapText="1"/>
      <protection locked="0"/>
    </xf>
    <xf numFmtId="0" fontId="26" fillId="0" borderId="0" xfId="4" applyFont="1" applyAlignment="1" applyProtection="1">
      <alignment horizontal="center" vertical="center"/>
      <protection locked="0"/>
    </xf>
    <xf numFmtId="0" fontId="26" fillId="0" borderId="0" xfId="4" applyFont="1" applyAlignment="1" applyProtection="1">
      <alignment horizontal="center" vertical="center" wrapText="1"/>
      <protection locked="0"/>
    </xf>
    <xf numFmtId="0" fontId="26" fillId="0" borderId="1" xfId="4" applyFont="1" applyBorder="1" applyAlignment="1" applyProtection="1">
      <alignment horizontal="center" vertical="center" wrapText="1"/>
      <protection locked="0"/>
    </xf>
    <xf numFmtId="0" fontId="26" fillId="0" borderId="18" xfId="4" applyFont="1" applyBorder="1" applyAlignment="1" applyProtection="1">
      <alignment horizontal="center" vertical="center" wrapText="1"/>
      <protection locked="0"/>
    </xf>
    <xf numFmtId="0" fontId="26" fillId="0" borderId="6" xfId="4" applyFont="1" applyBorder="1" applyAlignment="1" applyProtection="1">
      <alignment horizontal="center" vertical="center" wrapText="1"/>
      <protection locked="0"/>
    </xf>
    <xf numFmtId="0" fontId="84" fillId="0" borderId="18" xfId="0" applyFont="1" applyBorder="1" applyAlignment="1">
      <alignment horizontal="center"/>
    </xf>
    <xf numFmtId="0" fontId="84" fillId="0" borderId="19" xfId="0" applyFont="1" applyBorder="1" applyAlignment="1">
      <alignment horizontal="center"/>
    </xf>
    <xf numFmtId="0" fontId="84" fillId="0" borderId="6" xfId="0" applyFont="1" applyBorder="1" applyAlignment="1">
      <alignment horizontal="center"/>
    </xf>
    <xf numFmtId="0" fontId="73" fillId="0" borderId="18" xfId="0" applyFont="1" applyFill="1" applyBorder="1" applyAlignment="1">
      <alignment horizontal="center"/>
    </xf>
    <xf numFmtId="0" fontId="73" fillId="0" borderId="19" xfId="0" applyFont="1" applyFill="1" applyBorder="1" applyAlignment="1">
      <alignment horizontal="center"/>
    </xf>
    <xf numFmtId="0" fontId="73" fillId="0" borderId="6" xfId="0" applyFont="1" applyFill="1" applyBorder="1" applyAlignment="1">
      <alignment horizontal="center"/>
    </xf>
    <xf numFmtId="0" fontId="12" fillId="0" borderId="0" xfId="4" applyAlignment="1" applyProtection="1">
      <alignment horizontal="left" vertical="top" wrapText="1"/>
      <protection locked="0"/>
    </xf>
    <xf numFmtId="0" fontId="12" fillId="0" borderId="0" xfId="4" applyFont="1" applyFill="1"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33" fillId="0" borderId="0" xfId="0" applyFont="1" applyAlignment="1" applyProtection="1">
      <alignment horizontal="left" wrapText="1"/>
      <protection locked="0"/>
    </xf>
    <xf numFmtId="3" fontId="12" fillId="0" borderId="0" xfId="0" applyNumberFormat="1" applyFont="1" applyAlignment="1" applyProtection="1">
      <alignment horizontal="left" vertical="top" wrapText="1"/>
      <protection locked="0"/>
    </xf>
    <xf numFmtId="0" fontId="72" fillId="0" borderId="0" xfId="0" applyFont="1" applyAlignment="1">
      <alignment horizontal="left" vertical="top" wrapText="1"/>
    </xf>
    <xf numFmtId="0" fontId="11" fillId="0" borderId="0" xfId="0" applyFont="1" applyAlignment="1" applyProtection="1">
      <alignment horizontal="center"/>
    </xf>
    <xf numFmtId="0" fontId="11" fillId="0" borderId="23" xfId="0" applyFont="1" applyBorder="1" applyAlignment="1" applyProtection="1">
      <alignment horizontal="center"/>
    </xf>
    <xf numFmtId="0" fontId="11" fillId="0" borderId="0" xfId="0" applyFont="1" applyAlignment="1" applyProtection="1">
      <alignment horizontal="center"/>
      <protection locked="0"/>
    </xf>
    <xf numFmtId="0" fontId="9" fillId="5" borderId="28" xfId="0" applyFont="1" applyFill="1" applyBorder="1" applyAlignment="1" applyProtection="1">
      <alignment horizontal="center"/>
      <protection locked="0"/>
    </xf>
    <xf numFmtId="0" fontId="9" fillId="5" borderId="3" xfId="0" applyFont="1" applyFill="1" applyBorder="1" applyAlignment="1" applyProtection="1">
      <alignment horizontal="center"/>
      <protection locked="0"/>
    </xf>
    <xf numFmtId="0" fontId="26" fillId="5" borderId="29" xfId="0" applyFont="1" applyFill="1" applyBorder="1" applyAlignment="1" applyProtection="1">
      <alignment horizontal="center" vertical="center" wrapText="1"/>
      <protection locked="0"/>
    </xf>
    <xf numFmtId="0" fontId="26" fillId="5" borderId="8"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79" fillId="5" borderId="29" xfId="0" applyFont="1" applyFill="1" applyBorder="1" applyAlignment="1" applyProtection="1">
      <alignment horizontal="center" vertical="center" wrapText="1"/>
      <protection locked="0"/>
    </xf>
    <xf numFmtId="0" fontId="79" fillId="5" borderId="8" xfId="0" applyFont="1" applyFill="1" applyBorder="1" applyAlignment="1" applyProtection="1">
      <alignment horizontal="center" vertical="center" wrapText="1"/>
      <protection locked="0"/>
    </xf>
    <xf numFmtId="0" fontId="77" fillId="5" borderId="5" xfId="0" applyFont="1" applyFill="1" applyBorder="1" applyAlignment="1" applyProtection="1">
      <alignment horizontal="center" vertical="center" wrapText="1"/>
      <protection locked="0"/>
    </xf>
    <xf numFmtId="0" fontId="9" fillId="5" borderId="25" xfId="0" applyFont="1" applyFill="1" applyBorder="1" applyAlignment="1" applyProtection="1">
      <alignment horizontal="center" wrapText="1"/>
      <protection locked="0"/>
    </xf>
    <xf numFmtId="0" fontId="9" fillId="5" borderId="26" xfId="0" applyFont="1" applyFill="1" applyBorder="1" applyAlignment="1" applyProtection="1">
      <alignment horizontal="center" wrapText="1"/>
      <protection locked="0"/>
    </xf>
    <xf numFmtId="0" fontId="9" fillId="5" borderId="44" xfId="0" applyFont="1" applyFill="1" applyBorder="1" applyProtection="1">
      <protection locked="0"/>
    </xf>
    <xf numFmtId="0" fontId="6" fillId="5" borderId="42" xfId="0" applyFont="1" applyFill="1" applyBorder="1" applyProtection="1">
      <protection locked="0"/>
    </xf>
    <xf numFmtId="0" fontId="9" fillId="5" borderId="10" xfId="0" applyFont="1" applyFill="1" applyBorder="1" applyProtection="1">
      <protection locked="0"/>
    </xf>
    <xf numFmtId="0" fontId="6" fillId="5" borderId="5" xfId="0" applyFont="1" applyFill="1" applyBorder="1" applyProtection="1">
      <protection locked="0"/>
    </xf>
    <xf numFmtId="0" fontId="26" fillId="5" borderId="3" xfId="0"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79" fillId="5" borderId="3" xfId="0" applyFont="1" applyFill="1" applyBorder="1" applyAlignment="1" applyProtection="1">
      <alignment horizontal="center" vertical="center" wrapText="1"/>
      <protection locked="0"/>
    </xf>
    <xf numFmtId="0" fontId="79" fillId="5" borderId="1" xfId="0" applyFont="1" applyFill="1" applyBorder="1" applyAlignment="1" applyProtection="1">
      <alignment horizontal="center" vertical="center" wrapText="1"/>
      <protection locked="0"/>
    </xf>
    <xf numFmtId="0" fontId="77" fillId="5" borderId="1" xfId="0" applyFont="1" applyFill="1" applyBorder="1" applyAlignment="1" applyProtection="1">
      <alignment horizontal="center" vertical="center" wrapText="1"/>
      <protection locked="0"/>
    </xf>
    <xf numFmtId="0" fontId="9" fillId="5" borderId="30" xfId="0" applyFont="1" applyFill="1" applyBorder="1" applyProtection="1">
      <protection locked="0"/>
    </xf>
    <xf numFmtId="0" fontId="6" fillId="5" borderId="30" xfId="0" applyFont="1" applyFill="1" applyBorder="1" applyProtection="1">
      <protection locked="0"/>
    </xf>
    <xf numFmtId="0" fontId="9" fillId="5" borderId="1" xfId="0" applyFont="1" applyFill="1" applyBorder="1" applyProtection="1">
      <protection locked="0"/>
    </xf>
    <xf numFmtId="0" fontId="6" fillId="5" borderId="1" xfId="0" applyFont="1" applyFill="1" applyBorder="1" applyProtection="1">
      <protection locked="0"/>
    </xf>
    <xf numFmtId="0" fontId="9" fillId="5" borderId="0" xfId="0" applyFont="1" applyFill="1" applyAlignment="1" applyProtection="1">
      <alignment horizontal="center" wrapText="1"/>
      <protection locked="0"/>
    </xf>
    <xf numFmtId="0" fontId="20" fillId="0" borderId="0" xfId="0" applyFont="1" applyAlignment="1" applyProtection="1">
      <alignment horizontal="center"/>
      <protection locked="0"/>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top"/>
      <protection locked="0"/>
    </xf>
    <xf numFmtId="0" fontId="9" fillId="0" borderId="5" xfId="0" applyFont="1" applyBorder="1" applyAlignment="1" applyProtection="1">
      <alignment horizontal="left"/>
    </xf>
    <xf numFmtId="0" fontId="11" fillId="0" borderId="0" xfId="4" applyFont="1" applyFill="1" applyAlignment="1" applyProtection="1">
      <alignment horizontal="center" vertical="center"/>
      <protection locked="0"/>
    </xf>
    <xf numFmtId="0" fontId="12" fillId="2" borderId="0" xfId="0" applyFont="1" applyFill="1" applyAlignment="1" applyProtection="1">
      <alignment horizontal="center"/>
      <protection locked="0"/>
    </xf>
    <xf numFmtId="0" fontId="9" fillId="0" borderId="0" xfId="4" applyFont="1" applyBorder="1" applyAlignment="1" applyProtection="1">
      <alignment horizontal="right" wrapText="1"/>
      <protection locked="0"/>
    </xf>
    <xf numFmtId="0" fontId="12" fillId="0" borderId="23" xfId="4" applyBorder="1" applyAlignment="1" applyProtection="1">
      <alignment wrapText="1"/>
      <protection locked="0"/>
    </xf>
    <xf numFmtId="0" fontId="9" fillId="0" borderId="23" xfId="4" applyFont="1" applyBorder="1" applyAlignment="1" applyProtection="1">
      <alignment horizontal="center" vertical="center"/>
      <protection locked="0"/>
    </xf>
    <xf numFmtId="0" fontId="12" fillId="0" borderId="0" xfId="4" applyAlignment="1" applyProtection="1">
      <protection locked="0"/>
    </xf>
    <xf numFmtId="0" fontId="12" fillId="2" borderId="0" xfId="4" applyFill="1" applyAlignment="1" applyProtection="1">
      <protection locked="0"/>
    </xf>
    <xf numFmtId="0" fontId="34" fillId="0" borderId="0" xfId="4" applyFont="1" applyBorder="1" applyAlignment="1" applyProtection="1">
      <alignment horizontal="left"/>
      <protection locked="0"/>
    </xf>
    <xf numFmtId="0" fontId="36" fillId="2" borderId="0" xfId="0" applyFont="1" applyFill="1" applyAlignment="1" applyProtection="1">
      <alignment horizontal="center"/>
      <protection locked="0"/>
    </xf>
  </cellXfs>
  <cellStyles count="150">
    <cellStyle name="$" xfId="107"/>
    <cellStyle name="$.00" xfId="108"/>
    <cellStyle name="$_9. Rev2Cost_GDPIPI" xfId="109"/>
    <cellStyle name="$_lists" xfId="110"/>
    <cellStyle name="$_lists_4. Current Monthly Fixed Charge" xfId="111"/>
    <cellStyle name="$_Sheet4" xfId="112"/>
    <cellStyle name="$M" xfId="113"/>
    <cellStyle name="$M.00" xfId="114"/>
    <cellStyle name="$M_9. Rev2Cost_GDPIPI" xfId="115"/>
    <cellStyle name="20% - Accent1 2" xfId="76"/>
    <cellStyle name="20% - Accent1 3" xfId="14"/>
    <cellStyle name="20% - Accent2 2" xfId="80"/>
    <cellStyle name="20% - Accent2 3" xfId="15"/>
    <cellStyle name="20% - Accent3 2" xfId="84"/>
    <cellStyle name="20% - Accent3 3" xfId="16"/>
    <cellStyle name="20% - Accent4 2" xfId="88"/>
    <cellStyle name="20% - Accent4 3" xfId="17"/>
    <cellStyle name="20% - Accent5 2" xfId="92"/>
    <cellStyle name="20% - Accent5 3" xfId="18"/>
    <cellStyle name="20% - Accent6 2" xfId="96"/>
    <cellStyle name="20% - Accent6 3" xfId="19"/>
    <cellStyle name="40% - Accent1 2" xfId="77"/>
    <cellStyle name="40% - Accent1 3" xfId="20"/>
    <cellStyle name="40% - Accent2 2" xfId="81"/>
    <cellStyle name="40% - Accent2 3" xfId="21"/>
    <cellStyle name="40% - Accent3 2" xfId="85"/>
    <cellStyle name="40% - Accent3 3" xfId="22"/>
    <cellStyle name="40% - Accent4 2" xfId="89"/>
    <cellStyle name="40% - Accent4 3" xfId="23"/>
    <cellStyle name="40% - Accent5 2" xfId="93"/>
    <cellStyle name="40% - Accent5 3" xfId="24"/>
    <cellStyle name="40% - Accent6 2" xfId="97"/>
    <cellStyle name="40% - Accent6 3" xfId="25"/>
    <cellStyle name="60% - Accent1 2" xfId="78"/>
    <cellStyle name="60% - Accent1 3" xfId="26"/>
    <cellStyle name="60% - Accent2 2" xfId="82"/>
    <cellStyle name="60% - Accent2 3" xfId="27"/>
    <cellStyle name="60% - Accent3 2" xfId="86"/>
    <cellStyle name="60% - Accent3 3" xfId="28"/>
    <cellStyle name="60% - Accent4 2" xfId="90"/>
    <cellStyle name="60% - Accent4 3" xfId="29"/>
    <cellStyle name="60% - Accent5 2" xfId="94"/>
    <cellStyle name="60% - Accent5 3" xfId="30"/>
    <cellStyle name="60% - Accent6 2" xfId="98"/>
    <cellStyle name="60% - Accent6 3" xfId="31"/>
    <cellStyle name="Accent1 2" xfId="75"/>
    <cellStyle name="Accent1 3" xfId="32"/>
    <cellStyle name="Accent2 2" xfId="79"/>
    <cellStyle name="Accent2 3" xfId="33"/>
    <cellStyle name="Accent3 2" xfId="83"/>
    <cellStyle name="Accent3 3" xfId="34"/>
    <cellStyle name="Accent4 2" xfId="87"/>
    <cellStyle name="Accent4 3" xfId="35"/>
    <cellStyle name="Accent5 2" xfId="91"/>
    <cellStyle name="Accent5 3" xfId="36"/>
    <cellStyle name="Accent6 2" xfId="95"/>
    <cellStyle name="Accent6 3" xfId="37"/>
    <cellStyle name="Bad 2" xfId="64"/>
    <cellStyle name="Bad 3" xfId="38"/>
    <cellStyle name="Calculation 2" xfId="68"/>
    <cellStyle name="Calculation 3" xfId="39"/>
    <cellStyle name="Check Cell 2" xfId="70"/>
    <cellStyle name="Check Cell 3" xfId="40"/>
    <cellStyle name="Comma" xfId="1" builtinId="3"/>
    <cellStyle name="Comma 2" xfId="99"/>
    <cellStyle name="Comma 3" xfId="101"/>
    <cellStyle name="Comma 3 2" xfId="131"/>
    <cellStyle name="Comma 3 2 2" xfId="135"/>
    <cellStyle name="Comma 4" xfId="106"/>
    <cellStyle name="Comma 5" xfId="7"/>
    <cellStyle name="Comma 6" xfId="139"/>
    <cellStyle name="Comma 7" xfId="143"/>
    <cellStyle name="Comma 7 2" xfId="149"/>
    <cellStyle name="Comma 8" xfId="148"/>
    <cellStyle name="Comma 9" xfId="41"/>
    <cellStyle name="Comma0" xfId="116"/>
    <cellStyle name="Currency" xfId="2" builtinId="4"/>
    <cellStyle name="Currency 2" xfId="105"/>
    <cellStyle name="Currency 2 2" xfId="138"/>
    <cellStyle name="Currency 3" xfId="133"/>
    <cellStyle name="Currency 4" xfId="6"/>
    <cellStyle name="Currency 5" xfId="142"/>
    <cellStyle name="Currency 6" xfId="42"/>
    <cellStyle name="Currency0" xfId="117"/>
    <cellStyle name="Date" xfId="118"/>
    <cellStyle name="Explanatory Text 2" xfId="73"/>
    <cellStyle name="Explanatory Text 3" xfId="43"/>
    <cellStyle name="Fixed" xfId="119"/>
    <cellStyle name="Good 2" xfId="63"/>
    <cellStyle name="Good 3" xfId="44"/>
    <cellStyle name="Grey" xfId="120"/>
    <cellStyle name="Heading 1 2" xfId="60"/>
    <cellStyle name="Heading 1 3" xfId="45"/>
    <cellStyle name="Heading 2 2" xfId="59"/>
    <cellStyle name="Heading 2 3" xfId="46"/>
    <cellStyle name="Heading 3 2" xfId="61"/>
    <cellStyle name="Heading 3 3" xfId="47"/>
    <cellStyle name="Heading 4 2" xfId="62"/>
    <cellStyle name="Heading 4 3" xfId="48"/>
    <cellStyle name="Hyperlink" xfId="5" builtinId="8"/>
    <cellStyle name="Input [yellow]" xfId="121"/>
    <cellStyle name="Input 2" xfId="66"/>
    <cellStyle name="Input 3" xfId="49"/>
    <cellStyle name="Linked Cell 2" xfId="69"/>
    <cellStyle name="Linked Cell 3" xfId="50"/>
    <cellStyle name="M" xfId="122"/>
    <cellStyle name="M.00" xfId="123"/>
    <cellStyle name="M_9. Rev2Cost_GDPIPI" xfId="124"/>
    <cellStyle name="M_lists" xfId="125"/>
    <cellStyle name="M_lists_4. Current Monthly Fixed Charge" xfId="126"/>
    <cellStyle name="M_Sheet4" xfId="127"/>
    <cellStyle name="Neutral 2" xfId="65"/>
    <cellStyle name="Neutral 3" xfId="51"/>
    <cellStyle name="Normal" xfId="0" builtinId="0"/>
    <cellStyle name="Normal - Style1" xfId="128"/>
    <cellStyle name="Normal 10" xfId="146"/>
    <cellStyle name="Normal 11" xfId="147"/>
    <cellStyle name="Normal 12" xfId="13"/>
    <cellStyle name="Normal 2" xfId="4"/>
    <cellStyle name="Normal 3" xfId="12"/>
    <cellStyle name="Normal 4" xfId="11"/>
    <cellStyle name="Normal 4 2" xfId="141"/>
    <cellStyle name="Normal 5" xfId="10"/>
    <cellStyle name="Normal 5 2" xfId="130"/>
    <cellStyle name="Normal 5 2 2" xfId="134"/>
    <cellStyle name="Normal 6" xfId="103"/>
    <cellStyle name="Normal 7" xfId="137"/>
    <cellStyle name="Normal 8" xfId="144"/>
    <cellStyle name="Normal 9" xfId="145"/>
    <cellStyle name="Normal_PPE Deferral Account Schedule for 2013 MIFRS CoS applications (2)" xfId="9"/>
    <cellStyle name="Note 2" xfId="72"/>
    <cellStyle name="Note 3" xfId="52"/>
    <cellStyle name="Output 2" xfId="67"/>
    <cellStyle name="Output 3" xfId="53"/>
    <cellStyle name="Percent" xfId="3" builtinId="5"/>
    <cellStyle name="Percent [2]" xfId="129"/>
    <cellStyle name="Percent 2" xfId="100"/>
    <cellStyle name="Percent 3" xfId="102"/>
    <cellStyle name="Percent 3 2" xfId="132"/>
    <cellStyle name="Percent 3 2 2" xfId="136"/>
    <cellStyle name="Percent 4" xfId="104"/>
    <cellStyle name="Percent 5" xfId="8"/>
    <cellStyle name="Percent 6" xfId="140"/>
    <cellStyle name="Percent 7" xfId="54"/>
    <cellStyle name="Title 2" xfId="58"/>
    <cellStyle name="Title 3" xfId="55"/>
    <cellStyle name="Total 2" xfId="74"/>
    <cellStyle name="Total 3" xfId="56"/>
    <cellStyle name="Warning Text 2" xfId="71"/>
    <cellStyle name="Warning Text 3"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466725</xdr:colOff>
          <xdr:row>0</xdr:row>
          <xdr:rowOff>0</xdr:rowOff>
        </xdr:from>
        <xdr:to>
          <xdr:col>9</xdr:col>
          <xdr:colOff>523875</xdr:colOff>
          <xdr:row>0</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D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2352675</xdr:colOff>
          <xdr:row>0</xdr:row>
          <xdr:rowOff>0</xdr:rowOff>
        </xdr:from>
        <xdr:to>
          <xdr:col>10</xdr:col>
          <xdr:colOff>0</xdr:colOff>
          <xdr:row>0</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D00-00000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0</xdr:row>
          <xdr:rowOff>0</xdr:rowOff>
        </xdr:from>
        <xdr:to>
          <xdr:col>9</xdr:col>
          <xdr:colOff>523875</xdr:colOff>
          <xdr:row>0</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D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D00-000005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D00-000006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D00-000007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D00-000008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D00-000009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D00-00000A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D00-00000B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D00-00000C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D00-00000D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D00-00000E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D00-00000F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D00-000010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D00-00001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D00-00001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D00-00001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D00-000014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D00-000015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D00-000016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D00-000017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8</xdr:row>
          <xdr:rowOff>0</xdr:rowOff>
        </xdr:from>
        <xdr:to>
          <xdr:col>1</xdr:col>
          <xdr:colOff>523875</xdr:colOff>
          <xdr:row>8</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D00-000018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1</xdr:row>
          <xdr:rowOff>0</xdr:rowOff>
        </xdr:from>
        <xdr:to>
          <xdr:col>9</xdr:col>
          <xdr:colOff>523875</xdr:colOff>
          <xdr:row>1</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D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1</xdr:row>
          <xdr:rowOff>0</xdr:rowOff>
        </xdr:from>
        <xdr:to>
          <xdr:col>9</xdr:col>
          <xdr:colOff>523875</xdr:colOff>
          <xdr:row>1</xdr:row>
          <xdr:rowOff>38100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D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xdr:row>
          <xdr:rowOff>0</xdr:rowOff>
        </xdr:from>
        <xdr:to>
          <xdr:col>9</xdr:col>
          <xdr:colOff>523875</xdr:colOff>
          <xdr:row>2</xdr:row>
          <xdr:rowOff>38100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D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2</xdr:row>
          <xdr:rowOff>0</xdr:rowOff>
        </xdr:from>
        <xdr:to>
          <xdr:col>9</xdr:col>
          <xdr:colOff>523875</xdr:colOff>
          <xdr:row>2</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D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ower\Collingwood\BILLING-FINANCE\Shared%20Databases\Shared%20Billing%20Documents\OEB\Rate%20applications\Cost%20of%20Service\EB-2022-0028\EEDO_2023%20Chapter%202%20Appendices_DRO_202309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2.1.4_ServiceQuality"/>
      <sheetName val="2016 Adjusted SAIDI and SAIFI"/>
      <sheetName val="2017 Adjusted SAIDI and SAIFI"/>
      <sheetName val="2018 Adjusted SAIDI and SAIFI"/>
      <sheetName val="2019 Adjusted SAIDI and SAIFI"/>
      <sheetName val="2020"/>
      <sheetName val="App.2-H_Other_Oper_Rev"/>
      <sheetName val="Hidden_Other Revenue"/>
      <sheetName val="Several_Accounts"/>
      <sheetName val="App_2-I LF_CDM"/>
      <sheetName val="lists"/>
      <sheetName val="App.2-IA_Load_Forecast_Instrct"/>
      <sheetName val="App.2-IB_Load_Forecast_Analysis"/>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16">
          <cell r="E16" t="str">
            <v>EB-2022-0028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thesselink@epcor.com"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customProperty" Target="../customProperty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8.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tabSelected="1" workbookViewId="0">
      <selection activeCell="H24" sqref="H24"/>
    </sheetView>
  </sheetViews>
  <sheetFormatPr defaultRowHeight="15"/>
  <cols>
    <col min="5" max="5" width="10.5703125" bestFit="1" customWidth="1"/>
  </cols>
  <sheetData>
    <row r="1" spans="1:25">
      <c r="D1" s="172"/>
      <c r="E1" s="172"/>
      <c r="F1" s="172"/>
      <c r="G1" s="172"/>
      <c r="H1" s="172"/>
      <c r="I1" s="172"/>
      <c r="J1" s="172"/>
      <c r="K1" s="172"/>
      <c r="L1" s="172"/>
      <c r="M1" s="172"/>
      <c r="N1" s="172"/>
      <c r="O1" s="172"/>
      <c r="P1" s="172"/>
      <c r="Q1" s="172"/>
      <c r="R1" s="172"/>
      <c r="S1" s="172"/>
      <c r="T1" s="172"/>
      <c r="U1" s="172"/>
      <c r="V1" s="172"/>
      <c r="W1" s="172"/>
      <c r="X1" s="172"/>
      <c r="Y1" s="172"/>
    </row>
    <row r="2" spans="1:25">
      <c r="D2" s="172"/>
      <c r="E2" s="172"/>
      <c r="F2" s="172"/>
      <c r="G2" s="172"/>
      <c r="H2" s="172"/>
      <c r="I2" s="172"/>
      <c r="J2" s="172"/>
      <c r="K2" s="172"/>
      <c r="L2" s="172"/>
      <c r="M2" s="172"/>
      <c r="N2" s="172"/>
      <c r="O2" s="172"/>
      <c r="P2" s="172"/>
      <c r="Q2" s="172"/>
      <c r="R2" s="172"/>
      <c r="S2" s="172"/>
      <c r="T2" s="172"/>
      <c r="U2" s="172"/>
      <c r="V2" s="172"/>
      <c r="W2" s="172"/>
      <c r="X2" s="172"/>
      <c r="Y2" s="172"/>
    </row>
    <row r="3" spans="1:25" ht="15.75" thickBot="1">
      <c r="D3" s="172"/>
      <c r="E3" s="172"/>
      <c r="F3" s="172"/>
      <c r="G3" s="172"/>
      <c r="H3" s="172"/>
      <c r="I3" s="172"/>
      <c r="J3" s="172"/>
      <c r="K3" s="172"/>
      <c r="L3" s="172"/>
      <c r="M3" s="172"/>
      <c r="N3" s="172"/>
      <c r="O3" s="172"/>
      <c r="P3" s="172"/>
      <c r="Q3" s="172"/>
      <c r="R3" s="172"/>
      <c r="S3" s="172"/>
      <c r="T3" s="172"/>
      <c r="U3" s="172"/>
      <c r="V3" s="172"/>
      <c r="W3" s="172"/>
      <c r="X3" s="172"/>
      <c r="Y3" s="172"/>
    </row>
    <row r="4" spans="1:25" ht="16.5" thickTop="1" thickBot="1">
      <c r="D4" s="177" t="s">
        <v>206</v>
      </c>
      <c r="E4" s="538" t="s">
        <v>211</v>
      </c>
      <c r="F4" s="539"/>
      <c r="G4" s="539"/>
      <c r="H4" s="539"/>
      <c r="I4" s="539"/>
      <c r="J4" s="539"/>
      <c r="K4" s="540"/>
      <c r="L4" s="172"/>
      <c r="M4" s="172"/>
      <c r="N4" s="172"/>
      <c r="O4" s="172"/>
      <c r="P4" s="172"/>
      <c r="Q4" s="172"/>
      <c r="R4" s="172"/>
      <c r="S4" s="172"/>
      <c r="T4" s="172"/>
      <c r="U4" s="172"/>
      <c r="V4" s="172"/>
      <c r="W4" s="172"/>
      <c r="X4" s="172"/>
      <c r="Y4" s="172"/>
    </row>
    <row r="5" spans="1:25" ht="15.75" thickBot="1">
      <c r="D5" s="178"/>
      <c r="E5" s="174"/>
      <c r="F5" s="175"/>
      <c r="G5" s="174"/>
      <c r="H5" s="174"/>
      <c r="I5" s="174"/>
      <c r="J5" s="172"/>
      <c r="K5" s="172"/>
      <c r="L5" s="172"/>
      <c r="M5" s="172"/>
      <c r="N5" s="172"/>
      <c r="O5" s="172"/>
      <c r="P5" s="172"/>
      <c r="Q5" s="172"/>
      <c r="R5" s="172"/>
      <c r="S5" s="172"/>
      <c r="T5" s="172"/>
      <c r="U5" s="172"/>
      <c r="V5" s="172"/>
      <c r="W5" s="172"/>
      <c r="X5" s="172"/>
      <c r="Y5" s="172"/>
    </row>
    <row r="6" spans="1:25" ht="16.5" thickTop="1" thickBot="1">
      <c r="D6" s="179" t="s">
        <v>207</v>
      </c>
      <c r="E6" s="541" t="s">
        <v>222</v>
      </c>
      <c r="F6" s="542"/>
      <c r="G6" s="542"/>
      <c r="H6" s="542"/>
      <c r="I6" s="543"/>
      <c r="J6" s="172"/>
      <c r="K6" s="172"/>
      <c r="L6" s="172"/>
      <c r="M6" s="172"/>
      <c r="N6" s="172"/>
      <c r="O6" s="172"/>
      <c r="P6" s="172"/>
      <c r="Q6" s="172"/>
      <c r="R6" s="172"/>
      <c r="S6" s="172"/>
      <c r="T6" s="172"/>
      <c r="U6" s="172"/>
      <c r="V6" s="172"/>
      <c r="W6" s="172"/>
      <c r="X6" s="172"/>
      <c r="Y6" s="172"/>
    </row>
    <row r="7" spans="1:25" ht="15.75" thickBot="1">
      <c r="A7" s="172"/>
      <c r="B7" s="172"/>
      <c r="C7" s="172"/>
      <c r="D7" s="176"/>
      <c r="E7" s="172"/>
      <c r="F7" s="172"/>
      <c r="G7" s="172"/>
      <c r="H7" s="172"/>
      <c r="I7" s="172"/>
      <c r="J7" s="172"/>
      <c r="K7" s="172"/>
      <c r="L7" s="172"/>
      <c r="M7" s="172"/>
      <c r="N7" s="172"/>
      <c r="O7" s="172"/>
      <c r="P7" s="172"/>
      <c r="Q7" s="172"/>
      <c r="R7" s="172"/>
      <c r="S7" s="172"/>
      <c r="T7" s="172"/>
      <c r="U7" s="172"/>
      <c r="V7" s="172"/>
      <c r="W7" s="172"/>
      <c r="X7" s="172"/>
      <c r="Y7" s="172"/>
    </row>
    <row r="8" spans="1:25" ht="16.5" thickTop="1" thickBot="1">
      <c r="A8" s="172"/>
      <c r="B8" s="172"/>
      <c r="C8" s="172"/>
      <c r="D8" s="179" t="s">
        <v>208</v>
      </c>
      <c r="E8" s="535" t="s">
        <v>212</v>
      </c>
      <c r="F8" s="536"/>
      <c r="G8" s="536"/>
      <c r="H8" s="536"/>
      <c r="I8" s="536"/>
      <c r="J8" s="536"/>
      <c r="K8" s="537"/>
      <c r="L8" s="172"/>
      <c r="M8" s="172"/>
      <c r="N8" s="172"/>
      <c r="O8" s="172"/>
      <c r="P8" s="172"/>
      <c r="Q8" s="172"/>
      <c r="R8" s="172"/>
      <c r="S8" s="172"/>
      <c r="T8" s="172"/>
      <c r="U8" s="172"/>
      <c r="V8" s="172"/>
      <c r="W8" s="172"/>
      <c r="X8" s="172"/>
      <c r="Y8" s="172"/>
    </row>
    <row r="9" spans="1:25" ht="16.5" thickTop="1" thickBot="1">
      <c r="A9" s="172"/>
      <c r="B9" s="172"/>
      <c r="C9" s="172"/>
      <c r="D9" s="178"/>
      <c r="E9" s="174"/>
      <c r="F9" s="175"/>
      <c r="G9" s="174"/>
      <c r="H9" s="174"/>
      <c r="I9" s="174"/>
      <c r="J9" s="172"/>
      <c r="K9" s="172"/>
      <c r="L9" s="172"/>
      <c r="M9" s="172"/>
      <c r="N9" s="172"/>
      <c r="O9" s="172"/>
      <c r="P9" s="172"/>
      <c r="Q9" s="172"/>
      <c r="R9" s="172"/>
      <c r="S9" s="172"/>
      <c r="T9" s="172"/>
      <c r="U9" s="172"/>
      <c r="V9" s="172"/>
      <c r="W9" s="172"/>
      <c r="X9" s="172"/>
      <c r="Y9" s="172"/>
    </row>
    <row r="10" spans="1:25" ht="16.5" thickTop="1" thickBot="1">
      <c r="A10" s="172"/>
      <c r="B10" s="172"/>
      <c r="C10" s="172"/>
      <c r="D10" s="177" t="s">
        <v>209</v>
      </c>
      <c r="E10" s="544" t="s">
        <v>213</v>
      </c>
      <c r="F10" s="542"/>
      <c r="G10" s="542"/>
      <c r="H10" s="542"/>
      <c r="I10" s="543"/>
      <c r="J10" s="172"/>
      <c r="K10" s="172"/>
      <c r="L10" s="172"/>
      <c r="M10" s="172"/>
      <c r="N10" s="172"/>
      <c r="O10" s="172"/>
      <c r="P10" s="172"/>
      <c r="Q10" s="172"/>
      <c r="R10" s="172"/>
      <c r="S10" s="172"/>
      <c r="T10" s="172"/>
      <c r="U10" s="172"/>
      <c r="V10" s="172"/>
      <c r="W10" s="172"/>
      <c r="X10" s="172"/>
      <c r="Y10" s="172"/>
    </row>
    <row r="11" spans="1:25" ht="15.75" thickBot="1">
      <c r="A11" s="172"/>
      <c r="B11" s="172"/>
      <c r="C11" s="172"/>
      <c r="D11" s="178"/>
      <c r="E11" s="174"/>
      <c r="F11" s="175"/>
      <c r="G11" s="174"/>
      <c r="H11" s="174"/>
      <c r="I11" s="174"/>
      <c r="J11" s="172"/>
      <c r="K11" s="172"/>
      <c r="L11" s="172"/>
      <c r="M11" s="172"/>
      <c r="N11" s="172"/>
      <c r="O11" s="172"/>
      <c r="P11" s="172"/>
      <c r="Q11" s="172"/>
      <c r="R11" s="172"/>
      <c r="S11" s="172"/>
      <c r="T11" s="172"/>
      <c r="U11" s="172"/>
      <c r="V11" s="172"/>
      <c r="W11" s="172"/>
      <c r="X11" s="172"/>
      <c r="Y11" s="172"/>
    </row>
    <row r="12" spans="1:25" ht="16.5" thickTop="1" thickBot="1">
      <c r="A12" s="172"/>
      <c r="B12" s="172"/>
      <c r="C12" s="172"/>
      <c r="D12" s="177" t="s">
        <v>210</v>
      </c>
      <c r="E12" s="548" t="s">
        <v>214</v>
      </c>
      <c r="F12" s="549"/>
      <c r="G12" s="549"/>
      <c r="H12" s="549"/>
      <c r="I12" s="550"/>
      <c r="J12" s="172"/>
      <c r="K12" s="172"/>
      <c r="L12" s="172"/>
      <c r="M12" s="172"/>
      <c r="N12" s="172"/>
      <c r="O12" s="172"/>
      <c r="P12" s="172"/>
      <c r="Q12" s="172"/>
      <c r="R12" s="172"/>
      <c r="S12" s="172"/>
      <c r="T12" s="172"/>
      <c r="U12" s="172"/>
      <c r="V12" s="172"/>
      <c r="W12" s="172"/>
      <c r="X12" s="172"/>
      <c r="Y12" s="172"/>
    </row>
    <row r="13" spans="1:25" ht="15.75" thickBot="1">
      <c r="A13" s="172"/>
      <c r="B13" s="172"/>
      <c r="C13" s="172"/>
      <c r="D13" s="178"/>
      <c r="E13" s="174"/>
      <c r="F13" s="175"/>
      <c r="G13" s="174"/>
      <c r="H13" s="174"/>
      <c r="I13" s="174"/>
      <c r="J13" s="172"/>
      <c r="K13" s="172"/>
      <c r="L13" s="172"/>
      <c r="M13" s="172"/>
      <c r="N13" s="172"/>
      <c r="O13" s="172"/>
      <c r="P13" s="172"/>
      <c r="Q13" s="172"/>
      <c r="R13" s="172"/>
      <c r="S13" s="172"/>
      <c r="T13" s="172"/>
      <c r="U13" s="172"/>
      <c r="V13" s="172"/>
      <c r="W13" s="172"/>
      <c r="X13" s="172"/>
      <c r="Y13" s="172"/>
    </row>
    <row r="14" spans="1:25" ht="16.5" thickTop="1" thickBot="1">
      <c r="A14" s="172"/>
      <c r="B14" s="172"/>
      <c r="C14" s="172"/>
      <c r="D14" s="179" t="s">
        <v>107</v>
      </c>
      <c r="E14" s="532">
        <v>2025</v>
      </c>
      <c r="F14" s="533"/>
      <c r="G14" s="534"/>
      <c r="H14" s="174"/>
      <c r="I14" s="174"/>
      <c r="J14" s="172"/>
      <c r="K14" s="172"/>
      <c r="L14" s="172"/>
      <c r="M14" s="172"/>
      <c r="N14" s="172"/>
      <c r="O14" s="172"/>
      <c r="P14" s="172"/>
      <c r="Q14" s="172"/>
      <c r="R14" s="172"/>
      <c r="S14" s="172"/>
      <c r="T14" s="172"/>
      <c r="U14" s="172"/>
      <c r="V14" s="172"/>
      <c r="W14" s="172"/>
      <c r="X14" s="172"/>
      <c r="Y14" s="172"/>
    </row>
    <row r="15" spans="1:25" ht="15.75" thickBot="1">
      <c r="A15" s="172"/>
      <c r="B15" s="172"/>
      <c r="C15" s="172"/>
      <c r="D15" s="176"/>
      <c r="E15" s="172"/>
      <c r="F15" s="172"/>
      <c r="G15" s="172"/>
      <c r="H15" s="172"/>
      <c r="I15" s="172"/>
      <c r="J15" s="172"/>
      <c r="K15" s="172"/>
      <c r="L15" s="172"/>
      <c r="M15" s="172"/>
      <c r="N15" s="172"/>
      <c r="O15" s="172"/>
      <c r="P15" s="172"/>
      <c r="Q15" s="172"/>
      <c r="R15" s="172"/>
      <c r="S15" s="172"/>
      <c r="T15" s="172"/>
      <c r="U15" s="172"/>
      <c r="V15" s="172"/>
      <c r="W15" s="172"/>
      <c r="X15" s="172"/>
      <c r="Y15" s="172"/>
    </row>
    <row r="16" spans="1:25" ht="16.5" thickTop="1" thickBot="1">
      <c r="A16" s="172"/>
      <c r="B16" s="172"/>
      <c r="C16" s="172"/>
      <c r="D16" s="179" t="s">
        <v>106</v>
      </c>
      <c r="E16" s="545">
        <v>2024</v>
      </c>
      <c r="F16" s="546"/>
      <c r="G16" s="547"/>
      <c r="H16" s="172"/>
      <c r="I16" s="172"/>
      <c r="J16" s="172"/>
      <c r="K16" s="172"/>
      <c r="L16" s="172"/>
      <c r="M16" s="172"/>
      <c r="N16" s="172"/>
      <c r="O16" s="172"/>
      <c r="P16" s="172"/>
      <c r="Q16" s="172"/>
      <c r="R16" s="172"/>
      <c r="S16" s="172"/>
      <c r="T16" s="172"/>
      <c r="U16" s="172"/>
      <c r="V16" s="172"/>
      <c r="W16" s="172"/>
      <c r="X16" s="172"/>
      <c r="Y16" s="172"/>
    </row>
    <row r="17" spans="1:25" ht="15.75" thickBot="1">
      <c r="A17" s="172"/>
      <c r="B17" s="172"/>
      <c r="C17" s="172"/>
      <c r="D17" s="181"/>
      <c r="E17" s="172"/>
      <c r="F17" s="172"/>
      <c r="G17" s="172"/>
      <c r="H17" s="172"/>
      <c r="I17" s="172"/>
      <c r="J17" s="172"/>
      <c r="K17" s="172"/>
      <c r="L17" s="172"/>
      <c r="M17" s="172"/>
      <c r="N17" s="172"/>
      <c r="O17" s="172"/>
      <c r="P17" s="172"/>
      <c r="Q17" s="172"/>
      <c r="R17" s="172"/>
      <c r="S17" s="172"/>
      <c r="T17" s="172"/>
      <c r="U17" s="172"/>
      <c r="V17" s="172"/>
      <c r="W17" s="172"/>
      <c r="X17" s="172"/>
      <c r="Y17" s="172"/>
    </row>
    <row r="18" spans="1:25" ht="16.5" thickTop="1" thickBot="1">
      <c r="A18" s="172"/>
      <c r="B18" s="172"/>
      <c r="C18" s="172"/>
      <c r="D18" s="179" t="s">
        <v>123</v>
      </c>
      <c r="E18" s="532">
        <v>2020</v>
      </c>
      <c r="F18" s="533"/>
      <c r="G18" s="534"/>
      <c r="H18" s="172"/>
      <c r="I18" s="172"/>
      <c r="J18" s="172"/>
      <c r="K18" s="172"/>
      <c r="L18" s="172"/>
      <c r="M18" s="172"/>
      <c r="N18" s="172"/>
      <c r="O18" s="172"/>
      <c r="P18" s="172"/>
      <c r="Q18" s="172"/>
      <c r="R18" s="172"/>
      <c r="S18" s="172"/>
      <c r="T18" s="172"/>
      <c r="U18" s="172"/>
      <c r="V18" s="172"/>
      <c r="W18" s="172"/>
      <c r="X18" s="172"/>
      <c r="Y18" s="172"/>
    </row>
    <row r="19" spans="1:25">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row>
    <row r="20" spans="1:25">
      <c r="A20" s="180"/>
      <c r="B20" s="180"/>
      <c r="C20" s="180"/>
      <c r="D20" s="180"/>
      <c r="E20" s="172"/>
      <c r="F20" s="172"/>
      <c r="G20" s="172"/>
      <c r="H20" s="172"/>
      <c r="I20" s="172"/>
      <c r="J20" s="172"/>
      <c r="K20" s="172"/>
      <c r="L20" s="172"/>
      <c r="M20" s="172"/>
      <c r="N20" s="172"/>
      <c r="O20" s="172"/>
      <c r="P20" s="172"/>
      <c r="Q20" s="172"/>
      <c r="R20" s="172"/>
      <c r="S20" s="172"/>
      <c r="T20" s="172"/>
      <c r="U20" s="172"/>
      <c r="V20" s="172"/>
      <c r="W20" s="172"/>
      <c r="X20" s="172"/>
      <c r="Y20" s="172"/>
    </row>
    <row r="21" spans="1:25">
      <c r="A21" s="172"/>
      <c r="B21" s="172"/>
      <c r="C21" s="172"/>
      <c r="D21" s="172"/>
      <c r="E21" s="172"/>
      <c r="F21" s="172"/>
      <c r="G21" s="172"/>
      <c r="H21" s="182"/>
      <c r="I21" s="182"/>
      <c r="J21" s="182"/>
      <c r="K21" s="182"/>
      <c r="L21" s="172"/>
      <c r="M21" s="172"/>
      <c r="N21" s="173" t="s">
        <v>169</v>
      </c>
      <c r="O21" s="173" t="s">
        <v>169</v>
      </c>
      <c r="P21" s="172"/>
      <c r="Q21" s="172"/>
      <c r="R21" s="172"/>
      <c r="S21" s="172"/>
      <c r="T21" s="172"/>
      <c r="U21" s="172"/>
      <c r="V21" s="172"/>
      <c r="W21" s="172"/>
      <c r="X21" s="172"/>
      <c r="Y21" s="172"/>
    </row>
    <row r="22" spans="1:25">
      <c r="A22" s="172"/>
      <c r="B22" s="172"/>
      <c r="C22" s="172"/>
      <c r="D22" s="172"/>
      <c r="E22" s="172"/>
      <c r="F22" s="172"/>
      <c r="G22" s="172"/>
      <c r="H22" s="182"/>
      <c r="I22" s="182"/>
      <c r="J22" s="182"/>
      <c r="K22" s="182"/>
      <c r="L22" s="172"/>
      <c r="M22" s="172"/>
      <c r="N22" s="173" t="s">
        <v>169</v>
      </c>
      <c r="O22" s="173" t="s">
        <v>169</v>
      </c>
      <c r="P22" s="172"/>
      <c r="Q22" s="172"/>
      <c r="R22" s="172"/>
      <c r="S22" s="172"/>
      <c r="T22" s="172"/>
      <c r="U22" s="172"/>
      <c r="V22" s="172"/>
      <c r="W22" s="172"/>
      <c r="X22" s="172"/>
      <c r="Y22" s="172"/>
    </row>
    <row r="23" spans="1:25">
      <c r="H23" s="182"/>
      <c r="I23" s="182"/>
      <c r="J23" s="182"/>
      <c r="K23" s="182"/>
      <c r="L23" s="172"/>
      <c r="M23" s="172"/>
      <c r="N23" s="173" t="s">
        <v>169</v>
      </c>
      <c r="O23" s="173" t="s">
        <v>169</v>
      </c>
      <c r="P23" s="172"/>
      <c r="Q23" s="172"/>
      <c r="R23" s="172"/>
      <c r="S23" s="172"/>
      <c r="T23" s="172"/>
      <c r="U23" s="172"/>
      <c r="V23" s="172"/>
      <c r="W23" s="172"/>
      <c r="X23" s="172"/>
      <c r="Y23" s="172"/>
    </row>
    <row r="24" spans="1:25">
      <c r="H24" s="182"/>
      <c r="I24" s="182"/>
      <c r="J24" s="182"/>
      <c r="K24" s="182"/>
      <c r="L24" s="172"/>
      <c r="M24" s="172"/>
      <c r="N24" s="173" t="s">
        <v>169</v>
      </c>
      <c r="O24" s="173" t="s">
        <v>169</v>
      </c>
      <c r="P24" s="172"/>
      <c r="Q24" s="172"/>
      <c r="R24" s="172"/>
      <c r="S24" s="172"/>
      <c r="T24" s="172"/>
      <c r="U24" s="172"/>
      <c r="V24" s="172"/>
      <c r="W24" s="172"/>
      <c r="X24" s="172"/>
      <c r="Y24" s="172"/>
    </row>
    <row r="25" spans="1:25">
      <c r="H25" s="182"/>
      <c r="I25" s="182"/>
      <c r="J25" s="182"/>
      <c r="K25" s="182"/>
      <c r="L25" s="172"/>
      <c r="M25" s="172"/>
      <c r="N25" s="173" t="s">
        <v>169</v>
      </c>
      <c r="O25" s="173" t="s">
        <v>169</v>
      </c>
      <c r="P25" s="172"/>
      <c r="Q25" s="172"/>
      <c r="R25" s="172"/>
      <c r="S25" s="172"/>
      <c r="T25" s="172"/>
      <c r="U25" s="172"/>
      <c r="V25" s="172"/>
      <c r="W25" s="172"/>
      <c r="X25" s="172"/>
      <c r="Y25" s="172"/>
    </row>
    <row r="26" spans="1:25">
      <c r="H26" s="182"/>
      <c r="I26" s="182"/>
      <c r="J26" s="182"/>
      <c r="K26" s="182"/>
      <c r="L26" s="172"/>
      <c r="M26" s="172"/>
      <c r="N26" s="173" t="s">
        <v>169</v>
      </c>
      <c r="O26" s="173" t="s">
        <v>169</v>
      </c>
      <c r="P26" s="172"/>
      <c r="Q26" s="172"/>
      <c r="R26" s="172"/>
      <c r="S26" s="172"/>
      <c r="T26" s="172"/>
      <c r="U26" s="172"/>
      <c r="V26" s="172"/>
      <c r="W26" s="172"/>
      <c r="X26" s="172"/>
      <c r="Y26" s="172"/>
    </row>
    <row r="27" spans="1:25">
      <c r="H27" s="182"/>
      <c r="I27" s="182"/>
      <c r="J27" s="182"/>
      <c r="K27" s="182"/>
      <c r="L27" s="172"/>
      <c r="M27" s="172"/>
      <c r="N27" s="173" t="s">
        <v>169</v>
      </c>
      <c r="O27" s="173" t="s">
        <v>169</v>
      </c>
      <c r="P27" s="172"/>
      <c r="Q27" s="172"/>
      <c r="R27" s="172"/>
      <c r="S27" s="172"/>
      <c r="T27" s="172"/>
      <c r="U27" s="172"/>
      <c r="V27" s="172"/>
      <c r="W27" s="172"/>
      <c r="X27" s="172"/>
      <c r="Y27" s="172"/>
    </row>
    <row r="28" spans="1:25">
      <c r="H28" s="182"/>
      <c r="I28" s="182"/>
      <c r="J28" s="182"/>
      <c r="K28" s="182"/>
      <c r="L28" s="172"/>
      <c r="M28" s="172"/>
      <c r="N28" s="173" t="s">
        <v>169</v>
      </c>
      <c r="O28" s="173" t="s">
        <v>169</v>
      </c>
      <c r="P28" s="172"/>
      <c r="Q28" s="172"/>
      <c r="R28" s="172"/>
      <c r="S28" s="172"/>
      <c r="T28" s="172"/>
      <c r="U28" s="172"/>
      <c r="V28" s="172"/>
      <c r="W28" s="172"/>
      <c r="X28" s="172"/>
      <c r="Y28" s="172"/>
    </row>
    <row r="29" spans="1:25">
      <c r="H29" s="182"/>
      <c r="I29" s="182"/>
      <c r="J29" s="182"/>
      <c r="K29" s="182"/>
      <c r="L29" s="172"/>
      <c r="M29" s="172"/>
      <c r="N29" s="173" t="s">
        <v>169</v>
      </c>
      <c r="O29" s="173" t="s">
        <v>169</v>
      </c>
      <c r="P29" s="172"/>
      <c r="Q29" s="172"/>
      <c r="R29" s="172"/>
      <c r="S29" s="172"/>
      <c r="T29" s="172"/>
      <c r="U29" s="172"/>
      <c r="V29" s="172"/>
      <c r="W29" s="172"/>
      <c r="X29" s="172"/>
      <c r="Y29" s="172"/>
    </row>
    <row r="30" spans="1:25">
      <c r="H30" s="182"/>
      <c r="I30" s="182"/>
      <c r="J30" s="182"/>
      <c r="K30" s="182"/>
      <c r="L30" s="172"/>
      <c r="M30" s="172"/>
      <c r="N30" s="173" t="s">
        <v>169</v>
      </c>
      <c r="O30" s="173" t="s">
        <v>169</v>
      </c>
      <c r="P30" s="172"/>
      <c r="Q30" s="172"/>
      <c r="R30" s="172"/>
      <c r="S30" s="172"/>
      <c r="T30" s="172"/>
      <c r="U30" s="172"/>
      <c r="V30" s="172"/>
      <c r="W30" s="172"/>
      <c r="X30" s="172"/>
      <c r="Y30" s="172"/>
    </row>
    <row r="31" spans="1:25">
      <c r="H31" s="182"/>
      <c r="I31" s="182"/>
      <c r="J31" s="182"/>
      <c r="K31" s="182"/>
      <c r="L31" s="172"/>
      <c r="M31" s="172"/>
      <c r="N31" s="173" t="s">
        <v>169</v>
      </c>
      <c r="O31" s="173" t="s">
        <v>169</v>
      </c>
      <c r="P31" s="172"/>
      <c r="Q31" s="172"/>
      <c r="R31" s="172"/>
      <c r="S31" s="172"/>
      <c r="T31" s="172"/>
      <c r="U31" s="172"/>
      <c r="V31" s="172"/>
      <c r="W31" s="172"/>
      <c r="X31" s="172"/>
      <c r="Y31" s="172"/>
    </row>
    <row r="32" spans="1:25">
      <c r="H32" s="182"/>
      <c r="I32" s="182"/>
      <c r="J32" s="182"/>
      <c r="K32" s="182"/>
      <c r="L32" s="172"/>
      <c r="M32" s="172"/>
      <c r="N32" s="173" t="s">
        <v>169</v>
      </c>
      <c r="O32" s="173" t="s">
        <v>169</v>
      </c>
      <c r="P32" s="172"/>
      <c r="Q32" s="172"/>
      <c r="R32" s="172"/>
      <c r="S32" s="172"/>
      <c r="T32" s="172"/>
      <c r="U32" s="172"/>
      <c r="V32" s="172"/>
      <c r="W32" s="172"/>
      <c r="X32" s="172"/>
      <c r="Y32" s="172"/>
    </row>
    <row r="33" spans="8:25">
      <c r="H33" s="182"/>
      <c r="I33" s="182"/>
      <c r="J33" s="182"/>
      <c r="K33" s="182"/>
      <c r="L33" s="172"/>
      <c r="M33" s="172"/>
      <c r="N33" s="173" t="s">
        <v>169</v>
      </c>
      <c r="O33" s="173" t="s">
        <v>169</v>
      </c>
      <c r="P33" s="172"/>
      <c r="Q33" s="172"/>
      <c r="R33" s="172"/>
      <c r="S33" s="172"/>
      <c r="T33" s="172"/>
      <c r="U33" s="172"/>
      <c r="V33" s="172"/>
      <c r="W33" s="172"/>
      <c r="X33" s="172"/>
      <c r="Y33" s="172"/>
    </row>
    <row r="34" spans="8:25">
      <c r="H34" s="182"/>
      <c r="I34" s="182"/>
      <c r="J34" s="182"/>
      <c r="K34" s="182"/>
      <c r="L34" s="172"/>
      <c r="M34" s="172"/>
      <c r="N34" s="173" t="s">
        <v>169</v>
      </c>
      <c r="O34" s="173" t="s">
        <v>169</v>
      </c>
      <c r="P34" s="172"/>
      <c r="Q34" s="172"/>
      <c r="R34" s="172"/>
      <c r="S34" s="172"/>
      <c r="T34" s="172"/>
      <c r="U34" s="172"/>
      <c r="V34" s="172"/>
      <c r="W34" s="172"/>
      <c r="X34" s="172"/>
      <c r="Y34" s="172"/>
    </row>
    <row r="35" spans="8:25">
      <c r="H35" s="182"/>
      <c r="I35" s="182"/>
      <c r="J35" s="182"/>
      <c r="K35" s="182"/>
      <c r="L35" s="172"/>
      <c r="M35" s="172"/>
      <c r="N35" s="173" t="s">
        <v>169</v>
      </c>
      <c r="O35" s="173" t="s">
        <v>169</v>
      </c>
      <c r="P35" s="172"/>
      <c r="Q35" s="172"/>
      <c r="R35" s="172"/>
      <c r="S35" s="172"/>
      <c r="T35" s="172"/>
      <c r="U35" s="172"/>
      <c r="V35" s="172"/>
      <c r="W35" s="172"/>
      <c r="X35" s="172"/>
      <c r="Y35" s="172"/>
    </row>
  </sheetData>
  <sheetProtection sheet="1" objects="1" scenarios="1"/>
  <mergeCells count="8">
    <mergeCell ref="E18:G18"/>
    <mergeCell ref="E8:K8"/>
    <mergeCell ref="E4:K4"/>
    <mergeCell ref="E6:I6"/>
    <mergeCell ref="E10:I10"/>
    <mergeCell ref="E16:G16"/>
    <mergeCell ref="E14:G14"/>
    <mergeCell ref="E12:I12"/>
  </mergeCells>
  <hyperlinks>
    <hyperlink ref="E12" r:id="rId1"/>
  </hyperlinks>
  <pageMargins left="0.7" right="0.7" top="0.75" bottom="0.75" header="0.3" footer="0.3"/>
  <pageSetup orientation="portrait" r:id="rId2"/>
  <customProperties>
    <customPr name="EpmWorksheetKeyString_GUI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showGridLines="0" workbookViewId="0">
      <selection activeCell="C33" sqref="C33"/>
    </sheetView>
  </sheetViews>
  <sheetFormatPr defaultRowHeight="15"/>
  <cols>
    <col min="1" max="1" width="19.5703125" style="419" bestFit="1" customWidth="1"/>
    <col min="2" max="11" width="11.28515625" style="419" bestFit="1" customWidth="1"/>
    <col min="12" max="12" width="16.42578125" style="419" bestFit="1" customWidth="1"/>
    <col min="13" max="17" width="13.42578125" style="419" bestFit="1" customWidth="1"/>
    <col min="18" max="16384" width="9.140625" style="419"/>
  </cols>
  <sheetData>
    <row r="1" spans="1:17" s="243" customFormat="1" ht="14.25">
      <c r="A1" s="19"/>
      <c r="B1" s="19"/>
      <c r="C1" s="19"/>
      <c r="D1" s="19"/>
      <c r="E1" s="19"/>
      <c r="F1" s="19"/>
      <c r="Q1" s="190" t="str">
        <f>'1A_Customer Engagement'!C1</f>
        <v>EB-2024-0130</v>
      </c>
    </row>
    <row r="2" spans="1:17" s="243" customFormat="1" ht="14.25">
      <c r="A2" s="19"/>
      <c r="B2" s="19"/>
      <c r="C2" s="19"/>
      <c r="D2" s="19"/>
      <c r="E2" s="19"/>
      <c r="F2" s="19"/>
      <c r="Q2" s="190" t="s">
        <v>465</v>
      </c>
    </row>
    <row r="3" spans="1:17" s="243" customFormat="1" ht="14.25">
      <c r="A3" s="19"/>
      <c r="B3" s="19"/>
      <c r="C3" s="19"/>
      <c r="D3" s="19"/>
      <c r="E3" s="19"/>
      <c r="F3" s="19"/>
      <c r="Q3" s="191">
        <f>'1A_Customer Engagement'!C3</f>
        <v>45491</v>
      </c>
    </row>
    <row r="4" spans="1:17" s="243" customFormat="1" ht="18">
      <c r="A4" s="552" t="s">
        <v>466</v>
      </c>
      <c r="B4" s="552"/>
      <c r="C4" s="552"/>
      <c r="D4" s="552"/>
      <c r="E4" s="552"/>
      <c r="F4" s="552"/>
      <c r="G4" s="552"/>
      <c r="H4" s="552"/>
      <c r="I4" s="552"/>
      <c r="J4" s="552"/>
      <c r="K4" s="552"/>
      <c r="L4" s="552"/>
      <c r="M4" s="552"/>
      <c r="N4" s="552"/>
      <c r="O4" s="552"/>
      <c r="P4" s="552"/>
      <c r="Q4" s="552"/>
    </row>
    <row r="5" spans="1:17" s="243" customFormat="1" ht="18">
      <c r="A5" s="552" t="s">
        <v>467</v>
      </c>
      <c r="B5" s="552"/>
      <c r="C5" s="552"/>
      <c r="D5" s="552"/>
      <c r="E5" s="552"/>
      <c r="F5" s="552"/>
      <c r="G5" s="552"/>
      <c r="H5" s="552"/>
      <c r="I5" s="552"/>
      <c r="J5" s="552"/>
      <c r="K5" s="552"/>
      <c r="L5" s="552"/>
      <c r="M5" s="552"/>
      <c r="N5" s="552"/>
      <c r="O5" s="552"/>
      <c r="P5" s="552"/>
      <c r="Q5" s="552"/>
    </row>
    <row r="7" spans="1:17" s="396" customFormat="1" ht="16.5" thickBot="1">
      <c r="A7" s="395" t="s">
        <v>464</v>
      </c>
      <c r="B7" s="395"/>
      <c r="C7" s="395"/>
    </row>
    <row r="8" spans="1:17" s="396" customFormat="1" ht="12.75">
      <c r="A8" s="397"/>
      <c r="B8" s="398" t="s">
        <v>439</v>
      </c>
      <c r="C8" s="398" t="s">
        <v>440</v>
      </c>
      <c r="D8" s="398" t="s">
        <v>441</v>
      </c>
      <c r="E8" s="398" t="s">
        <v>442</v>
      </c>
      <c r="F8" s="398" t="s">
        <v>443</v>
      </c>
      <c r="G8" s="398" t="s">
        <v>444</v>
      </c>
      <c r="H8" s="398" t="s">
        <v>445</v>
      </c>
      <c r="I8" s="398" t="s">
        <v>446</v>
      </c>
      <c r="J8" s="398" t="s">
        <v>447</v>
      </c>
      <c r="K8" s="398" t="s">
        <v>448</v>
      </c>
      <c r="L8" s="399" t="s">
        <v>449</v>
      </c>
      <c r="M8" s="398" t="s">
        <v>450</v>
      </c>
      <c r="N8" s="420" t="s">
        <v>451</v>
      </c>
      <c r="O8" s="398" t="s">
        <v>452</v>
      </c>
      <c r="P8" s="398" t="s">
        <v>453</v>
      </c>
      <c r="Q8" s="400" t="s">
        <v>454</v>
      </c>
    </row>
    <row r="9" spans="1:17" s="396" customFormat="1" ht="12.75">
      <c r="A9" s="401" t="s">
        <v>455</v>
      </c>
      <c r="B9" s="402">
        <v>16127158</v>
      </c>
      <c r="C9" s="402">
        <v>14948329</v>
      </c>
      <c r="D9" s="402">
        <v>14417053</v>
      </c>
      <c r="E9" s="402">
        <v>15400135</v>
      </c>
      <c r="F9" s="402">
        <v>17442260</v>
      </c>
      <c r="G9" s="402">
        <v>18000452</v>
      </c>
      <c r="H9" s="402">
        <v>16837081</v>
      </c>
      <c r="I9" s="402">
        <v>17299257</v>
      </c>
      <c r="J9" s="402">
        <v>18760439</v>
      </c>
      <c r="K9" s="402">
        <v>17466767</v>
      </c>
      <c r="L9" s="403">
        <v>19043524</v>
      </c>
      <c r="M9" s="404">
        <v>19394143</v>
      </c>
      <c r="N9" s="421">
        <v>19778416</v>
      </c>
      <c r="O9" s="404">
        <v>20165775</v>
      </c>
      <c r="P9" s="404">
        <v>20556215</v>
      </c>
      <c r="Q9" s="405">
        <v>20949733</v>
      </c>
    </row>
    <row r="10" spans="1:17" s="396" customFormat="1" ht="12.75">
      <c r="A10" s="406" t="s">
        <v>457</v>
      </c>
      <c r="B10" s="404">
        <v>4788282</v>
      </c>
      <c r="C10" s="404">
        <v>4420443</v>
      </c>
      <c r="D10" s="404">
        <v>4117374</v>
      </c>
      <c r="E10" s="404">
        <v>4734213</v>
      </c>
      <c r="F10" s="404">
        <v>5363288</v>
      </c>
      <c r="G10" s="404">
        <v>5890482</v>
      </c>
      <c r="H10" s="404">
        <v>5028438</v>
      </c>
      <c r="I10" s="404">
        <v>5306940</v>
      </c>
      <c r="J10" s="404">
        <v>6163726</v>
      </c>
      <c r="K10" s="404">
        <v>5823050</v>
      </c>
      <c r="L10" s="403">
        <v>5659391</v>
      </c>
      <c r="M10" s="404">
        <v>6119454</v>
      </c>
      <c r="N10" s="421">
        <v>6193869</v>
      </c>
      <c r="O10" s="404">
        <v>6268637</v>
      </c>
      <c r="P10" s="404">
        <v>6343760</v>
      </c>
      <c r="Q10" s="405">
        <v>6419235</v>
      </c>
    </row>
    <row r="11" spans="1:17" s="396" customFormat="1" ht="12.75">
      <c r="A11" s="406" t="s">
        <v>456</v>
      </c>
      <c r="B11" s="404">
        <v>1666209</v>
      </c>
      <c r="C11" s="404">
        <v>1430900</v>
      </c>
      <c r="D11" s="404">
        <v>1462707</v>
      </c>
      <c r="E11" s="404">
        <v>1752123</v>
      </c>
      <c r="F11" s="404">
        <v>2050371</v>
      </c>
      <c r="G11" s="404">
        <v>2461420</v>
      </c>
      <c r="H11" s="404">
        <v>2067358</v>
      </c>
      <c r="I11" s="404">
        <v>2226121</v>
      </c>
      <c r="J11" s="404">
        <v>2377452</v>
      </c>
      <c r="K11" s="404">
        <v>3013707</v>
      </c>
      <c r="L11" s="403">
        <v>2654845</v>
      </c>
      <c r="M11" s="404">
        <v>2579897</v>
      </c>
      <c r="N11" s="421">
        <v>2686373</v>
      </c>
      <c r="O11" s="404">
        <v>2795837</v>
      </c>
      <c r="P11" s="404">
        <v>2908361</v>
      </c>
      <c r="Q11" s="405">
        <v>3024023</v>
      </c>
    </row>
    <row r="12" spans="1:17" s="396" customFormat="1" ht="12.75">
      <c r="A12" s="406" t="s">
        <v>458</v>
      </c>
      <c r="B12" s="402">
        <v>1988124</v>
      </c>
      <c r="C12" s="402">
        <v>1242867</v>
      </c>
      <c r="D12" s="402">
        <v>1394132</v>
      </c>
      <c r="E12" s="402">
        <v>1410653</v>
      </c>
      <c r="F12" s="402">
        <v>1520647</v>
      </c>
      <c r="G12" s="402">
        <v>1279499</v>
      </c>
      <c r="H12" s="402">
        <v>784724</v>
      </c>
      <c r="I12" s="402">
        <v>829096</v>
      </c>
      <c r="J12" s="402">
        <v>839041</v>
      </c>
      <c r="K12" s="402">
        <v>869131</v>
      </c>
      <c r="L12" s="403">
        <v>869131</v>
      </c>
      <c r="M12" s="404">
        <v>832281</v>
      </c>
      <c r="N12" s="421">
        <v>832281</v>
      </c>
      <c r="O12" s="404">
        <v>832281</v>
      </c>
      <c r="P12" s="404">
        <v>832281</v>
      </c>
      <c r="Q12" s="405">
        <v>832281</v>
      </c>
    </row>
    <row r="13" spans="1:17" s="396" customFormat="1" ht="12.75">
      <c r="A13" s="406" t="s">
        <v>459</v>
      </c>
      <c r="B13" s="404">
        <v>1792006</v>
      </c>
      <c r="C13" s="404">
        <v>1692328</v>
      </c>
      <c r="D13" s="404">
        <v>1492346</v>
      </c>
      <c r="E13" s="404">
        <v>1653466</v>
      </c>
      <c r="F13" s="404">
        <v>1711013</v>
      </c>
      <c r="G13" s="404">
        <v>1510164</v>
      </c>
      <c r="H13" s="404">
        <v>1361184</v>
      </c>
      <c r="I13" s="404">
        <v>1372372</v>
      </c>
      <c r="J13" s="404">
        <v>1551993</v>
      </c>
      <c r="K13" s="404">
        <v>1335618</v>
      </c>
      <c r="L13" s="403">
        <v>1389910</v>
      </c>
      <c r="M13" s="404">
        <v>2740988</v>
      </c>
      <c r="N13" s="421">
        <v>3918036</v>
      </c>
      <c r="O13" s="404">
        <v>3895600</v>
      </c>
      <c r="P13" s="404">
        <v>3875300</v>
      </c>
      <c r="Q13" s="405">
        <v>3856801</v>
      </c>
    </row>
    <row r="14" spans="1:17" s="396" customFormat="1" ht="12.75">
      <c r="A14" s="406" t="s">
        <v>460</v>
      </c>
      <c r="B14" s="402">
        <v>1345169</v>
      </c>
      <c r="C14" s="402">
        <v>994710</v>
      </c>
      <c r="D14" s="402">
        <v>904160</v>
      </c>
      <c r="E14" s="402">
        <v>1124029</v>
      </c>
      <c r="F14" s="402">
        <v>1327953</v>
      </c>
      <c r="G14" s="402">
        <v>1953378</v>
      </c>
      <c r="H14" s="402">
        <v>1534283</v>
      </c>
      <c r="I14" s="402">
        <v>1793580</v>
      </c>
      <c r="J14" s="402">
        <v>1601474</v>
      </c>
      <c r="K14" s="402">
        <v>2227329</v>
      </c>
      <c r="L14" s="403">
        <v>2227329</v>
      </c>
      <c r="M14" s="404">
        <v>2023938</v>
      </c>
      <c r="N14" s="421">
        <v>2334616</v>
      </c>
      <c r="O14" s="404">
        <v>2408833</v>
      </c>
      <c r="P14" s="404">
        <v>2485410</v>
      </c>
      <c r="Q14" s="405">
        <v>2564421</v>
      </c>
    </row>
    <row r="15" spans="1:17" s="396" customFormat="1" ht="12.75">
      <c r="A15" s="406" t="s">
        <v>461</v>
      </c>
      <c r="B15" s="402">
        <v>1128958</v>
      </c>
      <c r="C15" s="402">
        <v>672622</v>
      </c>
      <c r="D15" s="402">
        <v>562860</v>
      </c>
      <c r="E15" s="402">
        <v>753900</v>
      </c>
      <c r="F15" s="402">
        <v>624337</v>
      </c>
      <c r="G15" s="402">
        <v>927203</v>
      </c>
      <c r="H15" s="402">
        <v>554438</v>
      </c>
      <c r="I15" s="402">
        <v>791530</v>
      </c>
      <c r="J15" s="402">
        <v>585954</v>
      </c>
      <c r="K15" s="402">
        <v>980160</v>
      </c>
      <c r="L15" s="403">
        <v>980160</v>
      </c>
      <c r="M15" s="404">
        <v>647586</v>
      </c>
      <c r="N15" s="421">
        <v>647586</v>
      </c>
      <c r="O15" s="404">
        <v>647586</v>
      </c>
      <c r="P15" s="404">
        <v>647586</v>
      </c>
      <c r="Q15" s="405">
        <v>647586</v>
      </c>
    </row>
    <row r="16" spans="1:17" s="396" customFormat="1" ht="12.75">
      <c r="A16" s="406" t="s">
        <v>462</v>
      </c>
      <c r="B16" s="402">
        <v>31735774</v>
      </c>
      <c r="C16" s="402">
        <v>34710609</v>
      </c>
      <c r="D16" s="402">
        <v>40074176</v>
      </c>
      <c r="E16" s="402">
        <v>36485139</v>
      </c>
      <c r="F16" s="402">
        <v>40205243</v>
      </c>
      <c r="G16" s="402">
        <v>62525354</v>
      </c>
      <c r="H16" s="402">
        <v>59599950</v>
      </c>
      <c r="I16" s="402">
        <v>60410748</v>
      </c>
      <c r="J16" s="402">
        <v>62040423</v>
      </c>
      <c r="K16" s="402">
        <v>65345852</v>
      </c>
      <c r="L16" s="402">
        <v>65345852</v>
      </c>
      <c r="M16" s="404">
        <v>65345852</v>
      </c>
      <c r="N16" s="421">
        <v>65345852</v>
      </c>
      <c r="O16" s="404">
        <v>65345852</v>
      </c>
      <c r="P16" s="404">
        <v>65345852</v>
      </c>
      <c r="Q16" s="405">
        <v>65345852</v>
      </c>
    </row>
    <row r="17" spans="1:17" s="396" customFormat="1" ht="13.5" thickBot="1">
      <c r="A17" s="407" t="s">
        <v>6</v>
      </c>
      <c r="B17" s="408">
        <f t="shared" ref="B17:Q17" si="0">SUM(B9:B16)</f>
        <v>60571680</v>
      </c>
      <c r="C17" s="408">
        <f t="shared" si="0"/>
        <v>60112808</v>
      </c>
      <c r="D17" s="408">
        <f t="shared" si="0"/>
        <v>64424808</v>
      </c>
      <c r="E17" s="408">
        <f t="shared" si="0"/>
        <v>63313658</v>
      </c>
      <c r="F17" s="408">
        <f t="shared" si="0"/>
        <v>70245112</v>
      </c>
      <c r="G17" s="408">
        <f t="shared" si="0"/>
        <v>94547952</v>
      </c>
      <c r="H17" s="408">
        <f t="shared" si="0"/>
        <v>87767456</v>
      </c>
      <c r="I17" s="408">
        <f t="shared" si="0"/>
        <v>90029644</v>
      </c>
      <c r="J17" s="408">
        <f t="shared" si="0"/>
        <v>93920502</v>
      </c>
      <c r="K17" s="408">
        <f t="shared" si="0"/>
        <v>97061614</v>
      </c>
      <c r="L17" s="408">
        <f t="shared" si="0"/>
        <v>98170142</v>
      </c>
      <c r="M17" s="408">
        <f t="shared" si="0"/>
        <v>99684139</v>
      </c>
      <c r="N17" s="422">
        <f t="shared" si="0"/>
        <v>101737029</v>
      </c>
      <c r="O17" s="408">
        <f t="shared" si="0"/>
        <v>102360401</v>
      </c>
      <c r="P17" s="408">
        <f t="shared" si="0"/>
        <v>102994765</v>
      </c>
      <c r="Q17" s="408">
        <f t="shared" si="0"/>
        <v>103639932</v>
      </c>
    </row>
    <row r="18" spans="1:17" s="396" customFormat="1" ht="12.75">
      <c r="A18" s="409"/>
    </row>
    <row r="19" spans="1:17" s="396" customFormat="1" ht="12.75">
      <c r="A19" s="409"/>
    </row>
    <row r="20" spans="1:17" s="396" customFormat="1" ht="16.5" thickBot="1">
      <c r="A20" s="410" t="s">
        <v>463</v>
      </c>
    </row>
    <row r="21" spans="1:17" s="396" customFormat="1" ht="12.75">
      <c r="A21" s="411"/>
      <c r="B21" s="412" t="s">
        <v>439</v>
      </c>
      <c r="C21" s="412" t="s">
        <v>440</v>
      </c>
      <c r="D21" s="412" t="s">
        <v>441</v>
      </c>
      <c r="E21" s="412" t="s">
        <v>442</v>
      </c>
      <c r="F21" s="412" t="s">
        <v>443</v>
      </c>
      <c r="G21" s="412" t="s">
        <v>444</v>
      </c>
      <c r="H21" s="412" t="s">
        <v>445</v>
      </c>
      <c r="I21" s="412" t="s">
        <v>446</v>
      </c>
      <c r="J21" s="412" t="s">
        <v>447</v>
      </c>
      <c r="K21" s="412" t="s">
        <v>448</v>
      </c>
      <c r="L21" s="412" t="s">
        <v>450</v>
      </c>
      <c r="M21" s="423" t="s">
        <v>451</v>
      </c>
      <c r="N21" s="412" t="s">
        <v>452</v>
      </c>
      <c r="O21" s="412" t="s">
        <v>453</v>
      </c>
      <c r="P21" s="413" t="s">
        <v>454</v>
      </c>
    </row>
    <row r="22" spans="1:17" s="396" customFormat="1" ht="12.75">
      <c r="A22" s="401" t="str">
        <f t="shared" ref="A22:A29" si="1">A9</f>
        <v>R1 Residential</v>
      </c>
      <c r="B22" s="414">
        <v>7470.083333333333</v>
      </c>
      <c r="C22" s="414">
        <v>7726.166666666667</v>
      </c>
      <c r="D22" s="414">
        <v>7956.166666666667</v>
      </c>
      <c r="E22" s="414">
        <v>8109.5</v>
      </c>
      <c r="F22" s="414">
        <v>8399.75</v>
      </c>
      <c r="G22" s="414">
        <v>8657.25</v>
      </c>
      <c r="H22" s="414">
        <v>8804.6666666666661</v>
      </c>
      <c r="I22" s="414">
        <v>8982.9166666666661</v>
      </c>
      <c r="J22" s="414">
        <v>9131.0833333333339</v>
      </c>
      <c r="K22" s="414">
        <v>9317.75</v>
      </c>
      <c r="L22" s="414">
        <v>9448</v>
      </c>
      <c r="M22" s="424">
        <v>9578</v>
      </c>
      <c r="N22" s="414">
        <v>9708</v>
      </c>
      <c r="O22" s="414">
        <v>9838</v>
      </c>
      <c r="P22" s="415">
        <v>9968</v>
      </c>
    </row>
    <row r="23" spans="1:17" s="396" customFormat="1" ht="12.75">
      <c r="A23" s="406" t="str">
        <f t="shared" si="1"/>
        <v>R1 Commercial</v>
      </c>
      <c r="B23" s="414">
        <v>437.41666666666669</v>
      </c>
      <c r="C23" s="414">
        <v>445.08333333333331</v>
      </c>
      <c r="D23" s="414">
        <v>452.5</v>
      </c>
      <c r="E23" s="414">
        <v>461.58333333333331</v>
      </c>
      <c r="F23" s="414">
        <v>486.66666666666669</v>
      </c>
      <c r="G23" s="414">
        <v>536.08333333333337</v>
      </c>
      <c r="H23" s="414">
        <v>535</v>
      </c>
      <c r="I23" s="414">
        <v>552.25</v>
      </c>
      <c r="J23" s="414">
        <v>566.5</v>
      </c>
      <c r="K23" s="414">
        <v>580.33333333333337</v>
      </c>
      <c r="L23" s="414">
        <v>585</v>
      </c>
      <c r="M23" s="424">
        <v>590</v>
      </c>
      <c r="N23" s="414">
        <v>595</v>
      </c>
      <c r="O23" s="414">
        <v>600</v>
      </c>
      <c r="P23" s="415">
        <v>605</v>
      </c>
    </row>
    <row r="24" spans="1:17" s="396" customFormat="1" ht="12.75">
      <c r="A24" s="406" t="str">
        <f t="shared" si="1"/>
        <v>R1 Industrial</v>
      </c>
      <c r="B24" s="414">
        <v>63.083333333333336</v>
      </c>
      <c r="C24" s="414">
        <v>62.083333333333336</v>
      </c>
      <c r="D24" s="414">
        <v>65.166666666666671</v>
      </c>
      <c r="E24" s="414">
        <v>65.833333333333329</v>
      </c>
      <c r="F24" s="414">
        <v>68.166666666666671</v>
      </c>
      <c r="G24" s="414">
        <v>73.333333333333329</v>
      </c>
      <c r="H24" s="414">
        <v>74.833333333333329</v>
      </c>
      <c r="I24" s="414">
        <v>74.916666666666671</v>
      </c>
      <c r="J24" s="414">
        <v>76.833333333333329</v>
      </c>
      <c r="K24" s="414">
        <v>78.666666666666671</v>
      </c>
      <c r="L24" s="414">
        <v>80</v>
      </c>
      <c r="M24" s="424">
        <v>81</v>
      </c>
      <c r="N24" s="414">
        <v>83</v>
      </c>
      <c r="O24" s="414">
        <v>84</v>
      </c>
      <c r="P24" s="415">
        <v>86</v>
      </c>
    </row>
    <row r="25" spans="1:17" s="396" customFormat="1" ht="12.75">
      <c r="A25" s="406" t="str">
        <f t="shared" si="1"/>
        <v>R2 Seasonal</v>
      </c>
      <c r="B25" s="414">
        <v>64.75</v>
      </c>
      <c r="C25" s="414">
        <v>62.75</v>
      </c>
      <c r="D25" s="414">
        <v>58.75</v>
      </c>
      <c r="E25" s="414">
        <v>54.75</v>
      </c>
      <c r="F25" s="414">
        <v>53.583333333333336</v>
      </c>
      <c r="G25" s="414">
        <v>49.083333333333336</v>
      </c>
      <c r="H25" s="414">
        <v>48.25</v>
      </c>
      <c r="I25" s="414">
        <v>50.166666666666664</v>
      </c>
      <c r="J25" s="414">
        <v>51.416666666666664</v>
      </c>
      <c r="K25" s="414">
        <v>50.833333333333336</v>
      </c>
      <c r="L25" s="414">
        <v>50</v>
      </c>
      <c r="M25" s="424">
        <v>50</v>
      </c>
      <c r="N25" s="414">
        <v>50</v>
      </c>
      <c r="O25" s="414">
        <v>50</v>
      </c>
      <c r="P25" s="415">
        <v>50</v>
      </c>
    </row>
    <row r="26" spans="1:17" s="396" customFormat="1" ht="12.75">
      <c r="A26" s="406" t="str">
        <f t="shared" si="1"/>
        <v>R3</v>
      </c>
      <c r="B26" s="414">
        <v>4</v>
      </c>
      <c r="C26" s="414">
        <v>4</v>
      </c>
      <c r="D26" s="414">
        <v>4</v>
      </c>
      <c r="E26" s="414">
        <v>4.5</v>
      </c>
      <c r="F26" s="414">
        <v>6</v>
      </c>
      <c r="G26" s="414">
        <v>6</v>
      </c>
      <c r="H26" s="414">
        <v>6</v>
      </c>
      <c r="I26" s="414">
        <v>5.666666666666667</v>
      </c>
      <c r="J26" s="414">
        <v>5</v>
      </c>
      <c r="K26" s="414">
        <v>4</v>
      </c>
      <c r="L26" s="414">
        <v>5</v>
      </c>
      <c r="M26" s="424">
        <v>5</v>
      </c>
      <c r="N26" s="414">
        <v>5</v>
      </c>
      <c r="O26" s="414">
        <v>5</v>
      </c>
      <c r="P26" s="415">
        <v>5</v>
      </c>
    </row>
    <row r="27" spans="1:17" s="396" customFormat="1" ht="12.75">
      <c r="A27" s="406" t="str">
        <f t="shared" si="1"/>
        <v>R4</v>
      </c>
      <c r="B27" s="414">
        <v>33.25</v>
      </c>
      <c r="C27" s="414">
        <v>34.083333333333336</v>
      </c>
      <c r="D27" s="414">
        <v>35.333333333333336</v>
      </c>
      <c r="E27" s="414">
        <v>35.833333333333336</v>
      </c>
      <c r="F27" s="414">
        <v>36.5</v>
      </c>
      <c r="G27" s="414">
        <v>36.666666666666664</v>
      </c>
      <c r="H27" s="414">
        <v>40.416666666666664</v>
      </c>
      <c r="I27" s="414">
        <v>40.666666666666664</v>
      </c>
      <c r="J27" s="414">
        <v>41.666666666666664</v>
      </c>
      <c r="K27" s="414">
        <v>43.416666666666664</v>
      </c>
      <c r="L27" s="414">
        <v>45</v>
      </c>
      <c r="M27" s="424">
        <v>46</v>
      </c>
      <c r="N27" s="414">
        <v>48</v>
      </c>
      <c r="O27" s="414">
        <v>49</v>
      </c>
      <c r="P27" s="415">
        <v>51</v>
      </c>
    </row>
    <row r="28" spans="1:17" s="396" customFormat="1" ht="12.75">
      <c r="A28" s="406" t="str">
        <f t="shared" si="1"/>
        <v>R5</v>
      </c>
      <c r="B28" s="414">
        <v>5.083333333333333</v>
      </c>
      <c r="C28" s="414">
        <v>5</v>
      </c>
      <c r="D28" s="414">
        <v>5</v>
      </c>
      <c r="E28" s="414">
        <v>4.666666666666667</v>
      </c>
      <c r="F28" s="414">
        <v>4.083333333333333</v>
      </c>
      <c r="G28" s="414">
        <v>4</v>
      </c>
      <c r="H28" s="414">
        <v>4</v>
      </c>
      <c r="I28" s="414">
        <v>4</v>
      </c>
      <c r="J28" s="414">
        <v>4</v>
      </c>
      <c r="K28" s="414">
        <v>4</v>
      </c>
      <c r="L28" s="414">
        <v>4</v>
      </c>
      <c r="M28" s="424">
        <v>4</v>
      </c>
      <c r="N28" s="414">
        <v>4</v>
      </c>
      <c r="O28" s="414">
        <v>4</v>
      </c>
      <c r="P28" s="415">
        <v>4</v>
      </c>
    </row>
    <row r="29" spans="1:17" s="396" customFormat="1" ht="12.75">
      <c r="A29" s="406" t="str">
        <f t="shared" si="1"/>
        <v>R6</v>
      </c>
      <c r="B29" s="414">
        <v>1</v>
      </c>
      <c r="C29" s="414">
        <v>1</v>
      </c>
      <c r="D29" s="414">
        <v>1</v>
      </c>
      <c r="E29" s="414">
        <v>1</v>
      </c>
      <c r="F29" s="414">
        <v>1</v>
      </c>
      <c r="G29" s="414">
        <v>1</v>
      </c>
      <c r="H29" s="414">
        <v>1</v>
      </c>
      <c r="I29" s="414">
        <v>1</v>
      </c>
      <c r="J29" s="414">
        <v>1</v>
      </c>
      <c r="K29" s="414">
        <v>1</v>
      </c>
      <c r="L29" s="414">
        <v>1</v>
      </c>
      <c r="M29" s="424">
        <v>1</v>
      </c>
      <c r="N29" s="414">
        <v>1</v>
      </c>
      <c r="O29" s="414">
        <v>1</v>
      </c>
      <c r="P29" s="415">
        <v>1</v>
      </c>
    </row>
    <row r="30" spans="1:17" s="396" customFormat="1" ht="13.5" thickBot="1">
      <c r="A30" s="407" t="s">
        <v>6</v>
      </c>
      <c r="B30" s="416">
        <f t="shared" ref="B30:O30" si="2">SUM(B22:B29)</f>
        <v>8078.6666666666661</v>
      </c>
      <c r="C30" s="416">
        <f t="shared" si="2"/>
        <v>8340.1666666666679</v>
      </c>
      <c r="D30" s="416">
        <f t="shared" si="2"/>
        <v>8577.9166666666679</v>
      </c>
      <c r="E30" s="416">
        <f t="shared" si="2"/>
        <v>8737.6666666666679</v>
      </c>
      <c r="F30" s="416">
        <f t="shared" si="2"/>
        <v>9055.75</v>
      </c>
      <c r="G30" s="416">
        <f t="shared" si="2"/>
        <v>9363.4166666666679</v>
      </c>
      <c r="H30" s="417">
        <f t="shared" si="2"/>
        <v>9514.1666666666661</v>
      </c>
      <c r="I30" s="417">
        <f t="shared" si="2"/>
        <v>9711.5833333333303</v>
      </c>
      <c r="J30" s="417">
        <f t="shared" si="2"/>
        <v>9877.5</v>
      </c>
      <c r="K30" s="417">
        <f>SUM(K22:K29)</f>
        <v>10080</v>
      </c>
      <c r="L30" s="417">
        <f t="shared" si="2"/>
        <v>10218</v>
      </c>
      <c r="M30" s="425">
        <f t="shared" si="2"/>
        <v>10355</v>
      </c>
      <c r="N30" s="417">
        <f t="shared" si="2"/>
        <v>10494</v>
      </c>
      <c r="O30" s="417">
        <f t="shared" si="2"/>
        <v>10631</v>
      </c>
      <c r="P30" s="418">
        <f>SUM(P22:P29)</f>
        <v>10770</v>
      </c>
    </row>
    <row r="31" spans="1:17" s="396" customFormat="1" ht="12.75">
      <c r="A31" s="409"/>
    </row>
  </sheetData>
  <sheetProtection sheet="1" objects="1" scenarios="1"/>
  <mergeCells count="2">
    <mergeCell ref="A4:Q4"/>
    <mergeCell ref="A5:Q5"/>
  </mergeCells>
  <pageMargins left="0.7" right="0.7" top="0.75" bottom="0.75" header="0.3" footer="0.3"/>
  <pageSetup scale="56" orientation="landscape"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workbookViewId="0">
      <selection activeCell="A22" sqref="A22"/>
    </sheetView>
  </sheetViews>
  <sheetFormatPr defaultRowHeight="15"/>
  <cols>
    <col min="1" max="1" width="36.7109375" bestFit="1" customWidth="1"/>
    <col min="2" max="8" width="17.7109375" customWidth="1"/>
    <col min="10" max="10" width="14.7109375" bestFit="1" customWidth="1"/>
  </cols>
  <sheetData>
    <row r="1" spans="1:10" s="195" customFormat="1">
      <c r="B1" s="481"/>
      <c r="H1" s="208" t="str">
        <f>OEBFILE</f>
        <v>EB-2024-0130</v>
      </c>
    </row>
    <row r="2" spans="1:10" s="195" customFormat="1">
      <c r="H2" s="208" t="s">
        <v>313</v>
      </c>
    </row>
    <row r="3" spans="1:10" s="195" customFormat="1">
      <c r="H3" s="210">
        <f>'2F_Overhead Expense'!I3</f>
        <v>45491</v>
      </c>
    </row>
    <row r="4" spans="1:10" s="195" customFormat="1" ht="18">
      <c r="A4" s="605" t="s">
        <v>508</v>
      </c>
      <c r="B4" s="605"/>
      <c r="C4" s="605"/>
      <c r="D4" s="605"/>
      <c r="E4" s="605"/>
      <c r="F4" s="605"/>
      <c r="G4" s="605"/>
      <c r="H4" s="605"/>
      <c r="I4" s="483"/>
      <c r="J4" s="483"/>
    </row>
    <row r="5" spans="1:10" s="195" customFormat="1" ht="18">
      <c r="A5" s="605" t="s">
        <v>552</v>
      </c>
      <c r="B5" s="605"/>
      <c r="C5" s="605"/>
      <c r="D5" s="605"/>
      <c r="E5" s="605"/>
      <c r="F5" s="605"/>
      <c r="G5" s="605"/>
      <c r="H5" s="605"/>
      <c r="I5" s="483"/>
      <c r="J5" s="483"/>
    </row>
    <row r="6" spans="1:10" s="195" customFormat="1" ht="18">
      <c r="A6" s="605" t="s">
        <v>366</v>
      </c>
      <c r="B6" s="605"/>
      <c r="C6" s="605"/>
      <c r="D6" s="605"/>
      <c r="E6" s="605"/>
      <c r="F6" s="605"/>
      <c r="G6" s="605"/>
      <c r="H6" s="605"/>
      <c r="I6" s="483"/>
      <c r="J6" s="483"/>
    </row>
    <row r="8" spans="1:10">
      <c r="A8" s="484" t="s">
        <v>546</v>
      </c>
      <c r="B8" s="485" t="s">
        <v>510</v>
      </c>
      <c r="C8" s="485" t="s">
        <v>512</v>
      </c>
      <c r="D8" s="485" t="s">
        <v>513</v>
      </c>
      <c r="E8" s="485" t="s">
        <v>514</v>
      </c>
      <c r="F8" s="485" t="s">
        <v>515</v>
      </c>
      <c r="G8" s="485" t="s">
        <v>490</v>
      </c>
      <c r="H8" s="486" t="s">
        <v>509</v>
      </c>
    </row>
    <row r="9" spans="1:10">
      <c r="A9" s="487" t="s">
        <v>553</v>
      </c>
      <c r="B9" s="491">
        <v>3313.3539999999998</v>
      </c>
      <c r="C9" s="491">
        <v>3053.3697499999998</v>
      </c>
      <c r="D9" s="491">
        <v>3111.6257500000006</v>
      </c>
      <c r="E9" s="491">
        <v>3639.3259500000004</v>
      </c>
      <c r="F9" s="491">
        <v>3454.4253199999994</v>
      </c>
      <c r="G9" s="491">
        <v>3530.3918145310554</v>
      </c>
      <c r="H9" s="492">
        <v>4084.4994530672675</v>
      </c>
    </row>
    <row r="10" spans="1:10">
      <c r="A10" s="487" t="s">
        <v>547</v>
      </c>
      <c r="B10" s="491">
        <v>45.747999999999998</v>
      </c>
      <c r="C10" s="491">
        <v>109.00749999999999</v>
      </c>
      <c r="D10" s="491">
        <v>116.28245999999999</v>
      </c>
      <c r="E10" s="491">
        <v>122.31252000000002</v>
      </c>
      <c r="F10" s="491">
        <v>137.45768000000001</v>
      </c>
      <c r="G10" s="491">
        <v>146.26400000000001</v>
      </c>
      <c r="H10" s="492">
        <v>147.77801599999998</v>
      </c>
    </row>
    <row r="11" spans="1:10">
      <c r="A11" s="487" t="s">
        <v>548</v>
      </c>
      <c r="B11" s="491">
        <v>877</v>
      </c>
      <c r="C11" s="491">
        <v>828.95283999999992</v>
      </c>
      <c r="D11" s="491">
        <v>900.85910000000013</v>
      </c>
      <c r="E11" s="491">
        <v>935.94533000000013</v>
      </c>
      <c r="F11" s="491">
        <v>1028.8782500000002</v>
      </c>
      <c r="G11" s="491">
        <v>1159.4297612509861</v>
      </c>
      <c r="H11" s="492">
        <v>1320.7992962509932</v>
      </c>
    </row>
    <row r="12" spans="1:10">
      <c r="A12" s="487" t="s">
        <v>549</v>
      </c>
      <c r="B12" s="491">
        <v>632</v>
      </c>
      <c r="C12" s="491">
        <v>615.23478</v>
      </c>
      <c r="D12" s="491">
        <v>601.06547999999998</v>
      </c>
      <c r="E12" s="491">
        <v>615.21571999999992</v>
      </c>
      <c r="F12" s="491">
        <v>659.52998000000002</v>
      </c>
      <c r="G12" s="491">
        <v>674.96400000000006</v>
      </c>
      <c r="H12" s="492">
        <v>705.56399999999996</v>
      </c>
    </row>
    <row r="13" spans="1:10">
      <c r="A13" s="487" t="s">
        <v>550</v>
      </c>
      <c r="B13" s="491">
        <v>0</v>
      </c>
      <c r="C13" s="491">
        <v>101.55307000000001</v>
      </c>
      <c r="D13" s="491">
        <v>87.777379999999994</v>
      </c>
      <c r="E13" s="491">
        <v>57.954839999999997</v>
      </c>
      <c r="F13" s="491">
        <v>88.004320000000007</v>
      </c>
      <c r="G13" s="491">
        <v>88.53</v>
      </c>
      <c r="H13" s="492">
        <v>89.680889999999991</v>
      </c>
    </row>
    <row r="14" spans="1:10">
      <c r="A14" s="487" t="s">
        <v>554</v>
      </c>
      <c r="B14" s="491">
        <v>0</v>
      </c>
      <c r="C14" s="491">
        <v>0</v>
      </c>
      <c r="D14" s="491">
        <v>-1.4157999999999999</v>
      </c>
      <c r="E14" s="491">
        <v>-9.5455400000000008</v>
      </c>
      <c r="F14" s="491">
        <v>-3.2447699999999995</v>
      </c>
      <c r="G14" s="491">
        <v>0</v>
      </c>
      <c r="H14" s="492">
        <v>0</v>
      </c>
    </row>
    <row r="15" spans="1:10">
      <c r="A15" s="487" t="s">
        <v>542</v>
      </c>
      <c r="B15" s="491">
        <v>-150</v>
      </c>
      <c r="C15" s="491">
        <v>0</v>
      </c>
      <c r="D15" s="491">
        <v>0</v>
      </c>
      <c r="E15" s="491">
        <v>0</v>
      </c>
      <c r="F15" s="491">
        <v>0</v>
      </c>
      <c r="G15" s="491">
        <v>0</v>
      </c>
      <c r="H15" s="492">
        <v>0</v>
      </c>
    </row>
    <row r="16" spans="1:10">
      <c r="A16" s="488" t="s">
        <v>551</v>
      </c>
      <c r="B16" s="493">
        <f t="shared" ref="B16:H16" si="0">SUM(B9:B15)</f>
        <v>4718.1019999999999</v>
      </c>
      <c r="C16" s="493">
        <f t="shared" si="0"/>
        <v>4708.1179400000001</v>
      </c>
      <c r="D16" s="493">
        <f t="shared" si="0"/>
        <v>4816.194370000002</v>
      </c>
      <c r="E16" s="493">
        <f t="shared" si="0"/>
        <v>5361.2088200000007</v>
      </c>
      <c r="F16" s="493">
        <f t="shared" si="0"/>
        <v>5365.0507799999996</v>
      </c>
      <c r="G16" s="493">
        <f t="shared" si="0"/>
        <v>5599.5795757820415</v>
      </c>
      <c r="H16" s="494">
        <f t="shared" si="0"/>
        <v>6348.321655318261</v>
      </c>
    </row>
    <row r="17" spans="1:1">
      <c r="A17" s="489" t="s">
        <v>555</v>
      </c>
    </row>
    <row r="18" spans="1:1">
      <c r="A18" s="490" t="s">
        <v>556</v>
      </c>
    </row>
  </sheetData>
  <sheetProtection sheet="1" objects="1" scenarios="1"/>
  <mergeCells count="3">
    <mergeCell ref="A4:H4"/>
    <mergeCell ref="A5:H5"/>
    <mergeCell ref="A6:H6"/>
  </mergeCells>
  <pageMargins left="0.7" right="0.7" top="0.75" bottom="0.75" header="0.3" footer="0.3"/>
  <pageSetup scale="76" orientation="landscape"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showGridLines="0" zoomScale="90" zoomScaleNormal="90" workbookViewId="0">
      <selection activeCell="A9" sqref="A9:XFD9"/>
    </sheetView>
  </sheetViews>
  <sheetFormatPr defaultColWidth="9.42578125" defaultRowHeight="14.25"/>
  <cols>
    <col min="1" max="1" width="14" style="292" bestFit="1" customWidth="1"/>
    <col min="2" max="2" width="31.42578125" style="292" bestFit="1" customWidth="1"/>
    <col min="3" max="8" width="14.42578125" style="292" customWidth="1"/>
    <col min="9" max="9" width="13.42578125" style="292" customWidth="1"/>
    <col min="10" max="10" width="16.5703125" style="292" customWidth="1"/>
    <col min="11" max="11" width="16.85546875" style="292" customWidth="1"/>
    <col min="12" max="16384" width="9.42578125" style="292"/>
  </cols>
  <sheetData>
    <row r="1" spans="1:11" s="195" customFormat="1" ht="15">
      <c r="K1" s="208" t="str">
        <f>OEBFILE</f>
        <v>EB-2024-0130</v>
      </c>
    </row>
    <row r="2" spans="1:11" s="195" customFormat="1" ht="15">
      <c r="K2" s="208" t="s">
        <v>313</v>
      </c>
    </row>
    <row r="3" spans="1:11" s="195" customFormat="1" ht="15">
      <c r="K3" s="210">
        <f>'2F_Overhead Expense'!I3</f>
        <v>45491</v>
      </c>
    </row>
    <row r="4" spans="1:11" s="195" customFormat="1" ht="18">
      <c r="A4" s="605" t="s">
        <v>314</v>
      </c>
      <c r="B4" s="605"/>
      <c r="C4" s="605"/>
      <c r="D4" s="605"/>
      <c r="E4" s="605"/>
      <c r="F4" s="605"/>
      <c r="G4" s="605"/>
      <c r="H4" s="605"/>
      <c r="I4" s="605"/>
      <c r="J4" s="605"/>
      <c r="K4" s="605"/>
    </row>
    <row r="5" spans="1:11" s="195" customFormat="1" ht="18">
      <c r="A5" s="605" t="s">
        <v>315</v>
      </c>
      <c r="B5" s="605"/>
      <c r="C5" s="605"/>
      <c r="D5" s="605"/>
      <c r="E5" s="605"/>
      <c r="F5" s="605"/>
      <c r="G5" s="605"/>
      <c r="H5" s="605"/>
      <c r="I5" s="605"/>
      <c r="J5" s="605"/>
      <c r="K5" s="605"/>
    </row>
    <row r="6" spans="1:11" s="195" customFormat="1" ht="18">
      <c r="A6" s="605" t="s">
        <v>366</v>
      </c>
      <c r="B6" s="605"/>
      <c r="C6" s="605"/>
      <c r="D6" s="605"/>
      <c r="E6" s="605"/>
      <c r="F6" s="605"/>
      <c r="G6" s="605"/>
      <c r="H6" s="605"/>
      <c r="I6" s="605"/>
      <c r="J6" s="605"/>
      <c r="K6" s="605"/>
    </row>
    <row r="7" spans="1:11" s="195" customFormat="1" ht="15" thickBot="1">
      <c r="B7" s="606"/>
      <c r="C7" s="606"/>
      <c r="D7" s="606"/>
      <c r="E7" s="606"/>
      <c r="F7" s="606"/>
      <c r="G7" s="606"/>
      <c r="H7" s="606"/>
      <c r="I7" s="606"/>
    </row>
    <row r="8" spans="1:11" ht="63" customHeight="1" thickBot="1">
      <c r="A8" s="113" t="s">
        <v>125</v>
      </c>
      <c r="B8" s="113" t="s">
        <v>365</v>
      </c>
      <c r="C8" s="114" t="s">
        <v>316</v>
      </c>
      <c r="D8" s="288" t="str">
        <f>BRIDGEYEAR -4 &amp; " Actuals"</f>
        <v>2020 Actuals</v>
      </c>
      <c r="E8" s="288" t="str">
        <f>BRIDGEYEAR -3 &amp; " Actuals"</f>
        <v>2021 Actuals</v>
      </c>
      <c r="F8" s="288" t="str">
        <f>BRIDGEYEAR -2 &amp; " Actuals"</f>
        <v>2022 Actuals</v>
      </c>
      <c r="G8" s="288" t="str">
        <f>BRIDGEYEAR -1 &amp; " Actuals"</f>
        <v>2023 Actuals</v>
      </c>
      <c r="H8" s="288" t="str">
        <f>BRIDGEYEAR &amp; " Bridge Year"</f>
        <v>2024 Bridge Year</v>
      </c>
      <c r="I8" s="288" t="str">
        <f>TESTYEAR &amp; " Test Year"</f>
        <v>2025 Test Year</v>
      </c>
      <c r="J8" s="115" t="s">
        <v>317</v>
      </c>
      <c r="K8" s="115" t="s">
        <v>318</v>
      </c>
    </row>
    <row r="9" spans="1:11" ht="15" hidden="1" thickBot="1">
      <c r="A9" s="116"/>
      <c r="B9" s="116" t="s">
        <v>0</v>
      </c>
      <c r="C9" s="289" t="s">
        <v>93</v>
      </c>
      <c r="D9" s="289" t="s">
        <v>93</v>
      </c>
      <c r="E9" s="289" t="s">
        <v>93</v>
      </c>
      <c r="F9" s="289" t="s">
        <v>93</v>
      </c>
      <c r="G9" s="289" t="s">
        <v>93</v>
      </c>
      <c r="H9" s="289" t="s">
        <v>93</v>
      </c>
      <c r="I9" s="289" t="s">
        <v>93</v>
      </c>
      <c r="J9" s="117" t="s">
        <v>93</v>
      </c>
      <c r="K9" s="117" t="s">
        <v>93</v>
      </c>
    </row>
    <row r="10" spans="1:11">
      <c r="A10" s="118">
        <v>301</v>
      </c>
      <c r="B10" s="118" t="s">
        <v>367</v>
      </c>
      <c r="C10" s="368">
        <v>1419.14</v>
      </c>
      <c r="D10" s="368">
        <v>1216.0271399999999</v>
      </c>
      <c r="E10" s="368">
        <v>1286.3667700000001</v>
      </c>
      <c r="F10" s="368">
        <v>1463.6042500000001</v>
      </c>
      <c r="G10" s="368">
        <v>1580.4927399999999</v>
      </c>
      <c r="H10" s="368">
        <v>1631.268424283523</v>
      </c>
      <c r="I10" s="368">
        <v>1811.70706906548</v>
      </c>
      <c r="J10" s="370">
        <f>I10-G10</f>
        <v>231.21432906548011</v>
      </c>
      <c r="K10" s="370">
        <f>I10-C10</f>
        <v>392.56706906547993</v>
      </c>
    </row>
    <row r="11" spans="1:11">
      <c r="A11" s="118">
        <v>301</v>
      </c>
      <c r="B11" s="118" t="s">
        <v>368</v>
      </c>
      <c r="C11" s="368">
        <v>362.03</v>
      </c>
      <c r="D11" s="368">
        <v>338.70492000000002</v>
      </c>
      <c r="E11" s="368">
        <v>370.03886999999997</v>
      </c>
      <c r="F11" s="368">
        <v>386.16982000000002</v>
      </c>
      <c r="G11" s="368">
        <v>435.73244</v>
      </c>
      <c r="H11" s="368">
        <v>398.74237524463166</v>
      </c>
      <c r="I11" s="368">
        <v>445.20215288408576</v>
      </c>
      <c r="J11" s="370">
        <f t="shared" ref="J11:J40" si="0">I11-G11</f>
        <v>9.4697128840857658</v>
      </c>
      <c r="K11" s="370">
        <f t="shared" ref="K11:K40" si="1">I11-C11</f>
        <v>83.17215288408579</v>
      </c>
    </row>
    <row r="12" spans="1:11">
      <c r="A12" s="118">
        <v>301</v>
      </c>
      <c r="B12" s="118" t="s">
        <v>369</v>
      </c>
      <c r="C12" s="368">
        <v>-235.46799999999999</v>
      </c>
      <c r="D12" s="368">
        <v>-283.81223</v>
      </c>
      <c r="E12" s="368">
        <v>-330.13</v>
      </c>
      <c r="F12" s="368">
        <v>-253.21858</v>
      </c>
      <c r="G12" s="368">
        <v>-318.87671999999998</v>
      </c>
      <c r="H12" s="368">
        <v>-387.18885516399996</v>
      </c>
      <c r="I12" s="368">
        <v>-419.295527472</v>
      </c>
      <c r="J12" s="370">
        <f t="shared" si="0"/>
        <v>-100.41880747200003</v>
      </c>
      <c r="K12" s="370">
        <f t="shared" si="1"/>
        <v>-183.82752747200001</v>
      </c>
    </row>
    <row r="13" spans="1:11">
      <c r="A13" s="118">
        <v>301</v>
      </c>
      <c r="B13" s="118" t="s">
        <v>370</v>
      </c>
      <c r="C13" s="369">
        <v>-113.57899999999999</v>
      </c>
      <c r="D13" s="369">
        <v>-214.88878980499999</v>
      </c>
      <c r="E13" s="369">
        <v>-212.89952000000002</v>
      </c>
      <c r="F13" s="369">
        <v>-380.62714319374999</v>
      </c>
      <c r="G13" s="369">
        <v>-607.83451549999995</v>
      </c>
      <c r="H13" s="369">
        <v>-636.090680126199</v>
      </c>
      <c r="I13" s="369">
        <v>-502.05413660067393</v>
      </c>
      <c r="J13" s="370">
        <f t="shared" si="0"/>
        <v>105.78037889932602</v>
      </c>
      <c r="K13" s="370">
        <f t="shared" si="1"/>
        <v>-388.47513660067392</v>
      </c>
    </row>
    <row r="14" spans="1:11">
      <c r="A14" s="118">
        <v>301</v>
      </c>
      <c r="B14" s="118" t="s">
        <v>371</v>
      </c>
      <c r="C14" s="369">
        <v>453.505</v>
      </c>
      <c r="D14" s="369">
        <v>696.81269980499997</v>
      </c>
      <c r="E14" s="369">
        <v>640.94177000000002</v>
      </c>
      <c r="F14" s="369">
        <v>739.35733319375004</v>
      </c>
      <c r="G14" s="369">
        <v>894.76724914285717</v>
      </c>
      <c r="H14" s="369">
        <v>1142.819612374027</v>
      </c>
      <c r="I14" s="369">
        <v>1085.1784489106735</v>
      </c>
      <c r="J14" s="370">
        <f t="shared" si="0"/>
        <v>190.41119976781636</v>
      </c>
      <c r="K14" s="370">
        <f t="shared" si="1"/>
        <v>631.67344891067353</v>
      </c>
    </row>
    <row r="15" spans="1:11">
      <c r="A15" s="118">
        <v>301</v>
      </c>
      <c r="B15" s="118" t="s">
        <v>372</v>
      </c>
      <c r="C15" s="369">
        <v>315.03500000000003</v>
      </c>
      <c r="D15" s="369">
        <v>323.29626999999999</v>
      </c>
      <c r="E15" s="369">
        <v>382.47300000000001</v>
      </c>
      <c r="F15" s="369">
        <v>475.61435</v>
      </c>
      <c r="G15" s="369">
        <v>173.92634000000001</v>
      </c>
      <c r="H15" s="369">
        <v>182.68</v>
      </c>
      <c r="I15" s="369">
        <v>329.70100000000002</v>
      </c>
      <c r="J15" s="370">
        <f t="shared" si="0"/>
        <v>155.77466000000001</v>
      </c>
      <c r="K15" s="370">
        <f t="shared" si="1"/>
        <v>14.665999999999997</v>
      </c>
    </row>
    <row r="16" spans="1:11">
      <c r="A16" s="118">
        <v>301</v>
      </c>
      <c r="B16" s="119" t="s">
        <v>324</v>
      </c>
      <c r="C16" s="369">
        <v>211.852</v>
      </c>
      <c r="D16" s="369">
        <v>57.504529999999995</v>
      </c>
      <c r="E16" s="369">
        <v>36.732009999999995</v>
      </c>
      <c r="F16" s="369">
        <v>35.196620000000003</v>
      </c>
      <c r="G16" s="369">
        <v>145.02505635714286</v>
      </c>
      <c r="H16" s="369">
        <v>38.999999999999943</v>
      </c>
      <c r="I16" s="369">
        <v>138.99999999999997</v>
      </c>
      <c r="J16" s="370">
        <f t="shared" si="0"/>
        <v>-6.025056357142887</v>
      </c>
      <c r="K16" s="370">
        <f t="shared" si="1"/>
        <v>-72.852000000000032</v>
      </c>
    </row>
    <row r="17" spans="1:11">
      <c r="A17" s="118">
        <v>301</v>
      </c>
      <c r="B17" s="118" t="s">
        <v>373</v>
      </c>
      <c r="C17" s="369">
        <v>34.468000000000004</v>
      </c>
      <c r="D17" s="369">
        <v>43.837389999999999</v>
      </c>
      <c r="E17" s="369">
        <v>32.454720000000002</v>
      </c>
      <c r="F17" s="369">
        <v>38.983760000000004</v>
      </c>
      <c r="G17" s="369">
        <v>17.240119999999997</v>
      </c>
      <c r="H17" s="369">
        <v>41.999999999999993</v>
      </c>
      <c r="I17" s="369">
        <v>35.735000000004085</v>
      </c>
      <c r="J17" s="370">
        <f t="shared" si="0"/>
        <v>18.494880000004088</v>
      </c>
      <c r="K17" s="370">
        <f t="shared" si="1"/>
        <v>1.2670000000040815</v>
      </c>
    </row>
    <row r="18" spans="1:11">
      <c r="A18" s="118">
        <v>301</v>
      </c>
      <c r="B18" s="118" t="s">
        <v>374</v>
      </c>
      <c r="C18" s="369">
        <v>31.334</v>
      </c>
      <c r="D18" s="369">
        <v>36.520000000000003</v>
      </c>
      <c r="E18" s="369">
        <v>8.9570000000000007</v>
      </c>
      <c r="F18" s="369">
        <v>24.25</v>
      </c>
      <c r="G18" s="369">
        <v>23.004999999999999</v>
      </c>
      <c r="H18" s="369">
        <v>27.582214945243713</v>
      </c>
      <c r="I18" s="369">
        <v>28.16144145909384</v>
      </c>
      <c r="J18" s="370">
        <f t="shared" si="0"/>
        <v>5.1564414590938412</v>
      </c>
      <c r="K18" s="370">
        <f t="shared" si="1"/>
        <v>-3.1725585409061594</v>
      </c>
    </row>
    <row r="19" spans="1:11">
      <c r="A19" s="118">
        <v>301</v>
      </c>
      <c r="B19" s="118" t="s">
        <v>375</v>
      </c>
      <c r="C19" s="369">
        <v>17.443000000000001</v>
      </c>
      <c r="D19" s="369">
        <v>54.109899999999996</v>
      </c>
      <c r="E19" s="369">
        <v>60.739880000000007</v>
      </c>
      <c r="F19" s="369">
        <v>31.734950000000001</v>
      </c>
      <c r="G19" s="369">
        <v>22.608220000000003</v>
      </c>
      <c r="H19" s="369">
        <v>33</v>
      </c>
      <c r="I19" s="369">
        <v>33.567</v>
      </c>
      <c r="J19" s="370">
        <f t="shared" si="0"/>
        <v>10.958779999999997</v>
      </c>
      <c r="K19" s="370">
        <f t="shared" si="1"/>
        <v>16.123999999999999</v>
      </c>
    </row>
    <row r="20" spans="1:11">
      <c r="A20" s="118">
        <v>301</v>
      </c>
      <c r="B20" s="118" t="s">
        <v>376</v>
      </c>
      <c r="C20" s="369">
        <v>36</v>
      </c>
      <c r="D20" s="369">
        <v>102.36983000000001</v>
      </c>
      <c r="E20" s="369">
        <v>100.48525000000001</v>
      </c>
      <c r="F20" s="369">
        <v>103.27816</v>
      </c>
      <c r="G20" s="369">
        <v>128.76509000000001</v>
      </c>
      <c r="H20" s="369">
        <v>117.56300000000003</v>
      </c>
      <c r="I20" s="369">
        <v>120.84882488880001</v>
      </c>
      <c r="J20" s="370">
        <f t="shared" si="0"/>
        <v>-7.9162651112000049</v>
      </c>
      <c r="K20" s="370">
        <f t="shared" si="1"/>
        <v>84.84882488880001</v>
      </c>
    </row>
    <row r="21" spans="1:11">
      <c r="A21" s="118">
        <v>301</v>
      </c>
      <c r="B21" s="118" t="s">
        <v>377</v>
      </c>
      <c r="C21" s="369">
        <v>127.39400000000001</v>
      </c>
      <c r="D21" s="369">
        <v>147.20022</v>
      </c>
      <c r="E21" s="369">
        <v>138.89829999999998</v>
      </c>
      <c r="F21" s="369">
        <v>146.85729999999998</v>
      </c>
      <c r="G21" s="369">
        <v>172.82960999999997</v>
      </c>
      <c r="H21" s="369">
        <v>139.40075999999999</v>
      </c>
      <c r="I21" s="369">
        <v>135.88136800000404</v>
      </c>
      <c r="J21" s="370">
        <f t="shared" si="0"/>
        <v>-36.948241999995929</v>
      </c>
      <c r="K21" s="370">
        <f t="shared" si="1"/>
        <v>8.4873680000040395</v>
      </c>
    </row>
    <row r="22" spans="1:11">
      <c r="A22" s="118">
        <v>301</v>
      </c>
      <c r="B22" s="119" t="s">
        <v>378</v>
      </c>
      <c r="C22" s="369">
        <v>34.24</v>
      </c>
      <c r="D22" s="369">
        <v>10.2128</v>
      </c>
      <c r="E22" s="369">
        <v>18.405440000000002</v>
      </c>
      <c r="F22" s="369">
        <v>28.75414</v>
      </c>
      <c r="G22" s="369">
        <v>19.200610000000001</v>
      </c>
      <c r="H22" s="369">
        <v>25.210000000004001</v>
      </c>
      <c r="I22" s="369">
        <v>25.271110000004086</v>
      </c>
      <c r="J22" s="370">
        <f t="shared" si="0"/>
        <v>6.0705000000040847</v>
      </c>
      <c r="K22" s="370">
        <f t="shared" si="1"/>
        <v>-8.9688899999959162</v>
      </c>
    </row>
    <row r="23" spans="1:11">
      <c r="A23" s="118">
        <v>301</v>
      </c>
      <c r="B23" s="118" t="s">
        <v>379</v>
      </c>
      <c r="C23" s="369">
        <v>31.184999999999999</v>
      </c>
      <c r="D23" s="369">
        <v>6.6901000000000002</v>
      </c>
      <c r="E23" s="369">
        <v>16.425840000000001</v>
      </c>
      <c r="F23" s="369">
        <v>30.61411</v>
      </c>
      <c r="G23" s="369">
        <v>36.456590000000006</v>
      </c>
      <c r="H23" s="369">
        <v>26.22</v>
      </c>
      <c r="I23" s="369">
        <v>26.770619999999994</v>
      </c>
      <c r="J23" s="370">
        <f t="shared" si="0"/>
        <v>-9.6859700000000117</v>
      </c>
      <c r="K23" s="370">
        <f t="shared" si="1"/>
        <v>-4.4143800000000049</v>
      </c>
    </row>
    <row r="24" spans="1:11">
      <c r="A24" s="118">
        <v>301</v>
      </c>
      <c r="B24" s="118" t="s">
        <v>380</v>
      </c>
      <c r="C24" s="369">
        <v>15.145</v>
      </c>
      <c r="D24" s="369">
        <v>9.5571799999999989</v>
      </c>
      <c r="E24" s="369">
        <v>6.329089999999999</v>
      </c>
      <c r="F24" s="369">
        <v>21.197380000000006</v>
      </c>
      <c r="G24" s="369">
        <v>24.851539999999996</v>
      </c>
      <c r="H24" s="369">
        <v>23.885000000000009</v>
      </c>
      <c r="I24" s="369">
        <v>24.386504999999993</v>
      </c>
      <c r="J24" s="370">
        <f t="shared" si="0"/>
        <v>-0.46503500000000386</v>
      </c>
      <c r="K24" s="370">
        <f t="shared" si="1"/>
        <v>9.241504999999993</v>
      </c>
    </row>
    <row r="25" spans="1:11">
      <c r="A25" s="118">
        <v>301</v>
      </c>
      <c r="B25" s="118" t="s">
        <v>381</v>
      </c>
      <c r="C25" s="369">
        <v>0</v>
      </c>
      <c r="D25" s="369">
        <v>17.181090000000001</v>
      </c>
      <c r="E25" s="369">
        <v>14.79392</v>
      </c>
      <c r="F25" s="369">
        <v>26.512719999999998</v>
      </c>
      <c r="G25" s="369">
        <v>27.938809999999997</v>
      </c>
      <c r="H25" s="369">
        <v>19.591185773215482</v>
      </c>
      <c r="I25" s="369">
        <v>19.684265202450288</v>
      </c>
      <c r="J25" s="370">
        <f t="shared" si="0"/>
        <v>-8.254544797549709</v>
      </c>
      <c r="K25" s="370">
        <f t="shared" si="1"/>
        <v>19.684265202450288</v>
      </c>
    </row>
    <row r="26" spans="1:11">
      <c r="A26" s="118">
        <v>301</v>
      </c>
      <c r="B26" s="118" t="s">
        <v>382</v>
      </c>
      <c r="C26" s="369">
        <v>86.210999999999999</v>
      </c>
      <c r="D26" s="369">
        <v>104.52973</v>
      </c>
      <c r="E26" s="369">
        <v>111.41830999999999</v>
      </c>
      <c r="F26" s="369">
        <v>110.70725</v>
      </c>
      <c r="G26" s="369">
        <v>32.467019999999998</v>
      </c>
      <c r="H26" s="369">
        <v>39.972000000000001</v>
      </c>
      <c r="I26" s="369">
        <v>42.683999999999997</v>
      </c>
      <c r="J26" s="370">
        <f t="shared" si="0"/>
        <v>10.21698</v>
      </c>
      <c r="K26" s="370">
        <f t="shared" si="1"/>
        <v>-43.527000000000001</v>
      </c>
    </row>
    <row r="27" spans="1:11">
      <c r="A27" s="118">
        <v>301</v>
      </c>
      <c r="B27" s="118" t="s">
        <v>383</v>
      </c>
      <c r="C27" s="369">
        <v>0</v>
      </c>
      <c r="D27" s="369">
        <v>3.7</v>
      </c>
      <c r="E27" s="369">
        <v>0</v>
      </c>
      <c r="F27" s="369">
        <v>2.6657800000000003</v>
      </c>
      <c r="G27" s="369">
        <v>3.9717099999999999</v>
      </c>
      <c r="H27" s="369">
        <v>0</v>
      </c>
      <c r="I27" s="369">
        <v>0</v>
      </c>
      <c r="J27" s="370">
        <f t="shared" si="0"/>
        <v>-3.9717099999999999</v>
      </c>
      <c r="K27" s="370">
        <f t="shared" si="1"/>
        <v>0</v>
      </c>
    </row>
    <row r="28" spans="1:11">
      <c r="A28" s="118">
        <v>301</v>
      </c>
      <c r="B28" s="119" t="s">
        <v>384</v>
      </c>
      <c r="C28" s="369">
        <v>439.21699999999998</v>
      </c>
      <c r="D28" s="369">
        <v>340.75296000000003</v>
      </c>
      <c r="E28" s="369">
        <v>369.51135999999997</v>
      </c>
      <c r="F28" s="369">
        <v>531.34706000000006</v>
      </c>
      <c r="G28" s="369">
        <v>529.21843999999999</v>
      </c>
      <c r="H28" s="369">
        <v>547.64165720060964</v>
      </c>
      <c r="I28" s="369">
        <v>580.20273172934537</v>
      </c>
      <c r="J28" s="370">
        <f t="shared" si="0"/>
        <v>50.984291729345387</v>
      </c>
      <c r="K28" s="370">
        <f t="shared" si="1"/>
        <v>140.98573172934539</v>
      </c>
    </row>
    <row r="29" spans="1:11">
      <c r="A29" s="118">
        <v>301</v>
      </c>
      <c r="B29" s="118" t="s">
        <v>385</v>
      </c>
      <c r="C29" s="369">
        <v>0</v>
      </c>
      <c r="D29" s="369">
        <v>12.529910000000001</v>
      </c>
      <c r="E29" s="369">
        <v>7.5900099999999995</v>
      </c>
      <c r="F29" s="369">
        <v>8.9144799999999993</v>
      </c>
      <c r="G29" s="369">
        <v>10.720890000000001</v>
      </c>
      <c r="H29" s="369">
        <v>14.596</v>
      </c>
      <c r="I29" s="369">
        <v>14.7463</v>
      </c>
      <c r="J29" s="370">
        <f t="shared" si="0"/>
        <v>4.025409999999999</v>
      </c>
      <c r="K29" s="370">
        <f t="shared" si="1"/>
        <v>14.7463</v>
      </c>
    </row>
    <row r="30" spans="1:11">
      <c r="A30" s="118">
        <v>301</v>
      </c>
      <c r="B30" s="118" t="s">
        <v>386</v>
      </c>
      <c r="C30" s="369">
        <v>6.0190000000000001</v>
      </c>
      <c r="D30" s="369">
        <v>10.027659999999999</v>
      </c>
      <c r="E30" s="369">
        <v>2.2324499999999996</v>
      </c>
      <c r="F30" s="369">
        <v>2.3228400000000002</v>
      </c>
      <c r="G30" s="369">
        <v>3.24491</v>
      </c>
      <c r="H30" s="369">
        <v>0</v>
      </c>
      <c r="I30" s="369">
        <v>0</v>
      </c>
      <c r="J30" s="370">
        <f t="shared" si="0"/>
        <v>-3.24491</v>
      </c>
      <c r="K30" s="370">
        <f t="shared" si="1"/>
        <v>-6.0190000000000001</v>
      </c>
    </row>
    <row r="31" spans="1:11">
      <c r="A31" s="118">
        <v>301</v>
      </c>
      <c r="B31" s="118" t="s">
        <v>387</v>
      </c>
      <c r="C31" s="369">
        <v>34.200000000000003</v>
      </c>
      <c r="D31" s="369">
        <v>10.970979999999999</v>
      </c>
      <c r="E31" s="369">
        <v>43.993989999999997</v>
      </c>
      <c r="F31" s="369">
        <v>60.098080000000003</v>
      </c>
      <c r="G31" s="369">
        <v>88.04195</v>
      </c>
      <c r="H31" s="369">
        <v>92.444119999999998</v>
      </c>
      <c r="I31" s="369">
        <v>97.066320000000005</v>
      </c>
      <c r="J31" s="370">
        <f t="shared" si="0"/>
        <v>9.0243700000000047</v>
      </c>
      <c r="K31" s="370">
        <f t="shared" si="1"/>
        <v>62.866320000000002</v>
      </c>
    </row>
    <row r="32" spans="1:11">
      <c r="A32" s="118">
        <v>301</v>
      </c>
      <c r="B32" s="118" t="s">
        <v>388</v>
      </c>
      <c r="C32" s="369">
        <v>0</v>
      </c>
      <c r="D32" s="369">
        <v>9.5354599999999987</v>
      </c>
      <c r="E32" s="369">
        <v>5.8672899999999997</v>
      </c>
      <c r="F32" s="369">
        <v>4.9912900000000002</v>
      </c>
      <c r="G32" s="369">
        <v>10.63222</v>
      </c>
      <c r="H32" s="369">
        <v>0</v>
      </c>
      <c r="I32" s="369">
        <v>0</v>
      </c>
      <c r="J32" s="370">
        <f t="shared" si="0"/>
        <v>-10.63222</v>
      </c>
      <c r="K32" s="370">
        <f t="shared" si="1"/>
        <v>0</v>
      </c>
    </row>
    <row r="33" spans="1:11">
      <c r="A33" s="118">
        <v>301</v>
      </c>
      <c r="B33" s="118" t="s">
        <v>389</v>
      </c>
      <c r="C33" s="369">
        <v>8</v>
      </c>
      <c r="D33" s="369">
        <v>0</v>
      </c>
      <c r="E33" s="369">
        <v>0</v>
      </c>
      <c r="F33" s="369">
        <v>0</v>
      </c>
      <c r="G33" s="369">
        <v>0</v>
      </c>
      <c r="H33" s="369">
        <v>10.055</v>
      </c>
      <c r="I33" s="369">
        <v>10.055</v>
      </c>
      <c r="J33" s="370">
        <f t="shared" si="0"/>
        <v>10.055</v>
      </c>
      <c r="K33" s="370">
        <f t="shared" si="1"/>
        <v>2.0549999999999997</v>
      </c>
    </row>
    <row r="34" spans="1:11" ht="14.25" customHeight="1">
      <c r="A34" s="119">
        <v>302</v>
      </c>
      <c r="B34" s="119" t="s">
        <v>390</v>
      </c>
      <c r="C34" s="369">
        <v>45.747999999999998</v>
      </c>
      <c r="D34" s="369">
        <v>109.00749999999999</v>
      </c>
      <c r="E34" s="369">
        <v>116.28245999999999</v>
      </c>
      <c r="F34" s="369">
        <v>122.31252000000001</v>
      </c>
      <c r="G34" s="369">
        <v>137.45768000000001</v>
      </c>
      <c r="H34" s="369">
        <v>146.26400000000001</v>
      </c>
      <c r="I34" s="369">
        <v>147.77801599999998</v>
      </c>
      <c r="J34" s="370">
        <f t="shared" si="0"/>
        <v>10.320335999999969</v>
      </c>
      <c r="K34" s="370">
        <f t="shared" si="1"/>
        <v>102.03001599999999</v>
      </c>
    </row>
    <row r="35" spans="1:11" ht="14.25" customHeight="1">
      <c r="A35" s="118">
        <v>313</v>
      </c>
      <c r="B35" s="118" t="s">
        <v>375</v>
      </c>
      <c r="C35" s="369">
        <v>0</v>
      </c>
      <c r="D35" s="369">
        <v>101.55307000000001</v>
      </c>
      <c r="E35" s="369">
        <v>87.777379999999994</v>
      </c>
      <c r="F35" s="369">
        <v>57.954839999999997</v>
      </c>
      <c r="G35" s="369">
        <v>88.004320000000007</v>
      </c>
      <c r="H35" s="369">
        <v>88.53</v>
      </c>
      <c r="I35" s="369">
        <v>89.680889999999991</v>
      </c>
      <c r="J35" s="370">
        <f t="shared" si="0"/>
        <v>1.6765699999999839</v>
      </c>
      <c r="K35" s="370">
        <f t="shared" si="1"/>
        <v>89.680889999999991</v>
      </c>
    </row>
    <row r="36" spans="1:11" ht="15" thickBot="1">
      <c r="A36" s="118"/>
      <c r="B36" s="118" t="s">
        <v>542</v>
      </c>
      <c r="C36" s="369">
        <v>-150</v>
      </c>
      <c r="D36" s="369"/>
      <c r="E36" s="369"/>
      <c r="F36" s="369"/>
      <c r="G36" s="369"/>
      <c r="H36" s="369"/>
      <c r="I36" s="369"/>
      <c r="J36" s="370">
        <f t="shared" si="0"/>
        <v>0</v>
      </c>
      <c r="K36" s="370">
        <f t="shared" si="1"/>
        <v>150</v>
      </c>
    </row>
    <row r="37" spans="1:11" hidden="1">
      <c r="A37" s="118"/>
      <c r="B37" s="118"/>
      <c r="C37" s="369"/>
      <c r="D37" s="369"/>
      <c r="E37" s="369"/>
      <c r="F37" s="369"/>
      <c r="G37" s="369"/>
      <c r="H37" s="369"/>
      <c r="I37" s="369"/>
      <c r="J37" s="370">
        <f t="shared" si="0"/>
        <v>0</v>
      </c>
      <c r="K37" s="370">
        <f t="shared" si="1"/>
        <v>0</v>
      </c>
    </row>
    <row r="38" spans="1:11" hidden="1">
      <c r="A38" s="118"/>
      <c r="B38" s="118"/>
      <c r="C38" s="369"/>
      <c r="D38" s="369"/>
      <c r="E38" s="369"/>
      <c r="F38" s="369"/>
      <c r="G38" s="369"/>
      <c r="H38" s="369"/>
      <c r="I38" s="369"/>
      <c r="J38" s="370">
        <f t="shared" si="0"/>
        <v>0</v>
      </c>
      <c r="K38" s="370">
        <f t="shared" si="1"/>
        <v>0</v>
      </c>
    </row>
    <row r="39" spans="1:11" hidden="1">
      <c r="A39" s="118"/>
      <c r="B39" s="118"/>
      <c r="C39" s="369"/>
      <c r="D39" s="369"/>
      <c r="E39" s="369"/>
      <c r="F39" s="369"/>
      <c r="G39" s="369"/>
      <c r="H39" s="369"/>
      <c r="I39" s="369"/>
      <c r="J39" s="370">
        <f t="shared" si="0"/>
        <v>0</v>
      </c>
      <c r="K39" s="370">
        <f t="shared" si="1"/>
        <v>0</v>
      </c>
    </row>
    <row r="40" spans="1:11" ht="15" hidden="1" thickBot="1">
      <c r="A40" s="119"/>
      <c r="B40" s="119"/>
      <c r="C40" s="368"/>
      <c r="D40" s="368"/>
      <c r="E40" s="368"/>
      <c r="F40" s="368"/>
      <c r="G40" s="368"/>
      <c r="H40" s="368"/>
      <c r="I40" s="368"/>
      <c r="J40" s="370">
        <f t="shared" si="0"/>
        <v>0</v>
      </c>
      <c r="K40" s="370">
        <f t="shared" si="1"/>
        <v>0</v>
      </c>
    </row>
    <row r="41" spans="1:11" ht="15.75" thickTop="1" thickBot="1">
      <c r="A41" s="6"/>
      <c r="B41" s="6" t="s">
        <v>6</v>
      </c>
      <c r="C41" s="371">
        <f>SUM(C10:C40)</f>
        <v>3209.1189999999988</v>
      </c>
      <c r="D41" s="371">
        <f t="shared" ref="D41:H41" si="2">SUM(D10:D40)</f>
        <v>3263.9303200000004</v>
      </c>
      <c r="E41" s="371">
        <f t="shared" si="2"/>
        <v>3315.68559</v>
      </c>
      <c r="F41" s="371">
        <f t="shared" si="2"/>
        <v>3819.5933100000002</v>
      </c>
      <c r="G41" s="371">
        <f t="shared" si="2"/>
        <v>3679.8873199999994</v>
      </c>
      <c r="H41" s="371">
        <f t="shared" si="2"/>
        <v>3765.1858145310562</v>
      </c>
      <c r="I41" s="371">
        <f>SUM(I10:I40)</f>
        <v>4321.9583990672672</v>
      </c>
      <c r="J41" s="371">
        <f>SUM(J10:J40)</f>
        <v>642.07107906726696</v>
      </c>
      <c r="K41" s="371">
        <f>SUM(K10:K40)</f>
        <v>1112.8393990672666</v>
      </c>
    </row>
    <row r="43" spans="1:11">
      <c r="B43" s="120"/>
    </row>
    <row r="45" spans="1:11" ht="28.5" customHeight="1">
      <c r="B45" s="607"/>
      <c r="C45" s="607"/>
      <c r="D45" s="607"/>
      <c r="E45" s="607"/>
      <c r="F45" s="607"/>
      <c r="G45" s="607"/>
      <c r="H45" s="607"/>
      <c r="I45" s="607"/>
      <c r="J45" s="607"/>
    </row>
    <row r="46" spans="1:11" ht="16.5" customHeight="1">
      <c r="B46" s="607"/>
      <c r="C46" s="607"/>
      <c r="D46" s="607"/>
      <c r="E46" s="607"/>
      <c r="F46" s="607"/>
      <c r="G46" s="607"/>
      <c r="H46" s="607"/>
      <c r="I46" s="607"/>
      <c r="J46" s="607"/>
    </row>
    <row r="47" spans="1:11">
      <c r="B47" s="257"/>
      <c r="C47" s="257"/>
      <c r="D47" s="257"/>
      <c r="E47" s="257"/>
      <c r="F47" s="257"/>
      <c r="G47" s="257"/>
      <c r="H47" s="257"/>
      <c r="I47" s="257"/>
    </row>
    <row r="49" spans="2:10">
      <c r="B49" s="121"/>
      <c r="C49" s="121"/>
      <c r="D49" s="121"/>
      <c r="E49" s="121"/>
      <c r="F49" s="121"/>
      <c r="G49" s="121"/>
      <c r="H49" s="121"/>
      <c r="I49" s="121"/>
      <c r="J49" s="121"/>
    </row>
    <row r="50" spans="2:10">
      <c r="B50" s="121"/>
      <c r="C50" s="121"/>
      <c r="D50" s="121"/>
      <c r="E50" s="121"/>
      <c r="F50" s="121"/>
      <c r="G50" s="121"/>
      <c r="H50" s="121"/>
      <c r="I50" s="121"/>
      <c r="J50" s="121"/>
    </row>
    <row r="52" spans="2:10">
      <c r="B52" s="122"/>
    </row>
  </sheetData>
  <sheetProtection sheet="1" objects="1" scenarios="1"/>
  <mergeCells count="6">
    <mergeCell ref="B7:I7"/>
    <mergeCell ref="B45:J45"/>
    <mergeCell ref="B46:J46"/>
    <mergeCell ref="A4:K4"/>
    <mergeCell ref="A5:K5"/>
    <mergeCell ref="A6:K6"/>
  </mergeCells>
  <dataValidations count="1">
    <dataValidation type="list" allowBlank="1" showInputMessage="1" showErrorMessage="1" sqref="C9:K9">
      <formula1>"CGAAP, MIFRS, USGAAP, ASPE"</formula1>
    </dataValidation>
  </dataValidations>
  <pageMargins left="0.7" right="0.7" top="0.75" bottom="0.75" header="0.3" footer="0.3"/>
  <pageSetup scale="68"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workbookViewId="0">
      <selection activeCell="B41" sqref="B41"/>
    </sheetView>
  </sheetViews>
  <sheetFormatPr defaultColWidth="9.42578125" defaultRowHeight="15"/>
  <cols>
    <col min="1" max="1" width="3" style="7" bestFit="1" customWidth="1"/>
    <col min="2" max="2" width="39.140625" style="7" customWidth="1"/>
    <col min="3" max="9" width="12.7109375" style="7" customWidth="1"/>
    <col min="10" max="10" width="14.7109375" style="7" bestFit="1" customWidth="1"/>
    <col min="11" max="16384" width="9.42578125" style="7"/>
  </cols>
  <sheetData>
    <row r="1" spans="1:10">
      <c r="C1" s="107"/>
      <c r="J1" s="208" t="str">
        <f>OEBFILE</f>
        <v>EB-2024-0130</v>
      </c>
    </row>
    <row r="2" spans="1:10">
      <c r="C2" s="107"/>
      <c r="J2" s="208" t="s">
        <v>313</v>
      </c>
    </row>
    <row r="3" spans="1:10">
      <c r="C3" s="107"/>
      <c r="J3" s="210">
        <f>'4B_OM&amp;A Detail'!K3</f>
        <v>45491</v>
      </c>
    </row>
    <row r="5" spans="1:10" ht="18">
      <c r="A5" s="609" t="s">
        <v>319</v>
      </c>
      <c r="B5" s="609"/>
      <c r="C5" s="609"/>
      <c r="D5" s="609"/>
      <c r="E5" s="609"/>
      <c r="F5" s="609"/>
      <c r="G5" s="609"/>
      <c r="H5" s="609"/>
      <c r="I5" s="609"/>
      <c r="J5" s="609"/>
    </row>
    <row r="6" spans="1:10" ht="17.25" customHeight="1">
      <c r="A6" s="610" t="s">
        <v>511</v>
      </c>
      <c r="B6" s="610"/>
      <c r="C6" s="610"/>
      <c r="D6" s="610"/>
      <c r="E6" s="610"/>
      <c r="F6" s="610"/>
      <c r="G6" s="610"/>
      <c r="H6" s="610"/>
      <c r="I6" s="610"/>
      <c r="J6" s="610"/>
    </row>
    <row r="7" spans="1:10" ht="25.5">
      <c r="A7" s="456"/>
      <c r="B7" s="457" t="s">
        <v>95</v>
      </c>
      <c r="C7" s="458" t="s">
        <v>510</v>
      </c>
      <c r="D7" s="458" t="s">
        <v>512</v>
      </c>
      <c r="E7" s="458" t="s">
        <v>513</v>
      </c>
      <c r="F7" s="458" t="s">
        <v>514</v>
      </c>
      <c r="G7" s="458" t="s">
        <v>515</v>
      </c>
      <c r="H7" s="458" t="s">
        <v>490</v>
      </c>
      <c r="I7" s="458" t="s">
        <v>509</v>
      </c>
      <c r="J7" s="459" t="s">
        <v>156</v>
      </c>
    </row>
    <row r="8" spans="1:10">
      <c r="A8" s="460">
        <v>1</v>
      </c>
      <c r="B8" s="461" t="s">
        <v>516</v>
      </c>
      <c r="C8" s="462">
        <v>4.5</v>
      </c>
      <c r="D8" s="462">
        <v>2.7376208333333296</v>
      </c>
      <c r="E8" s="462">
        <v>2.3783708333333338</v>
      </c>
      <c r="F8" s="462">
        <v>2.674691666666666</v>
      </c>
      <c r="G8" s="462">
        <v>2.9924683333333326</v>
      </c>
      <c r="H8" s="462">
        <v>3</v>
      </c>
      <c r="I8" s="462">
        <v>3</v>
      </c>
      <c r="J8" s="463"/>
    </row>
    <row r="9" spans="1:10">
      <c r="A9" s="460">
        <f>A8+1</f>
        <v>2</v>
      </c>
      <c r="B9" s="461" t="s">
        <v>517</v>
      </c>
      <c r="C9" s="462">
        <v>13</v>
      </c>
      <c r="D9" s="462">
        <v>12.970959166666665</v>
      </c>
      <c r="E9" s="462">
        <v>12.855101666666668</v>
      </c>
      <c r="F9" s="462">
        <v>14.47377</v>
      </c>
      <c r="G9" s="462">
        <v>14.417289166666666</v>
      </c>
      <c r="H9" s="462">
        <v>16</v>
      </c>
      <c r="I9" s="462">
        <v>17.5</v>
      </c>
      <c r="J9" s="463"/>
    </row>
    <row r="10" spans="1:10">
      <c r="A10" s="460">
        <f t="shared" ref="A10:A11" si="0">A9+1</f>
        <v>3</v>
      </c>
      <c r="B10" s="461" t="s">
        <v>518</v>
      </c>
      <c r="C10" s="462">
        <v>2.671803034857942</v>
      </c>
      <c r="D10" s="462">
        <v>2.6922657543859647</v>
      </c>
      <c r="E10" s="462">
        <v>3.1109407794472745</v>
      </c>
      <c r="F10" s="462">
        <v>2.9230241953975979</v>
      </c>
      <c r="G10" s="462">
        <v>3.804397223287074</v>
      </c>
      <c r="H10" s="462">
        <v>4.5469780211847537</v>
      </c>
      <c r="I10" s="462">
        <v>4.1405102527717528</v>
      </c>
      <c r="J10" s="463"/>
    </row>
    <row r="11" spans="1:10">
      <c r="A11" s="460">
        <f t="shared" si="0"/>
        <v>4</v>
      </c>
      <c r="B11" s="464" t="s">
        <v>519</v>
      </c>
      <c r="C11" s="465">
        <f>SUM(C8:C10)</f>
        <v>20.171803034857941</v>
      </c>
      <c r="D11" s="465">
        <f t="shared" ref="D11:I11" si="1">SUM(D8:D10)</f>
        <v>18.400845754385958</v>
      </c>
      <c r="E11" s="465">
        <f t="shared" si="1"/>
        <v>18.344413279447277</v>
      </c>
      <c r="F11" s="465">
        <f t="shared" si="1"/>
        <v>20.071485862064264</v>
      </c>
      <c r="G11" s="465">
        <f t="shared" si="1"/>
        <v>21.214154723287074</v>
      </c>
      <c r="H11" s="465">
        <f t="shared" si="1"/>
        <v>23.546978021184753</v>
      </c>
      <c r="I11" s="465">
        <f t="shared" si="1"/>
        <v>24.640510252771755</v>
      </c>
      <c r="J11" s="466"/>
    </row>
    <row r="12" spans="1:10">
      <c r="A12" s="460"/>
      <c r="B12" s="461"/>
      <c r="C12" s="461"/>
      <c r="D12" s="461"/>
      <c r="E12" s="461"/>
      <c r="F12" s="461"/>
      <c r="G12" s="461"/>
      <c r="H12" s="461"/>
      <c r="I12" s="461"/>
      <c r="J12" s="467"/>
    </row>
    <row r="13" spans="1:10">
      <c r="A13" s="460">
        <f>A11+1</f>
        <v>5</v>
      </c>
      <c r="B13" s="468" t="s">
        <v>520</v>
      </c>
      <c r="C13" s="461"/>
      <c r="D13" s="461"/>
      <c r="E13" s="461"/>
      <c r="F13" s="461"/>
      <c r="G13" s="461"/>
      <c r="H13" s="461"/>
      <c r="I13" s="461"/>
      <c r="J13" s="467"/>
    </row>
    <row r="14" spans="1:10">
      <c r="A14" s="460">
        <f>A13+1</f>
        <v>6</v>
      </c>
      <c r="B14" s="461" t="s">
        <v>516</v>
      </c>
      <c r="C14" s="462">
        <v>0</v>
      </c>
      <c r="D14" s="462">
        <v>-0.5</v>
      </c>
      <c r="E14" s="462">
        <v>-0.5</v>
      </c>
      <c r="F14" s="462">
        <v>-0.5</v>
      </c>
      <c r="G14" s="462">
        <v>-1.4999970833333334</v>
      </c>
      <c r="H14" s="462">
        <v>-1.5</v>
      </c>
      <c r="I14" s="462">
        <v>-0.5</v>
      </c>
      <c r="J14" s="463" t="s">
        <v>521</v>
      </c>
    </row>
    <row r="15" spans="1:10">
      <c r="A15" s="460">
        <f t="shared" ref="A15:A17" si="2">A14+1</f>
        <v>7</v>
      </c>
      <c r="B15" s="461" t="s">
        <v>517</v>
      </c>
      <c r="C15" s="462">
        <v>-2.5823212102233755</v>
      </c>
      <c r="D15" s="469">
        <v>-2.9252403846153845</v>
      </c>
      <c r="E15" s="462">
        <v>-2.5949600641025645</v>
      </c>
      <c r="F15" s="462">
        <v>-4.0772983333333324</v>
      </c>
      <c r="G15" s="462">
        <v>-4.7306733333333337</v>
      </c>
      <c r="H15" s="462">
        <v>-5.03</v>
      </c>
      <c r="I15" s="462">
        <v>-4.7999999999999989</v>
      </c>
      <c r="J15" s="463" t="s">
        <v>521</v>
      </c>
    </row>
    <row r="16" spans="1:10">
      <c r="A16" s="460">
        <f t="shared" si="2"/>
        <v>8</v>
      </c>
      <c r="B16" s="461" t="s">
        <v>518</v>
      </c>
      <c r="C16" s="462">
        <v>0</v>
      </c>
      <c r="D16" s="462">
        <v>0</v>
      </c>
      <c r="E16" s="462">
        <v>0</v>
      </c>
      <c r="F16" s="462">
        <v>0</v>
      </c>
      <c r="G16" s="462">
        <v>0</v>
      </c>
      <c r="H16" s="462">
        <v>0</v>
      </c>
      <c r="I16" s="462">
        <v>0</v>
      </c>
      <c r="J16" s="463"/>
    </row>
    <row r="17" spans="1:12">
      <c r="A17" s="460">
        <f t="shared" si="2"/>
        <v>9</v>
      </c>
      <c r="B17" s="464" t="s">
        <v>522</v>
      </c>
      <c r="C17" s="465">
        <f>SUM(C14:C16)</f>
        <v>-2.5823212102233755</v>
      </c>
      <c r="D17" s="465">
        <f t="shared" ref="D17:I17" si="3">SUM(D14:D16)</f>
        <v>-3.4252403846153845</v>
      </c>
      <c r="E17" s="465">
        <f t="shared" si="3"/>
        <v>-3.0949600641025645</v>
      </c>
      <c r="F17" s="465">
        <f t="shared" si="3"/>
        <v>-4.5772983333333324</v>
      </c>
      <c r="G17" s="465">
        <f t="shared" si="3"/>
        <v>-6.2306704166666673</v>
      </c>
      <c r="H17" s="465">
        <f t="shared" si="3"/>
        <v>-6.53</v>
      </c>
      <c r="I17" s="465">
        <f t="shared" si="3"/>
        <v>-5.2999999999999989</v>
      </c>
      <c r="J17" s="466"/>
    </row>
    <row r="18" spans="1:12">
      <c r="A18" s="460"/>
      <c r="B18" s="461"/>
      <c r="C18" s="461"/>
      <c r="D18" s="461"/>
      <c r="E18" s="461"/>
      <c r="F18" s="461"/>
      <c r="G18" s="461"/>
      <c r="H18" s="461"/>
      <c r="I18" s="461"/>
      <c r="J18" s="467"/>
    </row>
    <row r="19" spans="1:12">
      <c r="A19" s="460">
        <v>10</v>
      </c>
      <c r="B19" s="468" t="s">
        <v>523</v>
      </c>
      <c r="C19" s="461"/>
      <c r="D19" s="461"/>
      <c r="E19" s="461"/>
      <c r="F19" s="461"/>
      <c r="G19" s="461"/>
      <c r="H19" s="461"/>
      <c r="I19" s="461"/>
      <c r="J19" s="467"/>
    </row>
    <row r="20" spans="1:12">
      <c r="A20" s="460">
        <f>A19+1</f>
        <v>11</v>
      </c>
      <c r="B20" s="461" t="s">
        <v>524</v>
      </c>
      <c r="C20" s="469">
        <f>C8+C14</f>
        <v>4.5</v>
      </c>
      <c r="D20" s="469">
        <f t="shared" ref="D20:I20" si="4">D8+D14</f>
        <v>2.2376208333333296</v>
      </c>
      <c r="E20" s="469">
        <f t="shared" si="4"/>
        <v>1.8783708333333338</v>
      </c>
      <c r="F20" s="469">
        <f t="shared" si="4"/>
        <v>2.174691666666666</v>
      </c>
      <c r="G20" s="469">
        <f t="shared" si="4"/>
        <v>1.4924712499999992</v>
      </c>
      <c r="H20" s="469">
        <f t="shared" si="4"/>
        <v>1.5</v>
      </c>
      <c r="I20" s="469">
        <f t="shared" si="4"/>
        <v>2.5</v>
      </c>
      <c r="J20" s="470"/>
    </row>
    <row r="21" spans="1:12">
      <c r="A21" s="460">
        <f>A20+1</f>
        <v>12</v>
      </c>
      <c r="B21" s="461" t="s">
        <v>525</v>
      </c>
      <c r="C21" s="469">
        <f t="shared" ref="C21:I22" si="5">C9+C15</f>
        <v>10.417678789776625</v>
      </c>
      <c r="D21" s="469">
        <f t="shared" si="5"/>
        <v>10.045718782051281</v>
      </c>
      <c r="E21" s="469">
        <f t="shared" si="5"/>
        <v>10.260141602564104</v>
      </c>
      <c r="F21" s="469">
        <f t="shared" si="5"/>
        <v>10.396471666666667</v>
      </c>
      <c r="G21" s="469">
        <f t="shared" si="5"/>
        <v>9.6866158333333328</v>
      </c>
      <c r="H21" s="469">
        <f t="shared" si="5"/>
        <v>10.969999999999999</v>
      </c>
      <c r="I21" s="469">
        <f t="shared" si="5"/>
        <v>12.700000000000001</v>
      </c>
      <c r="J21" s="470"/>
    </row>
    <row r="22" spans="1:12">
      <c r="A22" s="460">
        <f>A21+1</f>
        <v>13</v>
      </c>
      <c r="B22" s="461" t="s">
        <v>526</v>
      </c>
      <c r="C22" s="469">
        <f t="shared" si="5"/>
        <v>2.671803034857942</v>
      </c>
      <c r="D22" s="469">
        <f t="shared" si="5"/>
        <v>2.6922657543859647</v>
      </c>
      <c r="E22" s="469">
        <f t="shared" si="5"/>
        <v>3.1109407794472745</v>
      </c>
      <c r="F22" s="469">
        <f t="shared" si="5"/>
        <v>2.9230241953975979</v>
      </c>
      <c r="G22" s="469">
        <f t="shared" si="5"/>
        <v>3.804397223287074</v>
      </c>
      <c r="H22" s="469">
        <f t="shared" si="5"/>
        <v>4.5469780211847537</v>
      </c>
      <c r="I22" s="469">
        <f t="shared" si="5"/>
        <v>4.1405102527717528</v>
      </c>
      <c r="J22" s="470"/>
    </row>
    <row r="23" spans="1:12">
      <c r="A23" s="460">
        <f>A22+1</f>
        <v>14</v>
      </c>
      <c r="B23" s="464" t="s">
        <v>527</v>
      </c>
      <c r="C23" s="465">
        <f>SUM(C20:C22)</f>
        <v>17.589481824634568</v>
      </c>
      <c r="D23" s="465">
        <f t="shared" ref="D23:I23" si="6">SUM(D20:D22)</f>
        <v>14.975605369770575</v>
      </c>
      <c r="E23" s="465">
        <f t="shared" si="6"/>
        <v>15.249453215344712</v>
      </c>
      <c r="F23" s="465">
        <f t="shared" si="6"/>
        <v>15.494187528730931</v>
      </c>
      <c r="G23" s="465">
        <f t="shared" si="6"/>
        <v>14.983484306620406</v>
      </c>
      <c r="H23" s="465">
        <f t="shared" si="6"/>
        <v>17.016978021184752</v>
      </c>
      <c r="I23" s="465">
        <f t="shared" si="6"/>
        <v>19.340510252771754</v>
      </c>
      <c r="J23" s="466"/>
    </row>
    <row r="24" spans="1:12">
      <c r="A24" s="460"/>
      <c r="B24" s="461"/>
      <c r="C24" s="461"/>
      <c r="D24" s="461"/>
      <c r="E24" s="461"/>
      <c r="F24" s="461"/>
      <c r="G24" s="461"/>
      <c r="H24" s="461"/>
      <c r="I24" s="461"/>
      <c r="J24" s="467"/>
    </row>
    <row r="25" spans="1:12">
      <c r="A25" s="460">
        <f>A23+1</f>
        <v>15</v>
      </c>
      <c r="B25" s="471" t="s">
        <v>528</v>
      </c>
      <c r="C25" s="461"/>
      <c r="D25" s="461"/>
      <c r="E25" s="461"/>
      <c r="F25" s="461"/>
      <c r="G25" s="461"/>
      <c r="H25" s="461"/>
      <c r="I25" s="461"/>
      <c r="J25" s="467"/>
    </row>
    <row r="26" spans="1:12">
      <c r="A26" s="460">
        <f>A25+1</f>
        <v>16</v>
      </c>
      <c r="B26" s="461" t="s">
        <v>529</v>
      </c>
      <c r="C26" s="462">
        <v>1341.24</v>
      </c>
      <c r="D26" s="462">
        <v>1077.6074799999999</v>
      </c>
      <c r="E26" s="462">
        <v>1102.0215499999999</v>
      </c>
      <c r="F26" s="462">
        <v>1284.77251</v>
      </c>
      <c r="G26" s="462">
        <v>1408.7407000000001</v>
      </c>
      <c r="H26" s="462">
        <v>1514.4463909059134</v>
      </c>
      <c r="I26" s="462">
        <v>1685.2935880157145</v>
      </c>
      <c r="J26" s="470" t="s">
        <v>530</v>
      </c>
      <c r="L26" s="478"/>
    </row>
    <row r="27" spans="1:12">
      <c r="A27" s="460">
        <f t="shared" ref="A27:A33" si="7">A26+1</f>
        <v>17</v>
      </c>
      <c r="B27" s="461" t="s">
        <v>531</v>
      </c>
      <c r="C27" s="462">
        <v>362.03</v>
      </c>
      <c r="D27" s="462">
        <v>338.70491999999996</v>
      </c>
      <c r="E27" s="462">
        <v>370.03886999999997</v>
      </c>
      <c r="F27" s="462">
        <v>386.16982000000002</v>
      </c>
      <c r="G27" s="462">
        <v>435.73244</v>
      </c>
      <c r="H27" s="462">
        <v>398.74237524463166</v>
      </c>
      <c r="I27" s="462">
        <v>445.20215288408582</v>
      </c>
      <c r="J27" s="470"/>
      <c r="L27" s="478"/>
    </row>
    <row r="28" spans="1:12">
      <c r="A28" s="460">
        <f t="shared" si="7"/>
        <v>18</v>
      </c>
      <c r="B28" s="461" t="s">
        <v>532</v>
      </c>
      <c r="C28" s="462">
        <v>77.900000000000006</v>
      </c>
      <c r="D28" s="462">
        <v>38.760769999999994</v>
      </c>
      <c r="E28" s="462">
        <v>91.368110000000001</v>
      </c>
      <c r="F28" s="462">
        <v>104.60451</v>
      </c>
      <c r="G28" s="462">
        <v>114.10510999999998</v>
      </c>
      <c r="H28" s="462">
        <v>74.82203337760977</v>
      </c>
      <c r="I28" s="462">
        <v>84.413481049765693</v>
      </c>
      <c r="J28" s="470"/>
      <c r="L28" s="478"/>
    </row>
    <row r="29" spans="1:12">
      <c r="A29" s="460">
        <f t="shared" si="7"/>
        <v>19</v>
      </c>
      <c r="B29" s="461" t="s">
        <v>533</v>
      </c>
      <c r="C29" s="462">
        <v>-235.46799999999999</v>
      </c>
      <c r="D29" s="462">
        <v>-283.81223</v>
      </c>
      <c r="E29" s="462">
        <v>-318.60899999999998</v>
      </c>
      <c r="F29" s="462">
        <v>-246.19108000000003</v>
      </c>
      <c r="G29" s="462">
        <v>-302.77121999999997</v>
      </c>
      <c r="H29" s="462">
        <v>-372.18885516399996</v>
      </c>
      <c r="I29" s="462">
        <v>-404.295527472</v>
      </c>
      <c r="J29" s="470" t="s">
        <v>534</v>
      </c>
      <c r="L29" s="478"/>
    </row>
    <row r="30" spans="1:12">
      <c r="A30" s="460">
        <f t="shared" si="7"/>
        <v>20</v>
      </c>
      <c r="B30" s="461" t="s">
        <v>535</v>
      </c>
      <c r="C30" s="462">
        <v>-113.57899999999999</v>
      </c>
      <c r="D30" s="462">
        <v>-214.88878980499999</v>
      </c>
      <c r="E30" s="462">
        <v>-212.89952000000002</v>
      </c>
      <c r="F30" s="462">
        <v>-380.62714319374993</v>
      </c>
      <c r="G30" s="462">
        <v>-607.83451549999995</v>
      </c>
      <c r="H30" s="462">
        <v>-636.090680126199</v>
      </c>
      <c r="I30" s="462">
        <v>-502.05413660067404</v>
      </c>
      <c r="J30" s="470" t="s">
        <v>521</v>
      </c>
      <c r="L30" s="478"/>
    </row>
    <row r="31" spans="1:12">
      <c r="A31" s="460">
        <f>A30+1</f>
        <v>21</v>
      </c>
      <c r="B31" s="461" t="s">
        <v>371</v>
      </c>
      <c r="C31" s="462">
        <v>370.60899999999998</v>
      </c>
      <c r="D31" s="462">
        <v>548.69917772239205</v>
      </c>
      <c r="E31" s="462">
        <v>505.33931238000008</v>
      </c>
      <c r="F31" s="462">
        <v>536.58395307506783</v>
      </c>
      <c r="G31" s="462">
        <v>674.2936938052751</v>
      </c>
      <c r="H31" s="462">
        <v>825.91960804836674</v>
      </c>
      <c r="I31" s="462">
        <v>808.20464495014335</v>
      </c>
      <c r="J31" s="470" t="s">
        <v>536</v>
      </c>
    </row>
    <row r="32" spans="1:12">
      <c r="A32" s="460">
        <f>A31+1</f>
        <v>22</v>
      </c>
      <c r="B32" s="464" t="s">
        <v>537</v>
      </c>
      <c r="C32" s="465">
        <f t="shared" ref="C32:I32" si="8">SUM(C26:C31)</f>
        <v>1802.732</v>
      </c>
      <c r="D32" s="465">
        <f t="shared" si="8"/>
        <v>1505.071327917392</v>
      </c>
      <c r="E32" s="465">
        <f t="shared" si="8"/>
        <v>1537.25932238</v>
      </c>
      <c r="F32" s="465">
        <f t="shared" si="8"/>
        <v>1685.3125698813178</v>
      </c>
      <c r="G32" s="465">
        <f t="shared" si="8"/>
        <v>1722.2662083052751</v>
      </c>
      <c r="H32" s="465">
        <f t="shared" si="8"/>
        <v>1805.6508722863227</v>
      </c>
      <c r="I32" s="465">
        <f t="shared" si="8"/>
        <v>2116.7642028270357</v>
      </c>
      <c r="J32" s="467"/>
    </row>
    <row r="33" spans="1:10">
      <c r="A33" s="472">
        <f t="shared" si="7"/>
        <v>23</v>
      </c>
      <c r="B33" s="464" t="s">
        <v>538</v>
      </c>
      <c r="C33" s="473"/>
      <c r="D33" s="473"/>
      <c r="E33" s="474">
        <f>E32-D32</f>
        <v>32.187994462608003</v>
      </c>
      <c r="F33" s="474">
        <f t="shared" ref="F33:H33" si="9">F32-E32</f>
        <v>148.05324750131786</v>
      </c>
      <c r="G33" s="474">
        <f t="shared" si="9"/>
        <v>36.953638423957273</v>
      </c>
      <c r="H33" s="474">
        <f t="shared" si="9"/>
        <v>83.384663981047652</v>
      </c>
      <c r="I33" s="474">
        <f>I32-H32</f>
        <v>311.11333054071292</v>
      </c>
      <c r="J33" s="475"/>
    </row>
    <row r="34" spans="1:10">
      <c r="A34" s="460"/>
      <c r="B34" s="461"/>
      <c r="C34" s="461"/>
      <c r="D34" s="461"/>
      <c r="E34" s="461"/>
      <c r="F34" s="461"/>
      <c r="G34" s="461"/>
      <c r="H34" s="461"/>
      <c r="I34" s="461"/>
      <c r="J34" s="460"/>
    </row>
    <row r="35" spans="1:10">
      <c r="A35" s="460"/>
      <c r="B35" s="608" t="s">
        <v>539</v>
      </c>
      <c r="C35" s="608"/>
      <c r="D35" s="608"/>
      <c r="E35" s="608"/>
      <c r="F35" s="608"/>
      <c r="G35" s="608"/>
      <c r="H35" s="608"/>
      <c r="I35" s="608"/>
      <c r="J35" s="608"/>
    </row>
    <row r="36" spans="1:10" ht="14.25" customHeight="1">
      <c r="A36" s="460"/>
      <c r="B36" s="608"/>
      <c r="C36" s="608"/>
      <c r="D36" s="608"/>
      <c r="E36" s="608"/>
      <c r="F36" s="608"/>
      <c r="G36" s="608"/>
      <c r="H36" s="608"/>
      <c r="I36" s="608"/>
      <c r="J36" s="608"/>
    </row>
    <row r="37" spans="1:10">
      <c r="A37" s="460"/>
      <c r="B37" s="476" t="s">
        <v>540</v>
      </c>
      <c r="C37" s="477"/>
      <c r="D37" s="477"/>
      <c r="E37" s="477"/>
      <c r="F37" s="477"/>
      <c r="G37" s="477"/>
      <c r="H37" s="477"/>
      <c r="I37" s="477"/>
      <c r="J37" s="477"/>
    </row>
    <row r="38" spans="1:10" ht="26.25" customHeight="1">
      <c r="A38" s="460"/>
      <c r="B38" s="608" t="s">
        <v>541</v>
      </c>
      <c r="C38" s="608"/>
      <c r="D38" s="608"/>
      <c r="E38" s="608"/>
      <c r="F38" s="608"/>
      <c r="G38" s="608"/>
      <c r="H38" s="608"/>
      <c r="I38" s="608"/>
      <c r="J38" s="608"/>
    </row>
    <row r="39" spans="1:10">
      <c r="A39" s="460"/>
      <c r="B39" s="461" t="s">
        <v>584</v>
      </c>
      <c r="C39" s="461"/>
      <c r="D39" s="461"/>
      <c r="E39" s="461"/>
      <c r="F39" s="461"/>
      <c r="G39" s="461"/>
      <c r="H39" s="461"/>
      <c r="I39" s="461"/>
      <c r="J39" s="460"/>
    </row>
  </sheetData>
  <sheetProtection sheet="1" objects="1" scenarios="1"/>
  <mergeCells count="4">
    <mergeCell ref="B38:J38"/>
    <mergeCell ref="A5:J5"/>
    <mergeCell ref="A6:J6"/>
    <mergeCell ref="B35:J36"/>
  </mergeCells>
  <pageMargins left="0.7" right="0.7" top="0.75" bottom="0.75" header="0.3" footer="0.3"/>
  <pageSetup scale="83" orientation="landscape"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
  <sheetViews>
    <sheetView showGridLines="0" workbookViewId="0">
      <selection activeCell="A22" sqref="A22"/>
    </sheetView>
  </sheetViews>
  <sheetFormatPr defaultColWidth="9.42578125" defaultRowHeight="14.25"/>
  <cols>
    <col min="1" max="1" width="31.5703125" style="300" bestFit="1" customWidth="1"/>
    <col min="2" max="2" width="15.5703125" style="300" customWidth="1"/>
    <col min="3" max="11" width="14.5703125" style="300" customWidth="1"/>
    <col min="12" max="12" width="15.5703125" style="300" customWidth="1"/>
    <col min="13" max="16384" width="9.42578125" style="300"/>
  </cols>
  <sheetData>
    <row r="1" spans="1:19" ht="15">
      <c r="H1" s="208" t="str">
        <f>OEBFILE</f>
        <v>EB-2024-0130</v>
      </c>
    </row>
    <row r="2" spans="1:19" ht="15">
      <c r="H2" s="208" t="s">
        <v>313</v>
      </c>
    </row>
    <row r="3" spans="1:19" ht="15">
      <c r="H3" s="210">
        <f>'4C_Employee Costs'!J3</f>
        <v>45491</v>
      </c>
    </row>
    <row r="4" spans="1:19" ht="18">
      <c r="A4" s="611" t="s">
        <v>545</v>
      </c>
      <c r="B4" s="611"/>
      <c r="C4" s="611"/>
      <c r="D4" s="611"/>
      <c r="E4" s="611"/>
      <c r="F4" s="611"/>
      <c r="G4" s="611"/>
      <c r="H4" s="611"/>
      <c r="I4" s="3"/>
      <c r="J4" s="3"/>
      <c r="K4" s="3"/>
      <c r="L4" s="3"/>
    </row>
    <row r="5" spans="1:19" ht="18">
      <c r="A5" s="611" t="s">
        <v>321</v>
      </c>
      <c r="B5" s="611"/>
      <c r="C5" s="611"/>
      <c r="D5" s="611"/>
      <c r="E5" s="611"/>
      <c r="F5" s="611"/>
      <c r="G5" s="611"/>
      <c r="H5" s="611"/>
      <c r="I5" s="3"/>
      <c r="J5" s="3"/>
      <c r="K5" s="3"/>
      <c r="L5" s="3"/>
    </row>
    <row r="6" spans="1:19" ht="15" thickBot="1"/>
    <row r="7" spans="1:19" ht="37.5" customHeight="1" thickBot="1">
      <c r="A7" s="123"/>
      <c r="B7" s="114" t="s">
        <v>510</v>
      </c>
      <c r="C7" s="114" t="s">
        <v>486</v>
      </c>
      <c r="D7" s="114" t="s">
        <v>487</v>
      </c>
      <c r="E7" s="114" t="s">
        <v>488</v>
      </c>
      <c r="F7" s="114" t="s">
        <v>489</v>
      </c>
      <c r="G7" s="114" t="s">
        <v>490</v>
      </c>
      <c r="H7" s="115" t="s">
        <v>509</v>
      </c>
    </row>
    <row r="8" spans="1:19" hidden="1">
      <c r="A8" s="314" t="s">
        <v>0</v>
      </c>
      <c r="B8" s="112" t="s">
        <v>93</v>
      </c>
      <c r="C8" s="112" t="s">
        <v>93</v>
      </c>
      <c r="D8" s="112" t="s">
        <v>93</v>
      </c>
      <c r="E8" s="112" t="s">
        <v>93</v>
      </c>
      <c r="F8" s="112" t="s">
        <v>93</v>
      </c>
      <c r="G8" s="112" t="s">
        <v>93</v>
      </c>
      <c r="H8" s="310" t="s">
        <v>93</v>
      </c>
    </row>
    <row r="9" spans="1:19" ht="15" customHeight="1">
      <c r="A9" s="315" t="s">
        <v>544</v>
      </c>
      <c r="B9" s="318">
        <f>'4B_OM&amp;A Detail'!C41*1000</f>
        <v>3209118.9999999986</v>
      </c>
      <c r="C9" s="318">
        <f>('4B_OM&amp;A Detail'!D41+'4A_Total O&amp;M Summary'!C14)*1000</f>
        <v>3263930.3200000003</v>
      </c>
      <c r="D9" s="318">
        <f>('4B_OM&amp;A Detail'!E41+'4A_Total O&amp;M Summary'!D14)*1000</f>
        <v>3314269.79</v>
      </c>
      <c r="E9" s="318">
        <f>('4B_OM&amp;A Detail'!F41+'4A_Total O&amp;M Summary'!E14)*1000</f>
        <v>3810047.77</v>
      </c>
      <c r="F9" s="318">
        <f>('4B_OM&amp;A Detail'!G41+'4A_Total O&amp;M Summary'!F14)*1000</f>
        <v>3676642.5499999993</v>
      </c>
      <c r="G9" s="318">
        <f>('4B_OM&amp;A Detail'!H41+'4A_Total O&amp;M Summary'!G14)*1000</f>
        <v>3765185.8145310562</v>
      </c>
      <c r="H9" s="319">
        <f>('4B_OM&amp;A Detail'!I41+'4A_Total O&amp;M Summary'!H14)*1000</f>
        <v>4321958.3990672668</v>
      </c>
    </row>
    <row r="10" spans="1:19">
      <c r="A10" s="316" t="s">
        <v>391</v>
      </c>
      <c r="B10" s="320">
        <v>9676.8339379864337</v>
      </c>
      <c r="C10" s="320">
        <v>9514</v>
      </c>
      <c r="D10" s="320">
        <v>9712</v>
      </c>
      <c r="E10" s="320">
        <v>9878</v>
      </c>
      <c r="F10" s="320">
        <v>10080</v>
      </c>
      <c r="G10" s="320">
        <v>10218</v>
      </c>
      <c r="H10" s="321">
        <v>10355</v>
      </c>
      <c r="I10" s="392"/>
      <c r="J10" s="393"/>
      <c r="K10" s="393"/>
      <c r="L10" s="393"/>
      <c r="M10" s="393"/>
      <c r="N10" s="393"/>
      <c r="O10" s="393"/>
      <c r="P10" s="393"/>
      <c r="Q10" s="393"/>
      <c r="R10" s="393"/>
      <c r="S10" s="393"/>
    </row>
    <row r="11" spans="1:19">
      <c r="A11" s="317" t="s">
        <v>392</v>
      </c>
      <c r="B11" s="322">
        <v>17.589481824634568</v>
      </c>
      <c r="C11" s="322">
        <v>14.975605369770575</v>
      </c>
      <c r="D11" s="322">
        <v>15.249453215344712</v>
      </c>
      <c r="E11" s="322">
        <v>15.494187528730931</v>
      </c>
      <c r="F11" s="322">
        <v>14.983484306620406</v>
      </c>
      <c r="G11" s="322">
        <v>17.016978021184752</v>
      </c>
      <c r="H11" s="372">
        <v>19.340510252771754</v>
      </c>
      <c r="I11" s="392"/>
      <c r="J11" s="393"/>
      <c r="K11" s="393"/>
      <c r="L11" s="393"/>
      <c r="M11" s="393"/>
      <c r="N11" s="393"/>
      <c r="O11" s="393"/>
      <c r="P11" s="393"/>
      <c r="Q11" s="393"/>
      <c r="R11" s="393"/>
      <c r="S11" s="393"/>
    </row>
    <row r="12" spans="1:19">
      <c r="A12" s="311" t="s">
        <v>126</v>
      </c>
      <c r="B12" s="323">
        <f>B10/B11</f>
        <v>550.14889207445287</v>
      </c>
      <c r="C12" s="323">
        <f t="shared" ref="C12:H12" si="0">C10/C11</f>
        <v>635.29986034519504</v>
      </c>
      <c r="D12" s="323">
        <f t="shared" si="0"/>
        <v>636.87529400905555</v>
      </c>
      <c r="E12" s="323">
        <f t="shared" si="0"/>
        <v>637.52939492201108</v>
      </c>
      <c r="F12" s="323">
        <f t="shared" si="0"/>
        <v>672.74071862885614</v>
      </c>
      <c r="G12" s="323">
        <f t="shared" si="0"/>
        <v>600.45914070520757</v>
      </c>
      <c r="H12" s="324">
        <f t="shared" si="0"/>
        <v>535.40469536040234</v>
      </c>
    </row>
    <row r="13" spans="1:19">
      <c r="A13" s="312" t="s">
        <v>338</v>
      </c>
      <c r="B13" s="325">
        <f t="shared" ref="B13:H13" si="1">B9/B$10</f>
        <v>331.62902459270225</v>
      </c>
      <c r="C13" s="325">
        <f t="shared" si="1"/>
        <v>343.06604162287158</v>
      </c>
      <c r="D13" s="325">
        <f t="shared" si="1"/>
        <v>341.25512664744645</v>
      </c>
      <c r="E13" s="325">
        <f t="shared" si="1"/>
        <v>385.71044442194778</v>
      </c>
      <c r="F13" s="325">
        <f t="shared" si="1"/>
        <v>364.74628472222219</v>
      </c>
      <c r="G13" s="325">
        <f>G9/G$10</f>
        <v>368.48559547181992</v>
      </c>
      <c r="H13" s="326">
        <f t="shared" si="1"/>
        <v>417.37888933532275</v>
      </c>
    </row>
    <row r="14" spans="1:19" ht="15" thickBot="1">
      <c r="A14" s="313" t="s">
        <v>339</v>
      </c>
      <c r="B14" s="327">
        <f t="shared" ref="B14:H14" si="2">B9/B$11</f>
        <v>182445.34045940664</v>
      </c>
      <c r="C14" s="327">
        <f t="shared" si="2"/>
        <v>217949.80833218922</v>
      </c>
      <c r="D14" s="327">
        <f t="shared" si="2"/>
        <v>217336.95911568994</v>
      </c>
      <c r="E14" s="327">
        <f t="shared" si="2"/>
        <v>245901.74624742434</v>
      </c>
      <c r="F14" s="327">
        <f t="shared" si="2"/>
        <v>245379.6777012331</v>
      </c>
      <c r="G14" s="327">
        <f t="shared" si="2"/>
        <v>221260.54401925573</v>
      </c>
      <c r="H14" s="328">
        <f t="shared" si="2"/>
        <v>223466.61709444158</v>
      </c>
    </row>
    <row r="15" spans="1:19">
      <c r="A15" s="482" t="s">
        <v>543</v>
      </c>
    </row>
    <row r="16" spans="1:19">
      <c r="A16" s="481"/>
      <c r="B16" s="479"/>
      <c r="C16" s="479"/>
      <c r="D16" s="479"/>
      <c r="E16" s="479"/>
      <c r="F16" s="479"/>
      <c r="G16" s="479"/>
      <c r="H16" s="479"/>
    </row>
    <row r="17" spans="3:8">
      <c r="C17" s="480"/>
      <c r="D17" s="480"/>
      <c r="E17" s="480"/>
      <c r="F17" s="480"/>
      <c r="G17" s="480"/>
      <c r="H17" s="480"/>
    </row>
  </sheetData>
  <sheetProtection sheet="1" objects="1" scenarios="1"/>
  <mergeCells count="2">
    <mergeCell ref="A4:H4"/>
    <mergeCell ref="A5:H5"/>
  </mergeCells>
  <dataValidations count="1">
    <dataValidation type="list" allowBlank="1" showInputMessage="1" showErrorMessage="1" sqref="B8:H8">
      <formula1>"CGAAP, MIFRS, USGAAP, ASPE"</formula1>
    </dataValidation>
  </dataValidations>
  <pageMargins left="0.7" right="0.7" top="0.75" bottom="0.75" header="0.3" footer="0.3"/>
  <pageSetup scale="90" orientation="landscape"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120" zoomScaleNormal="120" workbookViewId="0">
      <selection activeCell="B21" sqref="B21"/>
    </sheetView>
  </sheetViews>
  <sheetFormatPr defaultColWidth="75.140625" defaultRowHeight="12.75"/>
  <cols>
    <col min="1" max="1" width="5.42578125" style="293" customWidth="1"/>
    <col min="2" max="2" width="61.140625" style="293" customWidth="1"/>
    <col min="3" max="3" width="14" style="294" bestFit="1" customWidth="1"/>
    <col min="4" max="4" width="25.85546875" style="293" bestFit="1" customWidth="1"/>
    <col min="5" max="6" width="12.140625" style="293" bestFit="1" customWidth="1"/>
    <col min="7" max="7" width="16.42578125" style="293" bestFit="1" customWidth="1"/>
    <col min="8" max="8" width="17.28515625" style="293" bestFit="1" customWidth="1"/>
    <col min="9" max="9" width="14.140625" style="293" bestFit="1" customWidth="1"/>
    <col min="10" max="10" width="17.28515625" style="293" bestFit="1" customWidth="1"/>
    <col min="11" max="16384" width="75.140625" style="293"/>
  </cols>
  <sheetData>
    <row r="1" spans="1:10">
      <c r="C1" s="295" t="str">
        <f>'4D_OM&amp;A Per Cust'!H1</f>
        <v>EB-2024-0130</v>
      </c>
    </row>
    <row r="2" spans="1:10">
      <c r="C2" s="295" t="str">
        <f>'4D_OM&amp;A Per Cust'!H2</f>
        <v>Exhibit 4</v>
      </c>
    </row>
    <row r="3" spans="1:10">
      <c r="C3" s="296">
        <f>'4D_OM&amp;A Per Cust'!H3</f>
        <v>45491</v>
      </c>
    </row>
    <row r="4" spans="1:10">
      <c r="A4" s="297"/>
    </row>
    <row r="5" spans="1:10" ht="18">
      <c r="A5" s="609" t="s">
        <v>320</v>
      </c>
      <c r="B5" s="609"/>
      <c r="C5" s="609"/>
      <c r="D5" s="309"/>
      <c r="E5" s="309"/>
      <c r="F5" s="309"/>
      <c r="G5" s="309"/>
      <c r="H5" s="309"/>
      <c r="I5" s="309"/>
      <c r="J5" s="309"/>
    </row>
    <row r="6" spans="1:10" ht="18">
      <c r="A6" s="609" t="s">
        <v>468</v>
      </c>
      <c r="B6" s="609"/>
      <c r="C6" s="609"/>
      <c r="D6" s="309"/>
      <c r="E6" s="309"/>
      <c r="F6" s="309"/>
      <c r="G6" s="309"/>
      <c r="H6" s="309"/>
      <c r="I6" s="309"/>
      <c r="J6" s="309"/>
    </row>
    <row r="8" spans="1:10" ht="15">
      <c r="A8" s="437"/>
      <c r="B8" s="438" t="s">
        <v>469</v>
      </c>
      <c r="C8" s="438" t="s">
        <v>124</v>
      </c>
    </row>
    <row r="9" spans="1:10" ht="15">
      <c r="A9" s="426"/>
      <c r="B9" s="427" t="s">
        <v>470</v>
      </c>
      <c r="C9" s="428" t="s">
        <v>471</v>
      </c>
    </row>
    <row r="10" spans="1:10" ht="14.25">
      <c r="A10" s="429">
        <v>1</v>
      </c>
      <c r="B10" s="430" t="s">
        <v>472</v>
      </c>
      <c r="C10" s="431">
        <v>15000</v>
      </c>
    </row>
    <row r="11" spans="1:10" ht="14.25">
      <c r="A11" s="429">
        <v>2</v>
      </c>
      <c r="B11" s="430" t="s">
        <v>473</v>
      </c>
      <c r="C11" s="431">
        <v>25000</v>
      </c>
    </row>
    <row r="12" spans="1:10" ht="14.25">
      <c r="A12" s="429">
        <v>3</v>
      </c>
      <c r="B12" s="430" t="s">
        <v>474</v>
      </c>
      <c r="C12" s="431">
        <v>40000</v>
      </c>
    </row>
    <row r="13" spans="1:10" ht="14.25">
      <c r="A13" s="429">
        <v>4</v>
      </c>
      <c r="B13" s="430" t="s">
        <v>475</v>
      </c>
      <c r="C13" s="431">
        <v>120000</v>
      </c>
    </row>
    <row r="14" spans="1:10" ht="14.25">
      <c r="A14" s="429">
        <v>5</v>
      </c>
      <c r="B14" s="430" t="s">
        <v>476</v>
      </c>
      <c r="C14" s="431">
        <v>5000</v>
      </c>
    </row>
    <row r="15" spans="1:10" ht="14.25">
      <c r="A15" s="429">
        <v>6</v>
      </c>
      <c r="B15" s="430" t="s">
        <v>477</v>
      </c>
      <c r="C15" s="431">
        <v>85000</v>
      </c>
    </row>
    <row r="16" spans="1:10" ht="14.25">
      <c r="A16" s="429">
        <v>7</v>
      </c>
      <c r="B16" s="430" t="s">
        <v>478</v>
      </c>
      <c r="C16" s="431">
        <v>10000</v>
      </c>
    </row>
    <row r="17" spans="1:3" ht="14.25">
      <c r="A17" s="432">
        <v>8</v>
      </c>
      <c r="B17" s="439" t="s">
        <v>479</v>
      </c>
      <c r="C17" s="433">
        <v>200000</v>
      </c>
    </row>
    <row r="18" spans="1:3" ht="15">
      <c r="A18" s="434">
        <v>9</v>
      </c>
      <c r="B18" s="435" t="s">
        <v>6</v>
      </c>
      <c r="C18" s="436">
        <f>SUM(C10:C17)</f>
        <v>500000</v>
      </c>
    </row>
    <row r="19" spans="1:3" ht="15">
      <c r="A19" s="434">
        <v>10</v>
      </c>
      <c r="B19" s="435" t="s">
        <v>480</v>
      </c>
      <c r="C19" s="436">
        <f>C18/5</f>
        <v>100000</v>
      </c>
    </row>
  </sheetData>
  <sheetProtection sheet="1" objects="1" scenarios="1"/>
  <mergeCells count="2">
    <mergeCell ref="A5:C5"/>
    <mergeCell ref="A6:C6"/>
  </mergeCells>
  <pageMargins left="0.7" right="0.7" top="0.75" bottom="0.75" header="0.3" footer="0.3"/>
  <pageSetup orientation="landscape"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71"/>
  <sheetViews>
    <sheetView showGridLines="0" zoomScale="80" zoomScaleNormal="80" workbookViewId="0">
      <selection activeCell="J19" sqref="J18:J19"/>
    </sheetView>
  </sheetViews>
  <sheetFormatPr defaultColWidth="9.42578125" defaultRowHeight="14.25"/>
  <cols>
    <col min="1" max="1" width="2.85546875" style="300" customWidth="1"/>
    <col min="2" max="2" width="49.28515625" style="300" customWidth="1"/>
    <col min="3" max="3" width="51" style="300" bestFit="1" customWidth="1"/>
    <col min="4" max="4" width="40.5703125" style="300" bestFit="1" customWidth="1"/>
    <col min="5" max="5" width="20.7109375" style="307" bestFit="1" customWidth="1"/>
    <col min="6" max="6" width="19" style="300" bestFit="1" customWidth="1"/>
    <col min="7" max="7" width="16.5703125" style="300" customWidth="1"/>
    <col min="8" max="16384" width="9.42578125" style="300"/>
  </cols>
  <sheetData>
    <row r="1" spans="2:10" ht="15">
      <c r="B1" s="499"/>
      <c r="C1" s="499"/>
      <c r="F1" s="302" t="str">
        <f>'4E_One-time Costs'!C1</f>
        <v>EB-2024-0130</v>
      </c>
    </row>
    <row r="2" spans="2:10" ht="15">
      <c r="B2" s="499"/>
      <c r="C2" s="393"/>
      <c r="F2" s="302" t="str">
        <f>'4E_One-time Costs'!C2</f>
        <v>Exhibit 4</v>
      </c>
    </row>
    <row r="3" spans="2:10" ht="15">
      <c r="B3" s="499"/>
      <c r="F3" s="303">
        <f>'4E_One-time Costs'!C3</f>
        <v>45491</v>
      </c>
    </row>
    <row r="4" spans="2:10" ht="18">
      <c r="B4" s="551" t="s">
        <v>329</v>
      </c>
      <c r="C4" s="551"/>
      <c r="D4" s="551"/>
      <c r="E4" s="551"/>
      <c r="F4" s="551"/>
      <c r="G4" s="298"/>
    </row>
    <row r="5" spans="2:10" ht="18">
      <c r="B5" s="551" t="s">
        <v>579</v>
      </c>
      <c r="C5" s="551"/>
      <c r="D5" s="551"/>
      <c r="E5" s="551"/>
      <c r="F5" s="551"/>
      <c r="G5" s="298"/>
    </row>
    <row r="6" spans="2:10" ht="18">
      <c r="B6" s="605" t="s">
        <v>366</v>
      </c>
      <c r="C6" s="605"/>
      <c r="D6" s="605"/>
      <c r="E6" s="605"/>
      <c r="F6" s="605"/>
      <c r="G6" s="483"/>
      <c r="H6" s="483"/>
      <c r="I6" s="483"/>
      <c r="J6" s="483"/>
    </row>
    <row r="7" spans="2:10">
      <c r="C7" s="4" t="s">
        <v>127</v>
      </c>
      <c r="D7" s="304">
        <v>2020</v>
      </c>
    </row>
    <row r="8" spans="2:10" ht="15">
      <c r="D8" s="305"/>
      <c r="E8" s="308"/>
    </row>
    <row r="9" spans="2:10" ht="15.75">
      <c r="B9" s="637" t="s">
        <v>128</v>
      </c>
      <c r="C9" s="637"/>
      <c r="D9" s="637"/>
      <c r="E9" s="637"/>
      <c r="F9" s="637"/>
    </row>
    <row r="10" spans="2:10" ht="15" thickBot="1"/>
    <row r="11" spans="2:10" ht="13.5" customHeight="1">
      <c r="B11" s="612" t="s">
        <v>129</v>
      </c>
      <c r="C11" s="613"/>
      <c r="D11" s="614" t="s">
        <v>130</v>
      </c>
      <c r="E11" s="617" t="s">
        <v>131</v>
      </c>
      <c r="F11" s="620" t="s">
        <v>132</v>
      </c>
      <c r="G11" s="636"/>
    </row>
    <row r="12" spans="2:10" ht="17.25" customHeight="1">
      <c r="B12" s="622" t="s">
        <v>133</v>
      </c>
      <c r="C12" s="624" t="s">
        <v>134</v>
      </c>
      <c r="D12" s="615"/>
      <c r="E12" s="618"/>
      <c r="F12" s="621"/>
      <c r="G12" s="636"/>
    </row>
    <row r="13" spans="2:10">
      <c r="B13" s="623"/>
      <c r="C13" s="625"/>
      <c r="D13" s="616"/>
      <c r="E13" s="619"/>
      <c r="F13" s="124" t="s">
        <v>135</v>
      </c>
      <c r="G13" s="299"/>
    </row>
    <row r="14" spans="2:10">
      <c r="B14" s="384" t="s">
        <v>393</v>
      </c>
      <c r="C14" s="385" t="s">
        <v>394</v>
      </c>
      <c r="D14" s="375" t="s">
        <v>395</v>
      </c>
      <c r="E14" s="376" t="s">
        <v>405</v>
      </c>
      <c r="F14" s="497">
        <v>14.338098399194122</v>
      </c>
      <c r="G14" s="496"/>
    </row>
    <row r="15" spans="2:10">
      <c r="B15" s="384" t="s">
        <v>393</v>
      </c>
      <c r="C15" s="385" t="s">
        <v>394</v>
      </c>
      <c r="D15" s="375" t="s">
        <v>396</v>
      </c>
      <c r="E15" s="376" t="s">
        <v>405</v>
      </c>
      <c r="F15" s="497">
        <v>3.8739257844211221</v>
      </c>
      <c r="G15" s="496"/>
    </row>
    <row r="16" spans="2:10">
      <c r="B16" s="384" t="s">
        <v>393</v>
      </c>
      <c r="C16" s="385" t="s">
        <v>394</v>
      </c>
      <c r="D16" s="375" t="s">
        <v>397</v>
      </c>
      <c r="E16" s="376" t="s">
        <v>404</v>
      </c>
      <c r="F16" s="497">
        <v>35.635504731054226</v>
      </c>
      <c r="G16" s="496"/>
    </row>
    <row r="17" spans="2:7">
      <c r="B17" s="384" t="s">
        <v>393</v>
      </c>
      <c r="C17" s="385" t="s">
        <v>394</v>
      </c>
      <c r="D17" s="375" t="s">
        <v>398</v>
      </c>
      <c r="E17" s="376" t="s">
        <v>405</v>
      </c>
      <c r="F17" s="497">
        <v>58.038077836823255</v>
      </c>
      <c r="G17" s="496"/>
    </row>
    <row r="18" spans="2:7">
      <c r="B18" s="384" t="s">
        <v>393</v>
      </c>
      <c r="C18" s="385" t="s">
        <v>394</v>
      </c>
      <c r="D18" s="375" t="s">
        <v>327</v>
      </c>
      <c r="E18" s="376" t="s">
        <v>405</v>
      </c>
      <c r="F18" s="497">
        <v>36.485391264684054</v>
      </c>
      <c r="G18" s="496"/>
    </row>
    <row r="19" spans="2:7">
      <c r="B19" s="384" t="s">
        <v>393</v>
      </c>
      <c r="C19" s="385" t="s">
        <v>394</v>
      </c>
      <c r="D19" s="375" t="s">
        <v>323</v>
      </c>
      <c r="E19" s="376" t="s">
        <v>405</v>
      </c>
      <c r="F19" s="497">
        <v>157.59000908842444</v>
      </c>
      <c r="G19" s="496"/>
    </row>
    <row r="20" spans="2:7">
      <c r="B20" s="384" t="s">
        <v>393</v>
      </c>
      <c r="C20" s="385" t="s">
        <v>394</v>
      </c>
      <c r="D20" s="375" t="s">
        <v>399</v>
      </c>
      <c r="E20" s="376" t="s">
        <v>405</v>
      </c>
      <c r="F20" s="497">
        <v>79.052710126274931</v>
      </c>
      <c r="G20" s="496"/>
    </row>
    <row r="21" spans="2:7">
      <c r="B21" s="384" t="s">
        <v>393</v>
      </c>
      <c r="C21" s="385" t="s">
        <v>394</v>
      </c>
      <c r="D21" s="375" t="s">
        <v>400</v>
      </c>
      <c r="E21" s="376" t="s">
        <v>405</v>
      </c>
      <c r="F21" s="497">
        <v>51.937767246074138</v>
      </c>
      <c r="G21" s="496"/>
    </row>
    <row r="22" spans="2:7">
      <c r="B22" s="384" t="s">
        <v>393</v>
      </c>
      <c r="C22" s="385" t="s">
        <v>394</v>
      </c>
      <c r="D22" s="375" t="s">
        <v>324</v>
      </c>
      <c r="E22" s="376" t="s">
        <v>404</v>
      </c>
      <c r="F22" s="497">
        <v>43.86403177091092</v>
      </c>
      <c r="G22" s="496"/>
    </row>
    <row r="23" spans="2:7">
      <c r="B23" s="373" t="s">
        <v>401</v>
      </c>
      <c r="C23" s="385" t="s">
        <v>394</v>
      </c>
      <c r="D23" s="375" t="s">
        <v>402</v>
      </c>
      <c r="E23" s="376" t="s">
        <v>404</v>
      </c>
      <c r="F23" s="497">
        <v>47.87388</v>
      </c>
      <c r="G23" s="496"/>
    </row>
    <row r="24" spans="2:7">
      <c r="B24" s="373" t="s">
        <v>401</v>
      </c>
      <c r="C24" s="385" t="s">
        <v>394</v>
      </c>
      <c r="D24" s="375" t="s">
        <v>403</v>
      </c>
      <c r="E24" s="376" t="s">
        <v>404</v>
      </c>
      <c r="F24" s="497">
        <v>1.6883499999999996</v>
      </c>
      <c r="G24" s="496"/>
    </row>
    <row r="25" spans="2:7">
      <c r="B25" s="373" t="s">
        <v>401</v>
      </c>
      <c r="C25" s="385" t="s">
        <v>394</v>
      </c>
      <c r="D25" s="375" t="s">
        <v>324</v>
      </c>
      <c r="E25" s="376" t="s">
        <v>404</v>
      </c>
      <c r="F25" s="497">
        <v>27.416140000000002</v>
      </c>
      <c r="G25" s="496"/>
    </row>
    <row r="26" spans="2:7">
      <c r="B26" s="373" t="s">
        <v>401</v>
      </c>
      <c r="C26" s="385" t="s">
        <v>394</v>
      </c>
      <c r="D26" s="500" t="s">
        <v>558</v>
      </c>
      <c r="E26" s="376" t="s">
        <v>404</v>
      </c>
      <c r="F26" s="497">
        <v>0.21736000000000003</v>
      </c>
      <c r="G26" s="496"/>
    </row>
    <row r="27" spans="2:7">
      <c r="B27" s="520" t="s">
        <v>565</v>
      </c>
      <c r="C27" s="385" t="s">
        <v>394</v>
      </c>
      <c r="D27" s="375" t="s">
        <v>323</v>
      </c>
      <c r="E27" s="376" t="s">
        <v>404</v>
      </c>
      <c r="F27" s="497">
        <v>50</v>
      </c>
      <c r="G27" s="496"/>
    </row>
    <row r="28" spans="2:7">
      <c r="B28" s="520" t="s">
        <v>565</v>
      </c>
      <c r="C28" s="385" t="s">
        <v>394</v>
      </c>
      <c r="D28" s="375" t="s">
        <v>406</v>
      </c>
      <c r="E28" s="376" t="s">
        <v>404</v>
      </c>
      <c r="F28" s="497">
        <v>84.296099999999996</v>
      </c>
      <c r="G28" s="496"/>
    </row>
    <row r="29" spans="2:7">
      <c r="B29" s="373" t="s">
        <v>325</v>
      </c>
      <c r="C29" s="374" t="s">
        <v>394</v>
      </c>
      <c r="D29" s="500" t="s">
        <v>558</v>
      </c>
      <c r="E29" s="376" t="s">
        <v>404</v>
      </c>
      <c r="F29" s="497">
        <v>4.5055399999999795</v>
      </c>
      <c r="G29" s="496"/>
    </row>
    <row r="30" spans="2:7" ht="15.75" thickBot="1">
      <c r="B30" s="377" t="s">
        <v>6</v>
      </c>
      <c r="C30" s="378" t="s">
        <v>169</v>
      </c>
      <c r="D30" s="379" t="s">
        <v>169</v>
      </c>
      <c r="E30" s="380" t="s">
        <v>169</v>
      </c>
      <c r="F30" s="498">
        <f>SUM(F14:F29)</f>
        <v>696.81288624786123</v>
      </c>
    </row>
    <row r="32" spans="2:7" ht="15.75">
      <c r="B32" s="637" t="s">
        <v>136</v>
      </c>
      <c r="C32" s="637"/>
      <c r="D32" s="637"/>
      <c r="E32" s="637"/>
      <c r="F32" s="637"/>
    </row>
    <row r="33" spans="2:7" ht="13.5" customHeight="1" thickBot="1"/>
    <row r="34" spans="2:7" ht="17.25" customHeight="1">
      <c r="B34" s="612" t="s">
        <v>129</v>
      </c>
      <c r="C34" s="613"/>
      <c r="D34" s="626" t="s">
        <v>130</v>
      </c>
      <c r="E34" s="629" t="s">
        <v>131</v>
      </c>
      <c r="F34" s="620" t="s">
        <v>137</v>
      </c>
    </row>
    <row r="35" spans="2:7">
      <c r="B35" s="632" t="s">
        <v>133</v>
      </c>
      <c r="C35" s="634" t="s">
        <v>134</v>
      </c>
      <c r="D35" s="627"/>
      <c r="E35" s="630"/>
      <c r="F35" s="621"/>
    </row>
    <row r="36" spans="2:7">
      <c r="B36" s="633"/>
      <c r="C36" s="635"/>
      <c r="D36" s="628"/>
      <c r="E36" s="631"/>
      <c r="F36" s="124" t="s">
        <v>135</v>
      </c>
    </row>
    <row r="37" spans="2:7">
      <c r="B37" s="384" t="s">
        <v>322</v>
      </c>
      <c r="C37" s="385" t="s">
        <v>394</v>
      </c>
      <c r="D37" s="381" t="s">
        <v>412</v>
      </c>
      <c r="E37" s="382" t="s">
        <v>419</v>
      </c>
      <c r="F37" s="497">
        <v>44.973406377985654</v>
      </c>
    </row>
    <row r="38" spans="2:7">
      <c r="B38" s="384" t="s">
        <v>322</v>
      </c>
      <c r="C38" s="385" t="s">
        <v>394</v>
      </c>
      <c r="D38" s="381" t="s">
        <v>413</v>
      </c>
      <c r="E38" s="382" t="s">
        <v>419</v>
      </c>
      <c r="F38" s="497">
        <v>125.13667208681603</v>
      </c>
    </row>
    <row r="39" spans="2:7">
      <c r="B39" s="384" t="s">
        <v>322</v>
      </c>
      <c r="C39" s="385" t="s">
        <v>394</v>
      </c>
      <c r="D39" s="374" t="s">
        <v>327</v>
      </c>
      <c r="E39" s="376" t="s">
        <v>405</v>
      </c>
      <c r="F39" s="497">
        <v>49.195451252264604</v>
      </c>
    </row>
    <row r="40" spans="2:7">
      <c r="B40" s="384" t="s">
        <v>322</v>
      </c>
      <c r="C40" s="385" t="s">
        <v>394</v>
      </c>
      <c r="D40" s="374" t="s">
        <v>414</v>
      </c>
      <c r="E40" s="376" t="s">
        <v>405</v>
      </c>
      <c r="F40" s="497">
        <v>36.561648883574598</v>
      </c>
    </row>
    <row r="41" spans="2:7">
      <c r="B41" s="384" t="s">
        <v>322</v>
      </c>
      <c r="C41" s="385" t="s">
        <v>394</v>
      </c>
      <c r="D41" s="374" t="s">
        <v>326</v>
      </c>
      <c r="E41" s="376" t="s">
        <v>405</v>
      </c>
      <c r="F41" s="497">
        <v>25.117277837907967</v>
      </c>
    </row>
    <row r="42" spans="2:7">
      <c r="B42" s="384" t="s">
        <v>322</v>
      </c>
      <c r="C42" s="385" t="s">
        <v>394</v>
      </c>
      <c r="D42" s="374" t="s">
        <v>415</v>
      </c>
      <c r="E42" s="376" t="s">
        <v>405</v>
      </c>
      <c r="F42" s="497">
        <v>16.698157735904491</v>
      </c>
    </row>
    <row r="43" spans="2:7">
      <c r="B43" s="384" t="s">
        <v>322</v>
      </c>
      <c r="C43" s="385" t="s">
        <v>394</v>
      </c>
      <c r="D43" s="374" t="s">
        <v>416</v>
      </c>
      <c r="E43" s="376" t="s">
        <v>405</v>
      </c>
      <c r="F43" s="497">
        <v>1.4342826097586534</v>
      </c>
    </row>
    <row r="44" spans="2:7">
      <c r="B44" s="384" t="s">
        <v>322</v>
      </c>
      <c r="C44" s="385" t="s">
        <v>394</v>
      </c>
      <c r="D44" s="374" t="s">
        <v>417</v>
      </c>
      <c r="E44" s="376" t="s">
        <v>405</v>
      </c>
      <c r="F44" s="497">
        <v>16.08809858731134</v>
      </c>
    </row>
    <row r="45" spans="2:7">
      <c r="B45" s="384" t="s">
        <v>322</v>
      </c>
      <c r="C45" s="385" t="s">
        <v>394</v>
      </c>
      <c r="D45" s="374" t="s">
        <v>418</v>
      </c>
      <c r="E45" s="376" t="s">
        <v>405</v>
      </c>
      <c r="F45" s="497">
        <v>25.548287690322599</v>
      </c>
    </row>
    <row r="46" spans="2:7" ht="15.75" thickBot="1">
      <c r="B46" s="377" t="s">
        <v>6</v>
      </c>
      <c r="C46" s="378" t="s">
        <v>169</v>
      </c>
      <c r="D46" s="379" t="s">
        <v>169</v>
      </c>
      <c r="E46" s="380" t="s">
        <v>169</v>
      </c>
      <c r="F46" s="498">
        <f>SUM(F37:F45)</f>
        <v>340.75328306184593</v>
      </c>
      <c r="G46" s="387"/>
    </row>
    <row r="48" spans="2:7">
      <c r="C48" s="4" t="s">
        <v>127</v>
      </c>
      <c r="D48" s="304">
        <v>2021</v>
      </c>
    </row>
    <row r="49" spans="2:7" ht="15">
      <c r="D49" s="305"/>
      <c r="E49" s="308"/>
    </row>
    <row r="50" spans="2:7" ht="15.75">
      <c r="B50" s="637" t="s">
        <v>128</v>
      </c>
      <c r="C50" s="637"/>
      <c r="D50" s="637"/>
      <c r="E50" s="637"/>
      <c r="F50" s="637"/>
    </row>
    <row r="51" spans="2:7" ht="15" thickBot="1"/>
    <row r="52" spans="2:7" ht="13.5" customHeight="1">
      <c r="B52" s="612" t="s">
        <v>129</v>
      </c>
      <c r="C52" s="613"/>
      <c r="D52" s="614" t="s">
        <v>130</v>
      </c>
      <c r="E52" s="617" t="s">
        <v>131</v>
      </c>
      <c r="F52" s="620" t="s">
        <v>132</v>
      </c>
      <c r="G52" s="636"/>
    </row>
    <row r="53" spans="2:7" ht="17.25" customHeight="1">
      <c r="B53" s="622" t="s">
        <v>133</v>
      </c>
      <c r="C53" s="624" t="s">
        <v>134</v>
      </c>
      <c r="D53" s="615"/>
      <c r="E53" s="618"/>
      <c r="F53" s="621"/>
      <c r="G53" s="636"/>
    </row>
    <row r="54" spans="2:7">
      <c r="B54" s="623"/>
      <c r="C54" s="625"/>
      <c r="D54" s="616"/>
      <c r="E54" s="619"/>
      <c r="F54" s="124" t="s">
        <v>135</v>
      </c>
      <c r="G54" s="299"/>
    </row>
    <row r="55" spans="2:7">
      <c r="B55" s="384" t="s">
        <v>393</v>
      </c>
      <c r="C55" s="385" t="s">
        <v>394</v>
      </c>
      <c r="D55" s="375" t="s">
        <v>395</v>
      </c>
      <c r="E55" s="376" t="s">
        <v>405</v>
      </c>
      <c r="F55" s="497">
        <v>31.136697560401888</v>
      </c>
      <c r="G55" s="495"/>
    </row>
    <row r="56" spans="2:7">
      <c r="B56" s="384" t="s">
        <v>393</v>
      </c>
      <c r="C56" s="385" t="s">
        <v>394</v>
      </c>
      <c r="D56" s="375" t="s">
        <v>396</v>
      </c>
      <c r="E56" s="376" t="s">
        <v>405</v>
      </c>
      <c r="F56" s="497">
        <v>30.779804400000007</v>
      </c>
      <c r="G56" s="495"/>
    </row>
    <row r="57" spans="2:7">
      <c r="B57" s="384" t="s">
        <v>393</v>
      </c>
      <c r="C57" s="385" t="s">
        <v>394</v>
      </c>
      <c r="D57" s="375" t="s">
        <v>406</v>
      </c>
      <c r="E57" s="382" t="s">
        <v>419</v>
      </c>
      <c r="F57" s="497">
        <v>32.017232499999999</v>
      </c>
      <c r="G57" s="495"/>
    </row>
    <row r="58" spans="2:7">
      <c r="B58" s="384" t="s">
        <v>393</v>
      </c>
      <c r="C58" s="385" t="s">
        <v>394</v>
      </c>
      <c r="D58" s="375" t="s">
        <v>397</v>
      </c>
      <c r="E58" s="376" t="s">
        <v>404</v>
      </c>
      <c r="F58" s="497">
        <v>49.868840800000008</v>
      </c>
      <c r="G58" s="495"/>
    </row>
    <row r="59" spans="2:7">
      <c r="B59" s="384" t="s">
        <v>393</v>
      </c>
      <c r="C59" s="385" t="s">
        <v>394</v>
      </c>
      <c r="D59" s="375" t="s">
        <v>398</v>
      </c>
      <c r="E59" s="376" t="s">
        <v>405</v>
      </c>
      <c r="F59" s="497">
        <v>38.121365239999967</v>
      </c>
      <c r="G59" s="495"/>
    </row>
    <row r="60" spans="2:7">
      <c r="B60" s="384" t="s">
        <v>393</v>
      </c>
      <c r="C60" s="385" t="s">
        <v>394</v>
      </c>
      <c r="D60" s="375" t="s">
        <v>327</v>
      </c>
      <c r="E60" s="376" t="s">
        <v>405</v>
      </c>
      <c r="F60" s="497">
        <v>30.184510240000002</v>
      </c>
      <c r="G60" s="495"/>
    </row>
    <row r="61" spans="2:7">
      <c r="B61" s="384" t="s">
        <v>393</v>
      </c>
      <c r="C61" s="385" t="s">
        <v>394</v>
      </c>
      <c r="D61" s="375" t="s">
        <v>323</v>
      </c>
      <c r="E61" s="376" t="s">
        <v>405</v>
      </c>
      <c r="F61" s="497">
        <v>143.12142760000006</v>
      </c>
      <c r="G61" s="495"/>
    </row>
    <row r="62" spans="2:7">
      <c r="B62" s="384" t="s">
        <v>393</v>
      </c>
      <c r="C62" s="385" t="s">
        <v>394</v>
      </c>
      <c r="D62" s="375" t="s">
        <v>399</v>
      </c>
      <c r="E62" s="376" t="s">
        <v>405</v>
      </c>
      <c r="F62" s="497">
        <v>71.719653051191727</v>
      </c>
      <c r="G62" s="495"/>
    </row>
    <row r="63" spans="2:7">
      <c r="B63" s="384" t="s">
        <v>393</v>
      </c>
      <c r="C63" s="385" t="s">
        <v>394</v>
      </c>
      <c r="D63" s="375" t="s">
        <v>400</v>
      </c>
      <c r="E63" s="376" t="s">
        <v>405</v>
      </c>
      <c r="F63" s="497">
        <v>50.912881599999999</v>
      </c>
      <c r="G63" s="495"/>
    </row>
    <row r="64" spans="2:7">
      <c r="B64" s="373" t="s">
        <v>401</v>
      </c>
      <c r="C64" s="385" t="s">
        <v>394</v>
      </c>
      <c r="D64" s="375" t="s">
        <v>402</v>
      </c>
      <c r="E64" s="376" t="s">
        <v>404</v>
      </c>
      <c r="F64" s="497">
        <v>39.591141223830213</v>
      </c>
      <c r="G64" s="495"/>
    </row>
    <row r="65" spans="2:7">
      <c r="B65" s="373" t="s">
        <v>401</v>
      </c>
      <c r="C65" s="385" t="s">
        <v>394</v>
      </c>
      <c r="D65" s="375" t="s">
        <v>403</v>
      </c>
      <c r="E65" s="376" t="s">
        <v>404</v>
      </c>
      <c r="F65" s="497">
        <v>2.9148247787176578</v>
      </c>
      <c r="G65" s="495"/>
    </row>
    <row r="66" spans="2:7">
      <c r="B66" s="373" t="s">
        <v>401</v>
      </c>
      <c r="C66" s="385" t="s">
        <v>394</v>
      </c>
      <c r="D66" s="375" t="s">
        <v>324</v>
      </c>
      <c r="E66" s="376" t="s">
        <v>404</v>
      </c>
      <c r="F66" s="497">
        <v>44.232033997452135</v>
      </c>
      <c r="G66" s="495"/>
    </row>
    <row r="67" spans="2:7">
      <c r="B67" s="520" t="s">
        <v>565</v>
      </c>
      <c r="C67" s="385" t="s">
        <v>394</v>
      </c>
      <c r="D67" s="375" t="s">
        <v>323</v>
      </c>
      <c r="E67" s="376" t="s">
        <v>404</v>
      </c>
      <c r="F67" s="497">
        <v>50</v>
      </c>
      <c r="G67" s="495"/>
    </row>
    <row r="68" spans="2:7">
      <c r="B68" s="520" t="s">
        <v>565</v>
      </c>
      <c r="C68" s="385" t="s">
        <v>394</v>
      </c>
      <c r="D68" s="375" t="s">
        <v>406</v>
      </c>
      <c r="E68" s="376" t="s">
        <v>404</v>
      </c>
      <c r="F68" s="497">
        <v>43.59525</v>
      </c>
      <c r="G68" s="495"/>
    </row>
    <row r="69" spans="2:7">
      <c r="B69" s="520" t="s">
        <v>565</v>
      </c>
      <c r="C69" s="385" t="s">
        <v>394</v>
      </c>
      <c r="D69" s="386" t="s">
        <v>407</v>
      </c>
      <c r="E69" s="376" t="s">
        <v>404</v>
      </c>
      <c r="F69" s="497">
        <v>6</v>
      </c>
      <c r="G69" s="495"/>
    </row>
    <row r="70" spans="2:7">
      <c r="B70" s="373" t="s">
        <v>325</v>
      </c>
      <c r="C70" s="374" t="s">
        <v>394</v>
      </c>
      <c r="D70" s="375" t="s">
        <v>328</v>
      </c>
      <c r="E70" s="376" t="s">
        <v>404</v>
      </c>
      <c r="F70" s="497">
        <v>3.3430100000000147</v>
      </c>
      <c r="G70" s="495"/>
    </row>
    <row r="71" spans="2:7">
      <c r="B71" s="373" t="s">
        <v>394</v>
      </c>
      <c r="C71" s="501" t="s">
        <v>557</v>
      </c>
      <c r="D71" s="500" t="s">
        <v>559</v>
      </c>
      <c r="E71" s="376" t="s">
        <v>404</v>
      </c>
      <c r="F71" s="497">
        <v>-26.596422991593826</v>
      </c>
      <c r="G71" s="495"/>
    </row>
    <row r="72" spans="2:7" ht="15.75" thickBot="1">
      <c r="B72" s="377" t="s">
        <v>6</v>
      </c>
      <c r="C72" s="378" t="s">
        <v>169</v>
      </c>
      <c r="D72" s="379" t="s">
        <v>169</v>
      </c>
      <c r="E72" s="380" t="s">
        <v>169</v>
      </c>
      <c r="F72" s="498">
        <f>SUM(F55:F71)</f>
        <v>640.94224999999972</v>
      </c>
    </row>
    <row r="74" spans="2:7" ht="15.75">
      <c r="B74" s="637" t="s">
        <v>136</v>
      </c>
      <c r="C74" s="637"/>
      <c r="D74" s="637"/>
      <c r="E74" s="637"/>
      <c r="F74" s="637"/>
    </row>
    <row r="75" spans="2:7" ht="13.5" customHeight="1" thickBot="1"/>
    <row r="76" spans="2:7" ht="17.25" customHeight="1">
      <c r="B76" s="612" t="s">
        <v>129</v>
      </c>
      <c r="C76" s="613"/>
      <c r="D76" s="626" t="s">
        <v>130</v>
      </c>
      <c r="E76" s="629" t="s">
        <v>131</v>
      </c>
      <c r="F76" s="620" t="s">
        <v>137</v>
      </c>
    </row>
    <row r="77" spans="2:7" ht="14.25" customHeight="1">
      <c r="B77" s="632" t="s">
        <v>133</v>
      </c>
      <c r="C77" s="634" t="s">
        <v>134</v>
      </c>
      <c r="D77" s="627"/>
      <c r="E77" s="630"/>
      <c r="F77" s="621"/>
    </row>
    <row r="78" spans="2:7">
      <c r="B78" s="633"/>
      <c r="C78" s="635"/>
      <c r="D78" s="628"/>
      <c r="E78" s="631"/>
      <c r="F78" s="124" t="s">
        <v>135</v>
      </c>
    </row>
    <row r="79" spans="2:7">
      <c r="B79" s="384" t="s">
        <v>322</v>
      </c>
      <c r="C79" s="385" t="s">
        <v>394</v>
      </c>
      <c r="D79" s="381" t="s">
        <v>412</v>
      </c>
      <c r="E79" s="382" t="s">
        <v>419</v>
      </c>
      <c r="F79" s="497">
        <v>123.79439168997378</v>
      </c>
    </row>
    <row r="80" spans="2:7">
      <c r="B80" s="384" t="s">
        <v>322</v>
      </c>
      <c r="C80" s="385" t="s">
        <v>394</v>
      </c>
      <c r="D80" s="381" t="s">
        <v>413</v>
      </c>
      <c r="E80" s="382" t="s">
        <v>419</v>
      </c>
      <c r="F80" s="497">
        <v>38.45124209829423</v>
      </c>
    </row>
    <row r="81" spans="2:7">
      <c r="B81" s="384" t="s">
        <v>322</v>
      </c>
      <c r="C81" s="385" t="s">
        <v>394</v>
      </c>
      <c r="D81" s="374" t="s">
        <v>327</v>
      </c>
      <c r="E81" s="376" t="s">
        <v>405</v>
      </c>
      <c r="F81" s="497">
        <v>56.537895722071788</v>
      </c>
    </row>
    <row r="82" spans="2:7">
      <c r="B82" s="384" t="s">
        <v>322</v>
      </c>
      <c r="C82" s="385" t="s">
        <v>394</v>
      </c>
      <c r="D82" s="374" t="s">
        <v>414</v>
      </c>
      <c r="E82" s="376" t="s">
        <v>405</v>
      </c>
      <c r="F82" s="497">
        <v>45.107350037646327</v>
      </c>
    </row>
    <row r="83" spans="2:7">
      <c r="B83" s="384" t="s">
        <v>322</v>
      </c>
      <c r="C83" s="385" t="s">
        <v>394</v>
      </c>
      <c r="D83" s="374" t="s">
        <v>326</v>
      </c>
      <c r="E83" s="376" t="s">
        <v>405</v>
      </c>
      <c r="F83" s="497">
        <v>24.618687211084399</v>
      </c>
    </row>
    <row r="84" spans="2:7">
      <c r="B84" s="384" t="s">
        <v>322</v>
      </c>
      <c r="C84" s="385" t="s">
        <v>394</v>
      </c>
      <c r="D84" s="374" t="s">
        <v>415</v>
      </c>
      <c r="E84" s="376" t="s">
        <v>405</v>
      </c>
      <c r="F84" s="497">
        <v>16.268439855771852</v>
      </c>
    </row>
    <row r="85" spans="2:7">
      <c r="B85" s="384" t="s">
        <v>322</v>
      </c>
      <c r="C85" s="385" t="s">
        <v>394</v>
      </c>
      <c r="D85" s="374" t="s">
        <v>416</v>
      </c>
      <c r="E85" s="376" t="s">
        <v>405</v>
      </c>
      <c r="F85" s="497">
        <v>11.708300601790411</v>
      </c>
    </row>
    <row r="86" spans="2:7">
      <c r="B86" s="384" t="s">
        <v>322</v>
      </c>
      <c r="C86" s="385" t="s">
        <v>394</v>
      </c>
      <c r="D86" s="374" t="s">
        <v>417</v>
      </c>
      <c r="E86" s="376" t="s">
        <v>405</v>
      </c>
      <c r="F86" s="497">
        <v>16.495978640009504</v>
      </c>
    </row>
    <row r="87" spans="2:7">
      <c r="B87" s="384" t="s">
        <v>322</v>
      </c>
      <c r="C87" s="385" t="s">
        <v>394</v>
      </c>
      <c r="D87" s="374" t="s">
        <v>418</v>
      </c>
      <c r="E87" s="376" t="s">
        <v>405</v>
      </c>
      <c r="F87" s="497">
        <v>36.528918441496046</v>
      </c>
    </row>
    <row r="88" spans="2:7" ht="15.75" thickBot="1">
      <c r="B88" s="377" t="s">
        <v>6</v>
      </c>
      <c r="C88" s="378" t="s">
        <v>169</v>
      </c>
      <c r="D88" s="379" t="s">
        <v>169</v>
      </c>
      <c r="E88" s="380" t="s">
        <v>169</v>
      </c>
      <c r="F88" s="498">
        <f>SUM(F79:F87)</f>
        <v>369.51120429813841</v>
      </c>
      <c r="G88" s="387"/>
    </row>
    <row r="90" spans="2:7">
      <c r="C90" s="4" t="s">
        <v>127</v>
      </c>
      <c r="D90" s="304">
        <v>2022</v>
      </c>
    </row>
    <row r="91" spans="2:7" ht="15">
      <c r="D91" s="305"/>
      <c r="E91" s="308"/>
    </row>
    <row r="92" spans="2:7" ht="15.75">
      <c r="B92" s="637" t="s">
        <v>128</v>
      </c>
      <c r="C92" s="637"/>
      <c r="D92" s="637"/>
      <c r="E92" s="637"/>
      <c r="F92" s="637"/>
    </row>
    <row r="93" spans="2:7" ht="15" thickBot="1"/>
    <row r="94" spans="2:7" ht="13.5" customHeight="1">
      <c r="B94" s="612" t="s">
        <v>129</v>
      </c>
      <c r="C94" s="613"/>
      <c r="D94" s="614" t="s">
        <v>130</v>
      </c>
      <c r="E94" s="617" t="s">
        <v>131</v>
      </c>
      <c r="F94" s="620" t="s">
        <v>132</v>
      </c>
      <c r="G94" s="636"/>
    </row>
    <row r="95" spans="2:7" ht="17.25" customHeight="1">
      <c r="B95" s="622" t="s">
        <v>133</v>
      </c>
      <c r="C95" s="624" t="s">
        <v>134</v>
      </c>
      <c r="D95" s="615"/>
      <c r="E95" s="618"/>
      <c r="F95" s="621"/>
      <c r="G95" s="636"/>
    </row>
    <row r="96" spans="2:7">
      <c r="B96" s="623"/>
      <c r="C96" s="625"/>
      <c r="D96" s="616"/>
      <c r="E96" s="619"/>
      <c r="F96" s="124" t="s">
        <v>135</v>
      </c>
      <c r="G96" s="299"/>
    </row>
    <row r="97" spans="2:7">
      <c r="B97" s="384" t="s">
        <v>393</v>
      </c>
      <c r="C97" s="385" t="s">
        <v>394</v>
      </c>
      <c r="D97" s="375" t="s">
        <v>395</v>
      </c>
      <c r="E97" s="376" t="s">
        <v>405</v>
      </c>
      <c r="F97" s="497">
        <v>25.197325884626849</v>
      </c>
      <c r="G97" s="495"/>
    </row>
    <row r="98" spans="2:7">
      <c r="B98" s="384" t="s">
        <v>393</v>
      </c>
      <c r="C98" s="385" t="s">
        <v>394</v>
      </c>
      <c r="D98" s="375" t="s">
        <v>396</v>
      </c>
      <c r="E98" s="376" t="s">
        <v>405</v>
      </c>
      <c r="F98" s="497">
        <v>43.391939498091496</v>
      </c>
      <c r="G98" s="495"/>
    </row>
    <row r="99" spans="2:7">
      <c r="B99" s="384" t="s">
        <v>393</v>
      </c>
      <c r="C99" s="385" t="s">
        <v>394</v>
      </c>
      <c r="D99" s="375" t="s">
        <v>406</v>
      </c>
      <c r="E99" s="382" t="s">
        <v>419</v>
      </c>
      <c r="F99" s="497">
        <v>68.112799224999989</v>
      </c>
      <c r="G99" s="495"/>
    </row>
    <row r="100" spans="2:7">
      <c r="B100" s="384" t="s">
        <v>393</v>
      </c>
      <c r="C100" s="385" t="s">
        <v>394</v>
      </c>
      <c r="D100" s="375" t="s">
        <v>397</v>
      </c>
      <c r="E100" s="376" t="s">
        <v>404</v>
      </c>
      <c r="F100" s="497">
        <v>63.900735360000006</v>
      </c>
      <c r="G100" s="495"/>
    </row>
    <row r="101" spans="2:7">
      <c r="B101" s="384" t="s">
        <v>393</v>
      </c>
      <c r="C101" s="385" t="s">
        <v>394</v>
      </c>
      <c r="D101" s="375" t="s">
        <v>398</v>
      </c>
      <c r="E101" s="376" t="s">
        <v>405</v>
      </c>
      <c r="F101" s="497">
        <v>48.348653316770971</v>
      </c>
      <c r="G101" s="495"/>
    </row>
    <row r="102" spans="2:7">
      <c r="B102" s="384" t="s">
        <v>393</v>
      </c>
      <c r="C102" s="385" t="s">
        <v>394</v>
      </c>
      <c r="D102" s="375" t="s">
        <v>327</v>
      </c>
      <c r="E102" s="376" t="s">
        <v>405</v>
      </c>
      <c r="F102" s="497">
        <v>35.196301229349189</v>
      </c>
      <c r="G102" s="495"/>
    </row>
    <row r="103" spans="2:7">
      <c r="B103" s="384" t="s">
        <v>393</v>
      </c>
      <c r="C103" s="385" t="s">
        <v>394</v>
      </c>
      <c r="D103" s="375" t="s">
        <v>323</v>
      </c>
      <c r="E103" s="376" t="s">
        <v>405</v>
      </c>
      <c r="F103" s="497">
        <v>145.44543199847629</v>
      </c>
      <c r="G103" s="495"/>
    </row>
    <row r="104" spans="2:7">
      <c r="B104" s="384" t="s">
        <v>393</v>
      </c>
      <c r="C104" s="385" t="s">
        <v>394</v>
      </c>
      <c r="D104" s="375" t="s">
        <v>399</v>
      </c>
      <c r="E104" s="376" t="s">
        <v>405</v>
      </c>
      <c r="F104" s="497">
        <v>79.773094666471422</v>
      </c>
      <c r="G104" s="495"/>
    </row>
    <row r="105" spans="2:7">
      <c r="B105" s="384" t="s">
        <v>393</v>
      </c>
      <c r="C105" s="385" t="s">
        <v>394</v>
      </c>
      <c r="D105" s="375" t="s">
        <v>400</v>
      </c>
      <c r="E105" s="376" t="s">
        <v>405</v>
      </c>
      <c r="F105" s="497">
        <v>42.801275247379856</v>
      </c>
      <c r="G105" s="495"/>
    </row>
    <row r="106" spans="2:7">
      <c r="B106" s="384" t="s">
        <v>393</v>
      </c>
      <c r="C106" s="385" t="s">
        <v>394</v>
      </c>
      <c r="D106" s="500" t="s">
        <v>560</v>
      </c>
      <c r="E106" s="376" t="s">
        <v>404</v>
      </c>
      <c r="F106" s="497">
        <v>-6.7089999999999996</v>
      </c>
      <c r="G106" s="495"/>
    </row>
    <row r="107" spans="2:7">
      <c r="B107" s="373" t="s">
        <v>401</v>
      </c>
      <c r="C107" s="385" t="s">
        <v>394</v>
      </c>
      <c r="D107" s="375" t="s">
        <v>402</v>
      </c>
      <c r="E107" s="376" t="s">
        <v>404</v>
      </c>
      <c r="F107" s="497">
        <v>33.815894699999994</v>
      </c>
      <c r="G107" s="495"/>
    </row>
    <row r="108" spans="2:7">
      <c r="B108" s="373" t="s">
        <v>401</v>
      </c>
      <c r="C108" s="385" t="s">
        <v>394</v>
      </c>
      <c r="D108" s="375" t="s">
        <v>403</v>
      </c>
      <c r="E108" s="376" t="s">
        <v>404</v>
      </c>
      <c r="F108" s="497">
        <v>1.6227314999999998</v>
      </c>
      <c r="G108" s="495"/>
    </row>
    <row r="109" spans="2:7">
      <c r="B109" s="373" t="s">
        <v>401</v>
      </c>
      <c r="C109" s="385" t="s">
        <v>394</v>
      </c>
      <c r="D109" s="375" t="s">
        <v>324</v>
      </c>
      <c r="E109" s="376" t="s">
        <v>404</v>
      </c>
      <c r="F109" s="497">
        <v>24.62471</v>
      </c>
      <c r="G109" s="495"/>
    </row>
    <row r="110" spans="2:7">
      <c r="B110" s="373" t="s">
        <v>401</v>
      </c>
      <c r="C110" s="385" t="s">
        <v>394</v>
      </c>
      <c r="D110" s="375" t="s">
        <v>328</v>
      </c>
      <c r="E110" s="376" t="s">
        <v>404</v>
      </c>
      <c r="F110" s="497">
        <v>34.231929999999998</v>
      </c>
      <c r="G110" s="495"/>
    </row>
    <row r="111" spans="2:7">
      <c r="B111" s="373" t="s">
        <v>401</v>
      </c>
      <c r="C111" s="385" t="s">
        <v>394</v>
      </c>
      <c r="D111" s="386" t="s">
        <v>388</v>
      </c>
      <c r="E111" s="376" t="s">
        <v>404</v>
      </c>
      <c r="F111" s="497">
        <v>6.1459000000000001</v>
      </c>
      <c r="G111" s="495"/>
    </row>
    <row r="112" spans="2:7">
      <c r="B112" s="520" t="s">
        <v>565</v>
      </c>
      <c r="C112" s="385" t="s">
        <v>394</v>
      </c>
      <c r="D112" s="375" t="s">
        <v>323</v>
      </c>
      <c r="E112" s="376" t="s">
        <v>404</v>
      </c>
      <c r="F112" s="497">
        <v>50</v>
      </c>
      <c r="G112" s="495"/>
    </row>
    <row r="113" spans="2:7">
      <c r="B113" s="520" t="s">
        <v>565</v>
      </c>
      <c r="C113" s="385" t="s">
        <v>394</v>
      </c>
      <c r="D113" s="375" t="s">
        <v>406</v>
      </c>
      <c r="E113" s="376" t="s">
        <v>404</v>
      </c>
      <c r="F113" s="497">
        <v>29.323481000000001</v>
      </c>
      <c r="G113" s="495"/>
    </row>
    <row r="114" spans="2:7">
      <c r="B114" s="520" t="s">
        <v>565</v>
      </c>
      <c r="C114" s="385" t="s">
        <v>394</v>
      </c>
      <c r="D114" s="375" t="s">
        <v>328</v>
      </c>
      <c r="E114" s="376" t="s">
        <v>404</v>
      </c>
      <c r="F114" s="497">
        <v>14.13481</v>
      </c>
      <c r="G114" s="495"/>
    </row>
    <row r="115" spans="2:7" ht="15.75" thickBot="1">
      <c r="B115" s="377" t="s">
        <v>6</v>
      </c>
      <c r="C115" s="378" t="s">
        <v>169</v>
      </c>
      <c r="D115" s="379" t="s">
        <v>169</v>
      </c>
      <c r="E115" s="380" t="s">
        <v>169</v>
      </c>
      <c r="F115" s="498">
        <f>SUM(F97:F114)</f>
        <v>739.3580136261661</v>
      </c>
    </row>
    <row r="117" spans="2:7" ht="15.75">
      <c r="B117" s="637" t="s">
        <v>136</v>
      </c>
      <c r="C117" s="637"/>
      <c r="D117" s="637"/>
      <c r="E117" s="637"/>
      <c r="F117" s="637"/>
    </row>
    <row r="118" spans="2:7" ht="13.5" customHeight="1" thickBot="1"/>
    <row r="119" spans="2:7" ht="17.25" customHeight="1">
      <c r="B119" s="612" t="s">
        <v>129</v>
      </c>
      <c r="C119" s="613"/>
      <c r="D119" s="626" t="s">
        <v>130</v>
      </c>
      <c r="E119" s="629" t="s">
        <v>131</v>
      </c>
      <c r="F119" s="620" t="s">
        <v>137</v>
      </c>
    </row>
    <row r="120" spans="2:7" ht="14.25" customHeight="1">
      <c r="B120" s="632" t="s">
        <v>133</v>
      </c>
      <c r="C120" s="634" t="s">
        <v>134</v>
      </c>
      <c r="D120" s="627"/>
      <c r="E120" s="630"/>
      <c r="F120" s="621"/>
    </row>
    <row r="121" spans="2:7">
      <c r="B121" s="633"/>
      <c r="C121" s="635"/>
      <c r="D121" s="628"/>
      <c r="E121" s="631"/>
      <c r="F121" s="124" t="s">
        <v>135</v>
      </c>
    </row>
    <row r="122" spans="2:7">
      <c r="B122" s="384" t="s">
        <v>322</v>
      </c>
      <c r="C122" s="385" t="s">
        <v>394</v>
      </c>
      <c r="D122" s="381" t="s">
        <v>412</v>
      </c>
      <c r="E122" s="382" t="s">
        <v>419</v>
      </c>
      <c r="F122" s="497">
        <v>173.29365340725485</v>
      </c>
    </row>
    <row r="123" spans="2:7">
      <c r="B123" s="384" t="s">
        <v>322</v>
      </c>
      <c r="C123" s="385" t="s">
        <v>394</v>
      </c>
      <c r="D123" s="381" t="s">
        <v>413</v>
      </c>
      <c r="E123" s="382" t="s">
        <v>419</v>
      </c>
      <c r="F123" s="497">
        <v>124.1493344524941</v>
      </c>
    </row>
    <row r="124" spans="2:7">
      <c r="B124" s="384" t="s">
        <v>322</v>
      </c>
      <c r="C124" s="385" t="s">
        <v>394</v>
      </c>
      <c r="D124" s="374" t="s">
        <v>327</v>
      </c>
      <c r="E124" s="376" t="s">
        <v>405</v>
      </c>
      <c r="F124" s="497">
        <v>61.798194836019427</v>
      </c>
    </row>
    <row r="125" spans="2:7">
      <c r="B125" s="384" t="s">
        <v>322</v>
      </c>
      <c r="C125" s="385" t="s">
        <v>394</v>
      </c>
      <c r="D125" s="374" t="s">
        <v>414</v>
      </c>
      <c r="E125" s="376" t="s">
        <v>405</v>
      </c>
      <c r="F125" s="497">
        <v>42.455637076237259</v>
      </c>
    </row>
    <row r="126" spans="2:7">
      <c r="B126" s="384" t="s">
        <v>322</v>
      </c>
      <c r="C126" s="385" t="s">
        <v>394</v>
      </c>
      <c r="D126" s="374" t="s">
        <v>326</v>
      </c>
      <c r="E126" s="376" t="s">
        <v>405</v>
      </c>
      <c r="F126" s="497">
        <v>30.2040161042443</v>
      </c>
    </row>
    <row r="127" spans="2:7">
      <c r="B127" s="384" t="s">
        <v>322</v>
      </c>
      <c r="C127" s="385" t="s">
        <v>394</v>
      </c>
      <c r="D127" s="374" t="s">
        <v>415</v>
      </c>
      <c r="E127" s="376" t="s">
        <v>405</v>
      </c>
      <c r="F127" s="497">
        <v>20.388287197656844</v>
      </c>
    </row>
    <row r="128" spans="2:7">
      <c r="B128" s="384" t="s">
        <v>322</v>
      </c>
      <c r="C128" s="385" t="s">
        <v>394</v>
      </c>
      <c r="D128" s="374" t="s">
        <v>416</v>
      </c>
      <c r="E128" s="376" t="s">
        <v>405</v>
      </c>
      <c r="F128" s="497">
        <v>2.0526645540830954</v>
      </c>
    </row>
    <row r="129" spans="2:7">
      <c r="B129" s="384" t="s">
        <v>322</v>
      </c>
      <c r="C129" s="385" t="s">
        <v>394</v>
      </c>
      <c r="D129" s="374" t="s">
        <v>417</v>
      </c>
      <c r="E129" s="376" t="s">
        <v>405</v>
      </c>
      <c r="F129" s="497">
        <v>18.476757718885896</v>
      </c>
    </row>
    <row r="130" spans="2:7">
      <c r="B130" s="384" t="s">
        <v>322</v>
      </c>
      <c r="C130" s="385" t="s">
        <v>394</v>
      </c>
      <c r="D130" s="374" t="s">
        <v>418</v>
      </c>
      <c r="E130" s="376" t="s">
        <v>405</v>
      </c>
      <c r="F130" s="497">
        <v>58.528695219546009</v>
      </c>
    </row>
    <row r="131" spans="2:7" ht="15.75" thickBot="1">
      <c r="B131" s="377" t="s">
        <v>6</v>
      </c>
      <c r="C131" s="378" t="s">
        <v>169</v>
      </c>
      <c r="D131" s="379" t="s">
        <v>169</v>
      </c>
      <c r="E131" s="380" t="s">
        <v>169</v>
      </c>
      <c r="F131" s="498">
        <f>SUM(F122:F130)</f>
        <v>531.34724056642176</v>
      </c>
    </row>
    <row r="133" spans="2:7">
      <c r="C133" s="4" t="s">
        <v>127</v>
      </c>
      <c r="D133" s="304">
        <v>2023</v>
      </c>
    </row>
    <row r="134" spans="2:7" ht="15">
      <c r="D134" s="305"/>
      <c r="E134" s="308"/>
    </row>
    <row r="135" spans="2:7" ht="15.75">
      <c r="B135" s="637" t="s">
        <v>128</v>
      </c>
      <c r="C135" s="637"/>
      <c r="D135" s="637"/>
      <c r="E135" s="637"/>
      <c r="F135" s="637"/>
    </row>
    <row r="136" spans="2:7" ht="15" thickBot="1"/>
    <row r="137" spans="2:7" ht="13.5" customHeight="1">
      <c r="B137" s="612" t="s">
        <v>129</v>
      </c>
      <c r="C137" s="613"/>
      <c r="D137" s="614" t="s">
        <v>130</v>
      </c>
      <c r="E137" s="617" t="s">
        <v>131</v>
      </c>
      <c r="F137" s="620" t="s">
        <v>132</v>
      </c>
      <c r="G137" s="636"/>
    </row>
    <row r="138" spans="2:7" ht="17.25" customHeight="1">
      <c r="B138" s="622" t="s">
        <v>133</v>
      </c>
      <c r="C138" s="624" t="s">
        <v>134</v>
      </c>
      <c r="D138" s="615"/>
      <c r="E138" s="618"/>
      <c r="F138" s="621"/>
      <c r="G138" s="636"/>
    </row>
    <row r="139" spans="2:7">
      <c r="B139" s="623"/>
      <c r="C139" s="625"/>
      <c r="D139" s="616"/>
      <c r="E139" s="619"/>
      <c r="F139" s="124" t="s">
        <v>135</v>
      </c>
      <c r="G139" s="299"/>
    </row>
    <row r="140" spans="2:7">
      <c r="B140" s="384" t="s">
        <v>393</v>
      </c>
      <c r="C140" s="385" t="s">
        <v>394</v>
      </c>
      <c r="D140" s="375" t="s">
        <v>395</v>
      </c>
      <c r="E140" s="376" t="s">
        <v>405</v>
      </c>
      <c r="F140" s="497">
        <v>33.134870811288756</v>
      </c>
      <c r="G140" s="495"/>
    </row>
    <row r="141" spans="2:7">
      <c r="B141" s="384" t="s">
        <v>393</v>
      </c>
      <c r="C141" s="385" t="s">
        <v>394</v>
      </c>
      <c r="D141" s="375" t="s">
        <v>396</v>
      </c>
      <c r="E141" s="376" t="s">
        <v>405</v>
      </c>
      <c r="F141" s="497">
        <v>35.140462598901586</v>
      </c>
      <c r="G141" s="495"/>
    </row>
    <row r="142" spans="2:7">
      <c r="B142" s="384" t="s">
        <v>393</v>
      </c>
      <c r="C142" s="385" t="s">
        <v>394</v>
      </c>
      <c r="D142" s="375" t="s">
        <v>406</v>
      </c>
      <c r="E142" s="382" t="s">
        <v>419</v>
      </c>
      <c r="F142" s="497">
        <v>145.05977647807256</v>
      </c>
      <c r="G142" s="495"/>
    </row>
    <row r="143" spans="2:7">
      <c r="B143" s="384" t="s">
        <v>393</v>
      </c>
      <c r="C143" s="385" t="s">
        <v>394</v>
      </c>
      <c r="D143" s="375" t="s">
        <v>397</v>
      </c>
      <c r="E143" s="376" t="s">
        <v>404</v>
      </c>
      <c r="F143" s="497">
        <v>62.775159399999986</v>
      </c>
      <c r="G143" s="495"/>
    </row>
    <row r="144" spans="2:7">
      <c r="B144" s="384" t="s">
        <v>393</v>
      </c>
      <c r="C144" s="385" t="s">
        <v>394</v>
      </c>
      <c r="D144" s="375" t="s">
        <v>398</v>
      </c>
      <c r="E144" s="376" t="s">
        <v>405</v>
      </c>
      <c r="F144" s="497">
        <v>46.497987787662872</v>
      </c>
      <c r="G144" s="495"/>
    </row>
    <row r="145" spans="2:7">
      <c r="B145" s="384" t="s">
        <v>393</v>
      </c>
      <c r="C145" s="385" t="s">
        <v>394</v>
      </c>
      <c r="D145" s="375" t="s">
        <v>327</v>
      </c>
      <c r="E145" s="376" t="s">
        <v>405</v>
      </c>
      <c r="F145" s="497">
        <v>34.976424891795496</v>
      </c>
      <c r="G145" s="495"/>
    </row>
    <row r="146" spans="2:7">
      <c r="B146" s="384" t="s">
        <v>393</v>
      </c>
      <c r="C146" s="385" t="s">
        <v>394</v>
      </c>
      <c r="D146" s="375" t="s">
        <v>323</v>
      </c>
      <c r="E146" s="376" t="s">
        <v>405</v>
      </c>
      <c r="F146" s="497">
        <v>139.89215110046476</v>
      </c>
      <c r="G146" s="495"/>
    </row>
    <row r="147" spans="2:7">
      <c r="B147" s="384" t="s">
        <v>393</v>
      </c>
      <c r="C147" s="385" t="s">
        <v>394</v>
      </c>
      <c r="D147" s="375" t="s">
        <v>399</v>
      </c>
      <c r="E147" s="376" t="s">
        <v>405</v>
      </c>
      <c r="F147" s="497">
        <v>96.541056045505329</v>
      </c>
      <c r="G147" s="495"/>
    </row>
    <row r="148" spans="2:7">
      <c r="B148" s="384" t="s">
        <v>393</v>
      </c>
      <c r="C148" s="385" t="s">
        <v>394</v>
      </c>
      <c r="D148" s="375" t="s">
        <v>400</v>
      </c>
      <c r="E148" s="376" t="s">
        <v>405</v>
      </c>
      <c r="F148" s="497">
        <v>41.724191500758856</v>
      </c>
      <c r="G148" s="495"/>
    </row>
    <row r="149" spans="2:7">
      <c r="B149" s="384" t="s">
        <v>393</v>
      </c>
      <c r="C149" s="385" t="s">
        <v>394</v>
      </c>
      <c r="D149" s="386" t="s">
        <v>324</v>
      </c>
      <c r="E149" s="376" t="s">
        <v>404</v>
      </c>
      <c r="F149" s="497">
        <v>46.821259333333352</v>
      </c>
      <c r="G149" s="495"/>
    </row>
    <row r="150" spans="2:7">
      <c r="B150" s="373" t="s">
        <v>401</v>
      </c>
      <c r="C150" s="385" t="s">
        <v>394</v>
      </c>
      <c r="D150" s="375" t="s">
        <v>402</v>
      </c>
      <c r="E150" s="376" t="s">
        <v>404</v>
      </c>
      <c r="F150" s="497">
        <v>60.022200000000005</v>
      </c>
      <c r="G150" s="495"/>
    </row>
    <row r="151" spans="2:7">
      <c r="B151" s="373" t="s">
        <v>401</v>
      </c>
      <c r="C151" s="385" t="s">
        <v>394</v>
      </c>
      <c r="D151" s="386" t="s">
        <v>327</v>
      </c>
      <c r="E151" s="376" t="s">
        <v>404</v>
      </c>
      <c r="F151" s="497">
        <v>0.79059999999999997</v>
      </c>
      <c r="G151" s="495"/>
    </row>
    <row r="152" spans="2:7">
      <c r="B152" s="373" t="s">
        <v>401</v>
      </c>
      <c r="C152" s="385" t="s">
        <v>394</v>
      </c>
      <c r="D152" s="375" t="s">
        <v>403</v>
      </c>
      <c r="E152" s="376" t="s">
        <v>404</v>
      </c>
      <c r="F152" s="497">
        <v>2.0704300000000004</v>
      </c>
      <c r="G152" s="495"/>
    </row>
    <row r="153" spans="2:7">
      <c r="B153" s="373" t="s">
        <v>401</v>
      </c>
      <c r="C153" s="385" t="s">
        <v>394</v>
      </c>
      <c r="D153" s="375" t="s">
        <v>324</v>
      </c>
      <c r="E153" s="376" t="s">
        <v>404</v>
      </c>
      <c r="F153" s="497">
        <v>36.289319999999996</v>
      </c>
      <c r="G153" s="495"/>
    </row>
    <row r="154" spans="2:7">
      <c r="B154" s="373" t="s">
        <v>401</v>
      </c>
      <c r="C154" s="385" t="s">
        <v>394</v>
      </c>
      <c r="D154" s="386" t="s">
        <v>388</v>
      </c>
      <c r="E154" s="376" t="s">
        <v>404</v>
      </c>
      <c r="F154" s="497">
        <v>3.9649700000000001</v>
      </c>
      <c r="G154" s="495"/>
    </row>
    <row r="155" spans="2:7">
      <c r="B155" s="520" t="s">
        <v>565</v>
      </c>
      <c r="C155" s="385" t="s">
        <v>394</v>
      </c>
      <c r="D155" s="375" t="s">
        <v>323</v>
      </c>
      <c r="E155" s="376" t="s">
        <v>404</v>
      </c>
      <c r="F155" s="497">
        <v>50</v>
      </c>
      <c r="G155" s="495"/>
    </row>
    <row r="156" spans="2:7">
      <c r="B156" s="520" t="s">
        <v>565</v>
      </c>
      <c r="C156" s="385" t="s">
        <v>394</v>
      </c>
      <c r="D156" s="375" t="s">
        <v>406</v>
      </c>
      <c r="E156" s="376" t="s">
        <v>404</v>
      </c>
      <c r="F156" s="497">
        <v>22.233730714285713</v>
      </c>
      <c r="G156" s="495"/>
    </row>
    <row r="157" spans="2:7">
      <c r="B157" s="373" t="s">
        <v>408</v>
      </c>
      <c r="C157" s="385" t="s">
        <v>394</v>
      </c>
      <c r="D157" s="375" t="s">
        <v>409</v>
      </c>
      <c r="E157" s="376" t="s">
        <v>404</v>
      </c>
      <c r="F157" s="497">
        <v>19.442540000000001</v>
      </c>
      <c r="G157" s="495"/>
    </row>
    <row r="158" spans="2:7">
      <c r="B158" s="373" t="s">
        <v>325</v>
      </c>
      <c r="C158" s="374" t="s">
        <v>394</v>
      </c>
      <c r="D158" s="375" t="s">
        <v>328</v>
      </c>
      <c r="E158" s="376" t="s">
        <v>404</v>
      </c>
      <c r="F158" s="497">
        <v>9.2547300000000003</v>
      </c>
      <c r="G158" s="495"/>
    </row>
    <row r="159" spans="2:7">
      <c r="B159" s="373" t="s">
        <v>325</v>
      </c>
      <c r="C159" s="374" t="s">
        <v>394</v>
      </c>
      <c r="D159" s="386" t="s">
        <v>388</v>
      </c>
      <c r="E159" s="376" t="s">
        <v>404</v>
      </c>
      <c r="F159" s="497">
        <v>8.135390000000001</v>
      </c>
      <c r="G159" s="495"/>
    </row>
    <row r="160" spans="2:7" ht="15.75" thickBot="1">
      <c r="B160" s="377" t="s">
        <v>6</v>
      </c>
      <c r="C160" s="378" t="s">
        <v>169</v>
      </c>
      <c r="D160" s="379" t="s">
        <v>169</v>
      </c>
      <c r="E160" s="380" t="s">
        <v>169</v>
      </c>
      <c r="F160" s="498">
        <f>SUM(F140:F159)</f>
        <v>894.76725066206927</v>
      </c>
    </row>
    <row r="162" spans="2:6" ht="15.75">
      <c r="B162" s="637" t="s">
        <v>136</v>
      </c>
      <c r="C162" s="637"/>
      <c r="D162" s="637"/>
      <c r="E162" s="637"/>
      <c r="F162" s="637"/>
    </row>
    <row r="163" spans="2:6" ht="13.5" customHeight="1" thickBot="1"/>
    <row r="164" spans="2:6" ht="17.25" customHeight="1">
      <c r="B164" s="612" t="s">
        <v>129</v>
      </c>
      <c r="C164" s="613"/>
      <c r="D164" s="626" t="s">
        <v>130</v>
      </c>
      <c r="E164" s="629" t="s">
        <v>131</v>
      </c>
      <c r="F164" s="620" t="s">
        <v>137</v>
      </c>
    </row>
    <row r="165" spans="2:6" ht="14.25" customHeight="1">
      <c r="B165" s="632" t="s">
        <v>133</v>
      </c>
      <c r="C165" s="634" t="s">
        <v>134</v>
      </c>
      <c r="D165" s="627"/>
      <c r="E165" s="630"/>
      <c r="F165" s="621"/>
    </row>
    <row r="166" spans="2:6">
      <c r="B166" s="633"/>
      <c r="C166" s="635"/>
      <c r="D166" s="628"/>
      <c r="E166" s="631"/>
      <c r="F166" s="124" t="s">
        <v>135</v>
      </c>
    </row>
    <row r="167" spans="2:6">
      <c r="B167" s="373" t="s">
        <v>322</v>
      </c>
      <c r="C167" s="374" t="s">
        <v>394</v>
      </c>
      <c r="D167" s="381" t="s">
        <v>412</v>
      </c>
      <c r="E167" s="382" t="s">
        <v>419</v>
      </c>
      <c r="F167" s="497">
        <v>184.49864655727853</v>
      </c>
    </row>
    <row r="168" spans="2:6">
      <c r="B168" s="373" t="s">
        <v>322</v>
      </c>
      <c r="C168" s="374" t="s">
        <v>394</v>
      </c>
      <c r="D168" s="381" t="s">
        <v>413</v>
      </c>
      <c r="E168" s="382" t="s">
        <v>419</v>
      </c>
      <c r="F168" s="497">
        <v>110.02518349741383</v>
      </c>
    </row>
    <row r="169" spans="2:6">
      <c r="B169" s="373" t="s">
        <v>322</v>
      </c>
      <c r="C169" s="374" t="s">
        <v>394</v>
      </c>
      <c r="D169" s="374" t="s">
        <v>327</v>
      </c>
      <c r="E169" s="383" t="s">
        <v>405</v>
      </c>
      <c r="F169" s="497">
        <v>69.016601013753217</v>
      </c>
    </row>
    <row r="170" spans="2:6">
      <c r="B170" s="373" t="s">
        <v>322</v>
      </c>
      <c r="C170" s="374" t="s">
        <v>394</v>
      </c>
      <c r="D170" s="374" t="s">
        <v>414</v>
      </c>
      <c r="E170" s="383" t="s">
        <v>405</v>
      </c>
      <c r="F170" s="497">
        <v>46.262853056299711</v>
      </c>
    </row>
    <row r="171" spans="2:6">
      <c r="B171" s="373" t="s">
        <v>322</v>
      </c>
      <c r="C171" s="374" t="s">
        <v>394</v>
      </c>
      <c r="D171" s="374" t="s">
        <v>326</v>
      </c>
      <c r="E171" s="383" t="s">
        <v>405</v>
      </c>
      <c r="F171" s="497">
        <v>27.204920487468168</v>
      </c>
    </row>
    <row r="172" spans="2:6">
      <c r="B172" s="373" t="s">
        <v>322</v>
      </c>
      <c r="C172" s="374" t="s">
        <v>394</v>
      </c>
      <c r="D172" s="374" t="s">
        <v>415</v>
      </c>
      <c r="E172" s="383" t="s">
        <v>405</v>
      </c>
      <c r="F172" s="497">
        <v>19.553770321011338</v>
      </c>
    </row>
    <row r="173" spans="2:6">
      <c r="B173" s="373" t="s">
        <v>322</v>
      </c>
      <c r="C173" s="374" t="s">
        <v>394</v>
      </c>
      <c r="D173" s="374" t="s">
        <v>416</v>
      </c>
      <c r="E173" s="383" t="s">
        <v>405</v>
      </c>
      <c r="F173" s="497">
        <v>10.150623905661417</v>
      </c>
    </row>
    <row r="174" spans="2:6">
      <c r="B174" s="373" t="s">
        <v>322</v>
      </c>
      <c r="C174" s="374" t="s">
        <v>394</v>
      </c>
      <c r="D174" s="374" t="s">
        <v>417</v>
      </c>
      <c r="E174" s="383" t="s">
        <v>405</v>
      </c>
      <c r="F174" s="497">
        <v>20.637020182093377</v>
      </c>
    </row>
    <row r="175" spans="2:6">
      <c r="B175" s="373" t="s">
        <v>322</v>
      </c>
      <c r="C175" s="374" t="s">
        <v>394</v>
      </c>
      <c r="D175" s="374" t="s">
        <v>418</v>
      </c>
      <c r="E175" s="383" t="s">
        <v>405</v>
      </c>
      <c r="F175" s="497">
        <v>41.868822758103995</v>
      </c>
    </row>
    <row r="176" spans="2:6" ht="15.75" thickBot="1">
      <c r="B176" s="377" t="s">
        <v>6</v>
      </c>
      <c r="C176" s="378" t="s">
        <v>169</v>
      </c>
      <c r="D176" s="379" t="s">
        <v>169</v>
      </c>
      <c r="E176" s="380" t="s">
        <v>169</v>
      </c>
      <c r="F176" s="498">
        <f>SUM(F167:F175)</f>
        <v>529.21844177908361</v>
      </c>
    </row>
    <row r="178" spans="2:7">
      <c r="C178" s="4" t="s">
        <v>127</v>
      </c>
      <c r="D178" s="306" t="s">
        <v>330</v>
      </c>
    </row>
    <row r="179" spans="2:7" ht="15">
      <c r="D179" s="305"/>
      <c r="E179" s="308"/>
    </row>
    <row r="180" spans="2:7" ht="15.75">
      <c r="B180" s="637" t="s">
        <v>128</v>
      </c>
      <c r="C180" s="637"/>
      <c r="D180" s="637"/>
      <c r="E180" s="637"/>
      <c r="F180" s="637"/>
    </row>
    <row r="181" spans="2:7" ht="15" thickBot="1"/>
    <row r="182" spans="2:7" ht="13.5" customHeight="1">
      <c r="B182" s="612" t="s">
        <v>129</v>
      </c>
      <c r="C182" s="613"/>
      <c r="D182" s="614" t="s">
        <v>130</v>
      </c>
      <c r="E182" s="617" t="s">
        <v>131</v>
      </c>
      <c r="F182" s="620" t="s">
        <v>132</v>
      </c>
      <c r="G182" s="636"/>
    </row>
    <row r="183" spans="2:7" ht="17.25" customHeight="1">
      <c r="B183" s="622" t="s">
        <v>133</v>
      </c>
      <c r="C183" s="624" t="s">
        <v>134</v>
      </c>
      <c r="D183" s="615"/>
      <c r="E183" s="618"/>
      <c r="F183" s="621"/>
      <c r="G183" s="636"/>
    </row>
    <row r="184" spans="2:7">
      <c r="B184" s="623"/>
      <c r="C184" s="625"/>
      <c r="D184" s="616"/>
      <c r="E184" s="619"/>
      <c r="F184" s="124" t="s">
        <v>135</v>
      </c>
      <c r="G184" s="299"/>
    </row>
    <row r="185" spans="2:7">
      <c r="B185" s="384" t="s">
        <v>393</v>
      </c>
      <c r="C185" s="385" t="s">
        <v>394</v>
      </c>
      <c r="D185" s="375" t="s">
        <v>395</v>
      </c>
      <c r="E185" s="376" t="s">
        <v>405</v>
      </c>
      <c r="F185" s="497">
        <v>33.129477309906356</v>
      </c>
      <c r="G185" s="495"/>
    </row>
    <row r="186" spans="2:7">
      <c r="B186" s="384" t="s">
        <v>393</v>
      </c>
      <c r="C186" s="385" t="s">
        <v>394</v>
      </c>
      <c r="D186" s="375" t="s">
        <v>396</v>
      </c>
      <c r="E186" s="376" t="s">
        <v>405</v>
      </c>
      <c r="F186" s="497">
        <v>32.410217350666358</v>
      </c>
      <c r="G186" s="495"/>
    </row>
    <row r="187" spans="2:7">
      <c r="B187" s="384" t="s">
        <v>393</v>
      </c>
      <c r="C187" s="385" t="s">
        <v>394</v>
      </c>
      <c r="D187" s="375" t="s">
        <v>406</v>
      </c>
      <c r="E187" s="382" t="s">
        <v>419</v>
      </c>
      <c r="F187" s="497">
        <v>98.104922058995086</v>
      </c>
      <c r="G187" s="495"/>
    </row>
    <row r="188" spans="2:7">
      <c r="B188" s="384" t="s">
        <v>393</v>
      </c>
      <c r="C188" s="385" t="s">
        <v>394</v>
      </c>
      <c r="D188" s="375" t="s">
        <v>397</v>
      </c>
      <c r="E188" s="376" t="s">
        <v>404</v>
      </c>
      <c r="F188" s="497">
        <v>99.327945717862505</v>
      </c>
      <c r="G188" s="495"/>
    </row>
    <row r="189" spans="2:7">
      <c r="B189" s="384" t="s">
        <v>393</v>
      </c>
      <c r="C189" s="385" t="s">
        <v>394</v>
      </c>
      <c r="D189" s="375" t="s">
        <v>398</v>
      </c>
      <c r="E189" s="376" t="s">
        <v>405</v>
      </c>
      <c r="F189" s="497">
        <v>50.046953727825112</v>
      </c>
      <c r="G189" s="495"/>
    </row>
    <row r="190" spans="2:7">
      <c r="B190" s="384" t="s">
        <v>393</v>
      </c>
      <c r="C190" s="385" t="s">
        <v>394</v>
      </c>
      <c r="D190" s="375" t="s">
        <v>327</v>
      </c>
      <c r="E190" s="376" t="s">
        <v>405</v>
      </c>
      <c r="F190" s="497">
        <v>39.920368757379123</v>
      </c>
      <c r="G190" s="495"/>
    </row>
    <row r="191" spans="2:7">
      <c r="B191" s="384" t="s">
        <v>393</v>
      </c>
      <c r="C191" s="385" t="s">
        <v>394</v>
      </c>
      <c r="D191" s="375" t="s">
        <v>323</v>
      </c>
      <c r="E191" s="376" t="s">
        <v>405</v>
      </c>
      <c r="F191" s="497">
        <v>138.16560870959117</v>
      </c>
      <c r="G191" s="495"/>
    </row>
    <row r="192" spans="2:7">
      <c r="B192" s="384" t="s">
        <v>393</v>
      </c>
      <c r="C192" s="385" t="s">
        <v>394</v>
      </c>
      <c r="D192" s="375" t="s">
        <v>410</v>
      </c>
      <c r="E192" s="376" t="s">
        <v>404</v>
      </c>
      <c r="F192" s="497">
        <v>-7.12</v>
      </c>
      <c r="G192" s="495"/>
    </row>
    <row r="193" spans="2:7">
      <c r="B193" s="384" t="s">
        <v>393</v>
      </c>
      <c r="C193" s="385" t="s">
        <v>394</v>
      </c>
      <c r="D193" s="375" t="s">
        <v>399</v>
      </c>
      <c r="E193" s="376" t="s">
        <v>405</v>
      </c>
      <c r="F193" s="497">
        <v>100.5694887065056</v>
      </c>
      <c r="G193" s="495"/>
    </row>
    <row r="194" spans="2:7">
      <c r="B194" s="384" t="s">
        <v>393</v>
      </c>
      <c r="C194" s="385" t="s">
        <v>394</v>
      </c>
      <c r="D194" s="375" t="s">
        <v>400</v>
      </c>
      <c r="E194" s="376" t="s">
        <v>405</v>
      </c>
      <c r="F194" s="497">
        <v>37.844206905450676</v>
      </c>
      <c r="G194" s="495"/>
    </row>
    <row r="195" spans="2:7">
      <c r="B195" s="384" t="s">
        <v>393</v>
      </c>
      <c r="C195" s="385" t="s">
        <v>394</v>
      </c>
      <c r="D195" s="386" t="s">
        <v>324</v>
      </c>
      <c r="E195" s="376" t="s">
        <v>404</v>
      </c>
      <c r="F195" s="497">
        <v>57.3927812684448</v>
      </c>
      <c r="G195" s="495"/>
    </row>
    <row r="196" spans="2:7">
      <c r="B196" s="384" t="s">
        <v>393</v>
      </c>
      <c r="C196" s="385" t="s">
        <v>394</v>
      </c>
      <c r="D196" s="386" t="s">
        <v>411</v>
      </c>
      <c r="E196" s="376" t="s">
        <v>405</v>
      </c>
      <c r="F196" s="497">
        <v>23.453541948253811</v>
      </c>
      <c r="G196" s="495"/>
    </row>
    <row r="197" spans="2:7">
      <c r="B197" s="373" t="s">
        <v>401</v>
      </c>
      <c r="C197" s="385" t="s">
        <v>394</v>
      </c>
      <c r="D197" s="375" t="s">
        <v>402</v>
      </c>
      <c r="E197" s="376" t="s">
        <v>404</v>
      </c>
      <c r="F197" s="497">
        <v>66.758431999999999</v>
      </c>
      <c r="G197" s="495"/>
    </row>
    <row r="198" spans="2:7">
      <c r="B198" s="373" t="s">
        <v>401</v>
      </c>
      <c r="C198" s="385" t="s">
        <v>394</v>
      </c>
      <c r="D198" s="375" t="s">
        <v>403</v>
      </c>
      <c r="E198" s="376" t="s">
        <v>404</v>
      </c>
      <c r="F198" s="497">
        <v>4.2704479999999991</v>
      </c>
      <c r="G198" s="495"/>
    </row>
    <row r="199" spans="2:7">
      <c r="B199" s="373" t="s">
        <v>401</v>
      </c>
      <c r="C199" s="385" t="s">
        <v>394</v>
      </c>
      <c r="D199" s="375" t="s">
        <v>324</v>
      </c>
      <c r="E199" s="376" t="s">
        <v>404</v>
      </c>
      <c r="F199" s="497">
        <v>105.976832</v>
      </c>
      <c r="G199" s="495"/>
    </row>
    <row r="200" spans="2:7">
      <c r="B200" s="520" t="s">
        <v>565</v>
      </c>
      <c r="C200" s="385" t="s">
        <v>394</v>
      </c>
      <c r="D200" s="375" t="s">
        <v>323</v>
      </c>
      <c r="E200" s="376" t="s">
        <v>404</v>
      </c>
      <c r="F200" s="497">
        <v>50</v>
      </c>
      <c r="G200" s="495"/>
    </row>
    <row r="201" spans="2:7">
      <c r="B201" s="520" t="s">
        <v>565</v>
      </c>
      <c r="C201" s="385" t="s">
        <v>394</v>
      </c>
      <c r="D201" s="375" t="s">
        <v>406</v>
      </c>
      <c r="E201" s="376" t="s">
        <v>404</v>
      </c>
      <c r="F201" s="497">
        <v>72.247349603898158</v>
      </c>
      <c r="G201" s="495"/>
    </row>
    <row r="202" spans="2:7">
      <c r="B202" s="520" t="s">
        <v>565</v>
      </c>
      <c r="C202" s="385" t="s">
        <v>394</v>
      </c>
      <c r="D202" s="375" t="s">
        <v>403</v>
      </c>
      <c r="E202" s="376" t="s">
        <v>404</v>
      </c>
      <c r="F202" s="497">
        <v>24.75</v>
      </c>
      <c r="G202" s="495"/>
    </row>
    <row r="203" spans="2:7">
      <c r="B203" s="520" t="s">
        <v>565</v>
      </c>
      <c r="C203" s="385" t="s">
        <v>394</v>
      </c>
      <c r="D203" s="375" t="s">
        <v>328</v>
      </c>
      <c r="E203" s="376" t="s">
        <v>404</v>
      </c>
      <c r="F203" s="497">
        <v>24.282</v>
      </c>
      <c r="G203" s="495"/>
    </row>
    <row r="204" spans="2:7">
      <c r="B204" s="520" t="s">
        <v>565</v>
      </c>
      <c r="C204" s="385" t="s">
        <v>394</v>
      </c>
      <c r="D204" s="375" t="s">
        <v>407</v>
      </c>
      <c r="E204" s="376" t="s">
        <v>404</v>
      </c>
      <c r="F204" s="497">
        <v>7.5</v>
      </c>
      <c r="G204" s="495"/>
    </row>
    <row r="205" spans="2:7">
      <c r="B205" s="373" t="s">
        <v>408</v>
      </c>
      <c r="C205" s="385" t="s">
        <v>394</v>
      </c>
      <c r="D205" s="375" t="s">
        <v>409</v>
      </c>
      <c r="E205" s="376" t="s">
        <v>404</v>
      </c>
      <c r="F205" s="497">
        <v>83.789264979645225</v>
      </c>
      <c r="G205" s="495"/>
    </row>
    <row r="206" spans="2:7" ht="15.75" thickBot="1">
      <c r="B206" s="377" t="s">
        <v>6</v>
      </c>
      <c r="C206" s="378" t="s">
        <v>169</v>
      </c>
      <c r="D206" s="379" t="s">
        <v>169</v>
      </c>
      <c r="E206" s="380" t="s">
        <v>169</v>
      </c>
      <c r="F206" s="498">
        <f>SUM(F185:F205)</f>
        <v>1142.8198390444238</v>
      </c>
      <c r="G206" s="301"/>
    </row>
    <row r="208" spans="2:7" ht="15.75">
      <c r="B208" s="637" t="s">
        <v>136</v>
      </c>
      <c r="C208" s="637"/>
      <c r="D208" s="637"/>
      <c r="E208" s="637"/>
      <c r="F208" s="637"/>
    </row>
    <row r="209" spans="2:6" ht="15" thickBot="1"/>
    <row r="210" spans="2:6" ht="13.5" customHeight="1">
      <c r="B210" s="612" t="s">
        <v>129</v>
      </c>
      <c r="C210" s="613"/>
      <c r="D210" s="626" t="s">
        <v>130</v>
      </c>
      <c r="E210" s="629" t="s">
        <v>131</v>
      </c>
      <c r="F210" s="620" t="s">
        <v>137</v>
      </c>
    </row>
    <row r="211" spans="2:6" ht="17.25" customHeight="1">
      <c r="B211" s="632" t="s">
        <v>133</v>
      </c>
      <c r="C211" s="634" t="s">
        <v>134</v>
      </c>
      <c r="D211" s="627"/>
      <c r="E211" s="630"/>
      <c r="F211" s="621"/>
    </row>
    <row r="212" spans="2:6">
      <c r="B212" s="633"/>
      <c r="C212" s="635"/>
      <c r="D212" s="628"/>
      <c r="E212" s="631"/>
      <c r="F212" s="124" t="s">
        <v>135</v>
      </c>
    </row>
    <row r="213" spans="2:6" ht="14.25" customHeight="1">
      <c r="B213" s="373" t="s">
        <v>322</v>
      </c>
      <c r="C213" s="374" t="s">
        <v>394</v>
      </c>
      <c r="D213" s="381" t="s">
        <v>412</v>
      </c>
      <c r="E213" s="382" t="s">
        <v>419</v>
      </c>
      <c r="F213" s="497">
        <v>210.67961657222645</v>
      </c>
    </row>
    <row r="214" spans="2:6" ht="14.25" customHeight="1">
      <c r="B214" s="373" t="s">
        <v>322</v>
      </c>
      <c r="C214" s="374" t="s">
        <v>394</v>
      </c>
      <c r="D214" s="381" t="s">
        <v>413</v>
      </c>
      <c r="E214" s="382" t="s">
        <v>419</v>
      </c>
      <c r="F214" s="497">
        <v>103.62187122495935</v>
      </c>
    </row>
    <row r="215" spans="2:6">
      <c r="B215" s="373" t="s">
        <v>322</v>
      </c>
      <c r="C215" s="374" t="s">
        <v>394</v>
      </c>
      <c r="D215" s="374" t="s">
        <v>327</v>
      </c>
      <c r="E215" s="383" t="s">
        <v>405</v>
      </c>
      <c r="F215" s="497">
        <v>67.349677989163382</v>
      </c>
    </row>
    <row r="216" spans="2:6">
      <c r="B216" s="373" t="s">
        <v>322</v>
      </c>
      <c r="C216" s="374" t="s">
        <v>394</v>
      </c>
      <c r="D216" s="374" t="s">
        <v>414</v>
      </c>
      <c r="E216" s="383" t="s">
        <v>405</v>
      </c>
      <c r="F216" s="497">
        <v>47.783229367369458</v>
      </c>
    </row>
    <row r="217" spans="2:6">
      <c r="B217" s="373" t="s">
        <v>322</v>
      </c>
      <c r="C217" s="374" t="s">
        <v>394</v>
      </c>
      <c r="D217" s="374" t="s">
        <v>326</v>
      </c>
      <c r="E217" s="383" t="s">
        <v>405</v>
      </c>
      <c r="F217" s="497">
        <v>29.88167362073672</v>
      </c>
    </row>
    <row r="218" spans="2:6">
      <c r="B218" s="373" t="s">
        <v>322</v>
      </c>
      <c r="C218" s="374" t="s">
        <v>394</v>
      </c>
      <c r="D218" s="374" t="s">
        <v>415</v>
      </c>
      <c r="E218" s="383" t="s">
        <v>405</v>
      </c>
      <c r="F218" s="497">
        <v>20.949383369815234</v>
      </c>
    </row>
    <row r="219" spans="2:6">
      <c r="B219" s="373" t="s">
        <v>322</v>
      </c>
      <c r="C219" s="374" t="s">
        <v>394</v>
      </c>
      <c r="D219" s="374" t="s">
        <v>416</v>
      </c>
      <c r="E219" s="383" t="s">
        <v>405</v>
      </c>
      <c r="F219" s="497">
        <v>12.655565950596753</v>
      </c>
    </row>
    <row r="220" spans="2:6">
      <c r="B220" s="373" t="s">
        <v>322</v>
      </c>
      <c r="C220" s="374" t="s">
        <v>394</v>
      </c>
      <c r="D220" s="374" t="s">
        <v>417</v>
      </c>
      <c r="E220" s="383" t="s">
        <v>405</v>
      </c>
      <c r="F220" s="497">
        <v>19.766895538684992</v>
      </c>
    </row>
    <row r="221" spans="2:6">
      <c r="B221" s="373" t="s">
        <v>322</v>
      </c>
      <c r="C221" s="374" t="s">
        <v>394</v>
      </c>
      <c r="D221" s="374" t="s">
        <v>418</v>
      </c>
      <c r="E221" s="383" t="s">
        <v>405</v>
      </c>
      <c r="F221" s="497">
        <v>34.953746126343098</v>
      </c>
    </row>
    <row r="222" spans="2:6" ht="15.75" thickBot="1">
      <c r="B222" s="377" t="s">
        <v>6</v>
      </c>
      <c r="C222" s="378" t="s">
        <v>169</v>
      </c>
      <c r="D222" s="379" t="s">
        <v>169</v>
      </c>
      <c r="E222" s="380" t="s">
        <v>169</v>
      </c>
      <c r="F222" s="498">
        <f>SUM(F213:F221)</f>
        <v>547.64165975989545</v>
      </c>
    </row>
    <row r="224" spans="2:6">
      <c r="C224" s="4" t="s">
        <v>127</v>
      </c>
      <c r="D224" s="306" t="s">
        <v>331</v>
      </c>
    </row>
    <row r="225" spans="2:7" ht="15">
      <c r="D225" s="305"/>
      <c r="E225" s="308"/>
    </row>
    <row r="226" spans="2:7" ht="13.5" customHeight="1">
      <c r="B226" s="637" t="s">
        <v>128</v>
      </c>
      <c r="C226" s="637"/>
      <c r="D226" s="637"/>
      <c r="E226" s="637"/>
      <c r="F226" s="637"/>
      <c r="G226" s="636"/>
    </row>
    <row r="227" spans="2:7" ht="17.25" customHeight="1" thickBot="1">
      <c r="G227" s="636"/>
    </row>
    <row r="228" spans="2:7" ht="14.25" customHeight="1">
      <c r="B228" s="612" t="s">
        <v>129</v>
      </c>
      <c r="C228" s="613"/>
      <c r="D228" s="614" t="s">
        <v>130</v>
      </c>
      <c r="E228" s="617" t="s">
        <v>131</v>
      </c>
      <c r="F228" s="620" t="s">
        <v>132</v>
      </c>
      <c r="G228" s="299"/>
    </row>
    <row r="229" spans="2:7" ht="14.25" customHeight="1">
      <c r="B229" s="622" t="s">
        <v>133</v>
      </c>
      <c r="C229" s="624" t="s">
        <v>134</v>
      </c>
      <c r="D229" s="615"/>
      <c r="E229" s="618"/>
      <c r="F229" s="621"/>
      <c r="G229" s="301"/>
    </row>
    <row r="230" spans="2:7">
      <c r="B230" s="623"/>
      <c r="C230" s="625"/>
      <c r="D230" s="616"/>
      <c r="E230" s="619"/>
      <c r="F230" s="124" t="s">
        <v>135</v>
      </c>
      <c r="G230" s="301"/>
    </row>
    <row r="231" spans="2:7">
      <c r="B231" s="384" t="s">
        <v>393</v>
      </c>
      <c r="C231" s="385" t="s">
        <v>394</v>
      </c>
      <c r="D231" s="375" t="s">
        <v>395</v>
      </c>
      <c r="E231" s="376" t="s">
        <v>405</v>
      </c>
      <c r="F231" s="497">
        <v>32.72714909526735</v>
      </c>
      <c r="G231" s="495"/>
    </row>
    <row r="232" spans="2:7">
      <c r="B232" s="384" t="s">
        <v>393</v>
      </c>
      <c r="C232" s="385" t="s">
        <v>394</v>
      </c>
      <c r="D232" s="375" t="s">
        <v>396</v>
      </c>
      <c r="E232" s="376" t="s">
        <v>405</v>
      </c>
      <c r="F232" s="497">
        <v>33.579729913721415</v>
      </c>
      <c r="G232" s="495"/>
    </row>
    <row r="233" spans="2:7">
      <c r="B233" s="384" t="s">
        <v>393</v>
      </c>
      <c r="C233" s="385" t="s">
        <v>394</v>
      </c>
      <c r="D233" s="375" t="s">
        <v>406</v>
      </c>
      <c r="E233" s="382" t="s">
        <v>419</v>
      </c>
      <c r="F233" s="497">
        <v>123.888659935289</v>
      </c>
      <c r="G233" s="495"/>
    </row>
    <row r="234" spans="2:7">
      <c r="B234" s="384" t="s">
        <v>393</v>
      </c>
      <c r="C234" s="385" t="s">
        <v>394</v>
      </c>
      <c r="D234" s="375" t="s">
        <v>397</v>
      </c>
      <c r="E234" s="376" t="s">
        <v>404</v>
      </c>
      <c r="F234" s="497">
        <v>102.947390568237</v>
      </c>
      <c r="G234" s="495"/>
    </row>
    <row r="235" spans="2:7">
      <c r="B235" s="384" t="s">
        <v>393</v>
      </c>
      <c r="C235" s="385" t="s">
        <v>394</v>
      </c>
      <c r="D235" s="375" t="s">
        <v>398</v>
      </c>
      <c r="E235" s="376" t="s">
        <v>405</v>
      </c>
      <c r="F235" s="497">
        <v>51.656242107722399</v>
      </c>
      <c r="G235" s="495"/>
    </row>
    <row r="236" spans="2:7">
      <c r="B236" s="384" t="s">
        <v>393</v>
      </c>
      <c r="C236" s="385" t="s">
        <v>394</v>
      </c>
      <c r="D236" s="375" t="s">
        <v>327</v>
      </c>
      <c r="E236" s="376" t="s">
        <v>405</v>
      </c>
      <c r="F236" s="497">
        <v>41.363704268436955</v>
      </c>
      <c r="G236" s="495"/>
    </row>
    <row r="237" spans="2:7">
      <c r="B237" s="384" t="s">
        <v>393</v>
      </c>
      <c r="C237" s="385" t="s">
        <v>394</v>
      </c>
      <c r="D237" s="375" t="s">
        <v>323</v>
      </c>
      <c r="E237" s="376" t="s">
        <v>405</v>
      </c>
      <c r="F237" s="497">
        <v>141.92173627982194</v>
      </c>
      <c r="G237" s="495"/>
    </row>
    <row r="238" spans="2:7">
      <c r="B238" s="384" t="s">
        <v>393</v>
      </c>
      <c r="C238" s="385" t="s">
        <v>394</v>
      </c>
      <c r="D238" s="375" t="s">
        <v>410</v>
      </c>
      <c r="E238" s="376" t="s">
        <v>404</v>
      </c>
      <c r="F238" s="497">
        <v>-10.68</v>
      </c>
      <c r="G238" s="495"/>
    </row>
    <row r="239" spans="2:7">
      <c r="B239" s="384" t="s">
        <v>393</v>
      </c>
      <c r="C239" s="385" t="s">
        <v>394</v>
      </c>
      <c r="D239" s="375" t="s">
        <v>399</v>
      </c>
      <c r="E239" s="376" t="s">
        <v>405</v>
      </c>
      <c r="F239" s="497">
        <v>95.224370398560922</v>
      </c>
      <c r="G239" s="495"/>
    </row>
    <row r="240" spans="2:7">
      <c r="B240" s="384" t="s">
        <v>393</v>
      </c>
      <c r="C240" s="385" t="s">
        <v>394</v>
      </c>
      <c r="D240" s="375" t="s">
        <v>400</v>
      </c>
      <c r="E240" s="376" t="s">
        <v>405</v>
      </c>
      <c r="F240" s="497">
        <v>38.87952876854807</v>
      </c>
      <c r="G240" s="495"/>
    </row>
    <row r="241" spans="2:7">
      <c r="B241" s="384" t="s">
        <v>393</v>
      </c>
      <c r="C241" s="385" t="s">
        <v>394</v>
      </c>
      <c r="D241" s="386" t="s">
        <v>324</v>
      </c>
      <c r="E241" s="376" t="s">
        <v>404</v>
      </c>
      <c r="F241" s="497">
        <v>59.484136376108395</v>
      </c>
      <c r="G241" s="495"/>
    </row>
    <row r="242" spans="2:7">
      <c r="B242" s="384" t="s">
        <v>393</v>
      </c>
      <c r="C242" s="385" t="s">
        <v>394</v>
      </c>
      <c r="D242" s="386" t="s">
        <v>411</v>
      </c>
      <c r="E242" s="376" t="s">
        <v>405</v>
      </c>
      <c r="F242" s="497">
        <v>25.065465511193789</v>
      </c>
      <c r="G242" s="495"/>
    </row>
    <row r="243" spans="2:7">
      <c r="B243" s="373" t="s">
        <v>401</v>
      </c>
      <c r="C243" s="385" t="s">
        <v>394</v>
      </c>
      <c r="D243" s="375" t="s">
        <v>402</v>
      </c>
      <c r="E243" s="376" t="s">
        <v>404</v>
      </c>
      <c r="F243" s="497">
        <v>69.218655479999995</v>
      </c>
      <c r="G243" s="495"/>
    </row>
    <row r="244" spans="2:7">
      <c r="B244" s="373" t="s">
        <v>401</v>
      </c>
      <c r="C244" s="385" t="s">
        <v>394</v>
      </c>
      <c r="D244" s="375" t="s">
        <v>403</v>
      </c>
      <c r="E244" s="376" t="s">
        <v>404</v>
      </c>
      <c r="F244" s="497">
        <v>4.4278252200000008</v>
      </c>
      <c r="G244" s="495"/>
    </row>
    <row r="245" spans="2:7">
      <c r="B245" s="373" t="s">
        <v>401</v>
      </c>
      <c r="C245" s="385" t="s">
        <v>394</v>
      </c>
      <c r="D245" s="375" t="s">
        <v>324</v>
      </c>
      <c r="E245" s="376" t="s">
        <v>404</v>
      </c>
      <c r="F245" s="497">
        <v>68.676472799999999</v>
      </c>
      <c r="G245" s="495"/>
    </row>
    <row r="246" spans="2:7">
      <c r="B246" s="520" t="s">
        <v>565</v>
      </c>
      <c r="C246" s="385" t="s">
        <v>394</v>
      </c>
      <c r="D246" s="375" t="s">
        <v>323</v>
      </c>
      <c r="E246" s="376" t="s">
        <v>404</v>
      </c>
      <c r="F246" s="497">
        <v>50</v>
      </c>
      <c r="G246" s="495"/>
    </row>
    <row r="247" spans="2:7">
      <c r="B247" s="520" t="s">
        <v>565</v>
      </c>
      <c r="C247" s="385" t="s">
        <v>394</v>
      </c>
      <c r="D247" s="375" t="s">
        <v>406</v>
      </c>
      <c r="E247" s="376" t="s">
        <v>404</v>
      </c>
      <c r="F247" s="497">
        <v>47.095097721064128</v>
      </c>
      <c r="G247" s="495"/>
    </row>
    <row r="248" spans="2:7">
      <c r="B248" s="520" t="s">
        <v>565</v>
      </c>
      <c r="C248" s="385" t="s">
        <v>394</v>
      </c>
      <c r="D248" s="375" t="s">
        <v>403</v>
      </c>
      <c r="E248" s="376" t="s">
        <v>404</v>
      </c>
      <c r="F248" s="497">
        <v>25.5</v>
      </c>
      <c r="G248" s="495"/>
    </row>
    <row r="249" spans="2:7">
      <c r="B249" s="520" t="s">
        <v>565</v>
      </c>
      <c r="C249" s="385" t="s">
        <v>394</v>
      </c>
      <c r="D249" s="375" t="s">
        <v>328</v>
      </c>
      <c r="E249" s="376" t="s">
        <v>404</v>
      </c>
      <c r="F249" s="497">
        <v>25.067</v>
      </c>
      <c r="G249" s="495"/>
    </row>
    <row r="250" spans="2:7">
      <c r="B250" s="520" t="s">
        <v>565</v>
      </c>
      <c r="C250" s="385" t="s">
        <v>394</v>
      </c>
      <c r="D250" s="375" t="s">
        <v>407</v>
      </c>
      <c r="E250" s="376" t="s">
        <v>404</v>
      </c>
      <c r="F250" s="497">
        <v>7.6574999999999998</v>
      </c>
      <c r="G250" s="495"/>
    </row>
    <row r="251" spans="2:7">
      <c r="B251" s="373" t="s">
        <v>408</v>
      </c>
      <c r="C251" s="385" t="s">
        <v>394</v>
      </c>
      <c r="D251" s="375" t="s">
        <v>409</v>
      </c>
      <c r="E251" s="376" t="s">
        <v>404</v>
      </c>
      <c r="F251" s="497">
        <v>50.003999999999998</v>
      </c>
      <c r="G251" s="495"/>
    </row>
    <row r="252" spans="2:7">
      <c r="B252" s="384" t="s">
        <v>393</v>
      </c>
      <c r="C252" s="385" t="s">
        <v>394</v>
      </c>
      <c r="D252" s="500" t="s">
        <v>561</v>
      </c>
      <c r="E252" s="376" t="s">
        <v>404</v>
      </c>
      <c r="F252" s="497">
        <v>1.474</v>
      </c>
      <c r="G252" s="495"/>
    </row>
    <row r="253" spans="2:7" ht="15.75" thickBot="1">
      <c r="B253" s="377" t="s">
        <v>6</v>
      </c>
      <c r="C253" s="378" t="s">
        <v>169</v>
      </c>
      <c r="D253" s="379" t="s">
        <v>169</v>
      </c>
      <c r="E253" s="380" t="s">
        <v>169</v>
      </c>
      <c r="F253" s="498">
        <f>SUM(F231:F252)</f>
        <v>1085.1786644439712</v>
      </c>
    </row>
    <row r="255" spans="2:7" ht="15.75">
      <c r="B255" s="637" t="s">
        <v>136</v>
      </c>
      <c r="C255" s="637"/>
      <c r="D255" s="637"/>
      <c r="E255" s="637"/>
      <c r="F255" s="637"/>
    </row>
    <row r="256" spans="2:7" ht="15" thickBot="1"/>
    <row r="257" spans="2:7" ht="13.5" customHeight="1">
      <c r="B257" s="612" t="s">
        <v>129</v>
      </c>
      <c r="C257" s="613"/>
      <c r="D257" s="626" t="s">
        <v>130</v>
      </c>
      <c r="E257" s="629" t="s">
        <v>131</v>
      </c>
      <c r="F257" s="620" t="s">
        <v>137</v>
      </c>
    </row>
    <row r="258" spans="2:7" ht="17.25" customHeight="1">
      <c r="B258" s="632" t="s">
        <v>133</v>
      </c>
      <c r="C258" s="634" t="s">
        <v>134</v>
      </c>
      <c r="D258" s="627"/>
      <c r="E258" s="630"/>
      <c r="F258" s="621"/>
    </row>
    <row r="259" spans="2:7">
      <c r="B259" s="633"/>
      <c r="C259" s="635"/>
      <c r="D259" s="628"/>
      <c r="E259" s="631"/>
      <c r="F259" s="124" t="s">
        <v>135</v>
      </c>
    </row>
    <row r="260" spans="2:7" ht="14.25" customHeight="1">
      <c r="B260" s="373" t="s">
        <v>322</v>
      </c>
      <c r="C260" s="374" t="s">
        <v>394</v>
      </c>
      <c r="D260" s="381" t="s">
        <v>412</v>
      </c>
      <c r="E260" s="382" t="s">
        <v>419</v>
      </c>
      <c r="F260" s="497">
        <v>220.74780750469736</v>
      </c>
    </row>
    <row r="261" spans="2:7" ht="14.25" customHeight="1">
      <c r="B261" s="373" t="s">
        <v>322</v>
      </c>
      <c r="C261" s="374" t="s">
        <v>394</v>
      </c>
      <c r="D261" s="381" t="s">
        <v>413</v>
      </c>
      <c r="E261" s="382" t="s">
        <v>419</v>
      </c>
      <c r="F261" s="497">
        <v>115.55615828469364</v>
      </c>
    </row>
    <row r="262" spans="2:7" ht="14.25" customHeight="1">
      <c r="B262" s="373" t="s">
        <v>322</v>
      </c>
      <c r="C262" s="374" t="s">
        <v>394</v>
      </c>
      <c r="D262" s="374" t="s">
        <v>327</v>
      </c>
      <c r="E262" s="383" t="s">
        <v>405</v>
      </c>
      <c r="F262" s="497">
        <v>66.6098488464268</v>
      </c>
    </row>
    <row r="263" spans="2:7" ht="14.25" customHeight="1">
      <c r="B263" s="373" t="s">
        <v>322</v>
      </c>
      <c r="C263" s="374" t="s">
        <v>394</v>
      </c>
      <c r="D263" s="374" t="s">
        <v>414</v>
      </c>
      <c r="E263" s="383" t="s">
        <v>405</v>
      </c>
      <c r="F263" s="497">
        <v>49.070458350352361</v>
      </c>
      <c r="G263" s="387"/>
    </row>
    <row r="264" spans="2:7">
      <c r="B264" s="373" t="s">
        <v>322</v>
      </c>
      <c r="C264" s="374" t="s">
        <v>394</v>
      </c>
      <c r="D264" s="374" t="s">
        <v>326</v>
      </c>
      <c r="E264" s="383" t="s">
        <v>405</v>
      </c>
      <c r="F264" s="497">
        <v>30.83940014962144</v>
      </c>
    </row>
    <row r="265" spans="2:7">
      <c r="B265" s="373" t="s">
        <v>322</v>
      </c>
      <c r="C265" s="374" t="s">
        <v>394</v>
      </c>
      <c r="D265" s="374" t="s">
        <v>415</v>
      </c>
      <c r="E265" s="383" t="s">
        <v>405</v>
      </c>
      <c r="F265" s="497">
        <v>21.38087807770037</v>
      </c>
    </row>
    <row r="266" spans="2:7">
      <c r="B266" s="373" t="s">
        <v>322</v>
      </c>
      <c r="C266" s="374" t="s">
        <v>394</v>
      </c>
      <c r="D266" s="374" t="s">
        <v>416</v>
      </c>
      <c r="E266" s="383" t="s">
        <v>405</v>
      </c>
      <c r="F266" s="497">
        <v>21.299279342102771</v>
      </c>
    </row>
    <row r="267" spans="2:7">
      <c r="B267" s="373" t="s">
        <v>322</v>
      </c>
      <c r="C267" s="374" t="s">
        <v>394</v>
      </c>
      <c r="D267" s="374" t="s">
        <v>417</v>
      </c>
      <c r="E267" s="383" t="s">
        <v>405</v>
      </c>
      <c r="F267" s="497">
        <v>21.695770298337308</v>
      </c>
    </row>
    <row r="268" spans="2:7">
      <c r="B268" s="373" t="s">
        <v>322</v>
      </c>
      <c r="C268" s="374" t="s">
        <v>394</v>
      </c>
      <c r="D268" s="374" t="s">
        <v>418</v>
      </c>
      <c r="E268" s="383" t="s">
        <v>405</v>
      </c>
      <c r="F268" s="497">
        <v>33.003099804375807</v>
      </c>
    </row>
    <row r="269" spans="2:7" ht="15.75" thickBot="1">
      <c r="B269" s="377" t="s">
        <v>6</v>
      </c>
      <c r="C269" s="378" t="s">
        <v>169</v>
      </c>
      <c r="D269" s="379" t="s">
        <v>169</v>
      </c>
      <c r="E269" s="380" t="s">
        <v>169</v>
      </c>
      <c r="F269" s="498">
        <f>SUM(F260:F268)</f>
        <v>580.20270065830778</v>
      </c>
    </row>
    <row r="270" spans="2:7">
      <c r="G270" s="275"/>
    </row>
    <row r="271" spans="2:7">
      <c r="G271" s="275"/>
    </row>
  </sheetData>
  <sheetProtection sheet="1" objects="1" scenarios="1"/>
  <mergeCells count="93">
    <mergeCell ref="B135:F135"/>
    <mergeCell ref="B94:C94"/>
    <mergeCell ref="D94:D96"/>
    <mergeCell ref="E94:E96"/>
    <mergeCell ref="F94:F95"/>
    <mergeCell ref="B4:F4"/>
    <mergeCell ref="B5:F5"/>
    <mergeCell ref="B92:F92"/>
    <mergeCell ref="F11:F12"/>
    <mergeCell ref="B9:F9"/>
    <mergeCell ref="B11:C11"/>
    <mergeCell ref="D11:D13"/>
    <mergeCell ref="E11:E13"/>
    <mergeCell ref="B32:F32"/>
    <mergeCell ref="B34:C34"/>
    <mergeCell ref="D34:D36"/>
    <mergeCell ref="E34:E36"/>
    <mergeCell ref="F34:F35"/>
    <mergeCell ref="B35:B36"/>
    <mergeCell ref="C35:C36"/>
    <mergeCell ref="B74:F74"/>
    <mergeCell ref="G11:G12"/>
    <mergeCell ref="B12:B13"/>
    <mergeCell ref="G94:G95"/>
    <mergeCell ref="B50:F50"/>
    <mergeCell ref="F137:F138"/>
    <mergeCell ref="B95:B96"/>
    <mergeCell ref="C95:C96"/>
    <mergeCell ref="B117:F117"/>
    <mergeCell ref="B119:C119"/>
    <mergeCell ref="D119:D121"/>
    <mergeCell ref="E119:E121"/>
    <mergeCell ref="F119:F120"/>
    <mergeCell ref="B120:B121"/>
    <mergeCell ref="C120:C121"/>
    <mergeCell ref="G52:G53"/>
    <mergeCell ref="G137:G138"/>
    <mergeCell ref="B138:B139"/>
    <mergeCell ref="C138:C139"/>
    <mergeCell ref="E257:E259"/>
    <mergeCell ref="F257:F258"/>
    <mergeCell ref="B258:B259"/>
    <mergeCell ref="C258:C259"/>
    <mergeCell ref="E182:E184"/>
    <mergeCell ref="F182:F183"/>
    <mergeCell ref="B255:F255"/>
    <mergeCell ref="D257:D259"/>
    <mergeCell ref="B137:C137"/>
    <mergeCell ref="D137:D139"/>
    <mergeCell ref="E137:E139"/>
    <mergeCell ref="B180:F180"/>
    <mergeCell ref="B257:C257"/>
    <mergeCell ref="B162:F162"/>
    <mergeCell ref="B164:C164"/>
    <mergeCell ref="D164:D166"/>
    <mergeCell ref="E164:E166"/>
    <mergeCell ref="F164:F165"/>
    <mergeCell ref="B165:B166"/>
    <mergeCell ref="C165:C166"/>
    <mergeCell ref="B183:B184"/>
    <mergeCell ref="C183:C184"/>
    <mergeCell ref="B182:C182"/>
    <mergeCell ref="D182:D184"/>
    <mergeCell ref="G226:G227"/>
    <mergeCell ref="B228:C228"/>
    <mergeCell ref="D228:D230"/>
    <mergeCell ref="E228:E230"/>
    <mergeCell ref="F228:F229"/>
    <mergeCell ref="B229:B230"/>
    <mergeCell ref="C229:C230"/>
    <mergeCell ref="B226:F226"/>
    <mergeCell ref="G182:G183"/>
    <mergeCell ref="B208:F208"/>
    <mergeCell ref="B210:C210"/>
    <mergeCell ref="D210:D212"/>
    <mergeCell ref="E210:E212"/>
    <mergeCell ref="F210:F211"/>
    <mergeCell ref="B211:B212"/>
    <mergeCell ref="C211:C212"/>
    <mergeCell ref="B76:C76"/>
    <mergeCell ref="D76:D78"/>
    <mergeCell ref="E76:E78"/>
    <mergeCell ref="F76:F77"/>
    <mergeCell ref="B77:B78"/>
    <mergeCell ref="C77:C78"/>
    <mergeCell ref="B6:F6"/>
    <mergeCell ref="B52:C52"/>
    <mergeCell ref="D52:D54"/>
    <mergeCell ref="E52:E54"/>
    <mergeCell ref="F52:F53"/>
    <mergeCell ref="B53:B54"/>
    <mergeCell ref="C53:C54"/>
    <mergeCell ref="C12:C13"/>
  </mergeCells>
  <pageMargins left="0.7" right="0.7" top="0.75" bottom="0.75" header="0.3" footer="0.3"/>
  <pageSetup scale="52" fitToHeight="4" orientation="landscape"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election activeCell="C9" sqref="C9:J9"/>
    </sheetView>
  </sheetViews>
  <sheetFormatPr defaultRowHeight="15"/>
  <cols>
    <col min="1" max="1" width="5.140625" customWidth="1"/>
    <col min="2" max="2" width="37.140625" customWidth="1"/>
    <col min="3" max="9" width="14.85546875" customWidth="1"/>
    <col min="10" max="10" width="14.7109375" bestFit="1" customWidth="1"/>
    <col min="16" max="16" width="14.7109375" bestFit="1" customWidth="1"/>
  </cols>
  <sheetData>
    <row r="1" spans="1:10">
      <c r="J1" s="302" t="s">
        <v>222</v>
      </c>
    </row>
    <row r="2" spans="1:10">
      <c r="J2" s="302" t="s">
        <v>313</v>
      </c>
    </row>
    <row r="3" spans="1:10">
      <c r="J3" s="303">
        <v>45491</v>
      </c>
    </row>
    <row r="4" spans="1:10" ht="18">
      <c r="A4" s="551" t="s">
        <v>566</v>
      </c>
      <c r="B4" s="551"/>
      <c r="C4" s="551"/>
      <c r="D4" s="551"/>
      <c r="E4" s="551"/>
      <c r="F4" s="551"/>
      <c r="G4" s="551"/>
      <c r="H4" s="551"/>
      <c r="I4" s="551"/>
      <c r="J4" s="551"/>
    </row>
    <row r="5" spans="1:10" ht="18">
      <c r="A5" s="638" t="s">
        <v>580</v>
      </c>
      <c r="B5" s="638"/>
      <c r="C5" s="638"/>
      <c r="D5" s="638"/>
      <c r="E5" s="638"/>
      <c r="F5" s="638"/>
      <c r="G5" s="638"/>
      <c r="H5" s="638"/>
      <c r="I5" s="638"/>
      <c r="J5" s="638"/>
    </row>
    <row r="6" spans="1:10" ht="18">
      <c r="A6" s="639" t="s">
        <v>366</v>
      </c>
      <c r="B6" s="639"/>
      <c r="C6" s="639"/>
      <c r="D6" s="639"/>
      <c r="E6" s="639"/>
      <c r="F6" s="639"/>
      <c r="G6" s="639"/>
      <c r="H6" s="639"/>
      <c r="I6" s="639"/>
      <c r="J6" s="639"/>
    </row>
    <row r="7" spans="1:10" ht="5.25" customHeight="1">
      <c r="A7" s="529"/>
      <c r="B7" s="529"/>
      <c r="C7" s="529"/>
      <c r="D7" s="529"/>
      <c r="E7" s="529"/>
      <c r="F7" s="529"/>
      <c r="G7" s="529"/>
      <c r="H7" s="529"/>
      <c r="I7" s="529"/>
      <c r="J7" s="529"/>
    </row>
    <row r="8" spans="1:10">
      <c r="A8" s="521"/>
      <c r="B8" s="522"/>
      <c r="C8" s="522" t="s">
        <v>469</v>
      </c>
      <c r="D8" s="522" t="s">
        <v>124</v>
      </c>
      <c r="E8" s="522" t="s">
        <v>567</v>
      </c>
      <c r="F8" s="522" t="s">
        <v>568</v>
      </c>
      <c r="G8" s="522" t="s">
        <v>569</v>
      </c>
      <c r="H8" s="522" t="s">
        <v>570</v>
      </c>
      <c r="I8" s="522" t="s">
        <v>571</v>
      </c>
      <c r="J8" s="523" t="s">
        <v>572</v>
      </c>
    </row>
    <row r="9" spans="1:10" ht="25.5">
      <c r="A9" s="456"/>
      <c r="B9" s="457" t="s">
        <v>573</v>
      </c>
      <c r="C9" s="458" t="s">
        <v>510</v>
      </c>
      <c r="D9" s="458" t="s">
        <v>512</v>
      </c>
      <c r="E9" s="458" t="s">
        <v>513</v>
      </c>
      <c r="F9" s="458" t="s">
        <v>514</v>
      </c>
      <c r="G9" s="458" t="s">
        <v>515</v>
      </c>
      <c r="H9" s="458" t="s">
        <v>490</v>
      </c>
      <c r="I9" s="458" t="s">
        <v>509</v>
      </c>
      <c r="J9" s="459" t="s">
        <v>156</v>
      </c>
    </row>
    <row r="10" spans="1:10">
      <c r="A10" s="524">
        <v>1</v>
      </c>
      <c r="B10" s="461" t="s">
        <v>323</v>
      </c>
      <c r="C10" s="462">
        <v>109.434</v>
      </c>
      <c r="D10" s="462">
        <v>207.59000908842444</v>
      </c>
      <c r="E10" s="462">
        <v>193.12142760000006</v>
      </c>
      <c r="F10" s="462">
        <v>195.44543199847629</v>
      </c>
      <c r="G10" s="462">
        <v>189.89215110046476</v>
      </c>
      <c r="H10" s="462">
        <v>188.16560870959117</v>
      </c>
      <c r="I10" s="462">
        <v>191.92173627982194</v>
      </c>
      <c r="J10" s="525"/>
    </row>
    <row r="11" spans="1:10">
      <c r="A11" s="524">
        <v>2</v>
      </c>
      <c r="B11" s="461" t="s">
        <v>399</v>
      </c>
      <c r="C11" s="462">
        <v>25.327999999999999</v>
      </c>
      <c r="D11" s="462">
        <v>79.052710126274931</v>
      </c>
      <c r="E11" s="462">
        <v>71.719653051191727</v>
      </c>
      <c r="F11" s="462">
        <v>79.773094666471408</v>
      </c>
      <c r="G11" s="462">
        <v>96.541056045505329</v>
      </c>
      <c r="H11" s="462">
        <v>100.5694887065056</v>
      </c>
      <c r="I11" s="462">
        <v>95.224370398560922</v>
      </c>
      <c r="J11" s="467"/>
    </row>
    <row r="12" spans="1:10">
      <c r="A12" s="524">
        <v>3</v>
      </c>
      <c r="B12" s="461" t="s">
        <v>406</v>
      </c>
      <c r="C12" s="462">
        <v>95.757000000000005</v>
      </c>
      <c r="D12" s="462">
        <v>84.296099999999996</v>
      </c>
      <c r="E12" s="462">
        <v>75.612482499999999</v>
      </c>
      <c r="F12" s="462">
        <v>97.43628022499999</v>
      </c>
      <c r="G12" s="462">
        <v>167.29350719235825</v>
      </c>
      <c r="H12" s="462">
        <v>170.35227166289323</v>
      </c>
      <c r="I12" s="462">
        <v>170.98375765635313</v>
      </c>
      <c r="J12" s="467"/>
    </row>
    <row r="13" spans="1:10">
      <c r="A13" s="524">
        <v>4</v>
      </c>
      <c r="B13" s="461" t="s">
        <v>324</v>
      </c>
      <c r="C13" s="462">
        <v>87.051000000000002</v>
      </c>
      <c r="D13" s="462">
        <v>71.280171770910925</v>
      </c>
      <c r="E13" s="462">
        <v>44.232033997452135</v>
      </c>
      <c r="F13" s="462">
        <v>24.62471</v>
      </c>
      <c r="G13" s="462">
        <v>83.110579333333362</v>
      </c>
      <c r="H13" s="462">
        <v>163.36961326844477</v>
      </c>
      <c r="I13" s="462">
        <v>128.16060917610841</v>
      </c>
      <c r="J13" s="467" t="s">
        <v>521</v>
      </c>
    </row>
    <row r="14" spans="1:10">
      <c r="A14" s="524">
        <v>5</v>
      </c>
      <c r="B14" s="461" t="s">
        <v>396</v>
      </c>
      <c r="C14" s="462">
        <v>0</v>
      </c>
      <c r="D14" s="462">
        <v>3.8739257844211221</v>
      </c>
      <c r="E14" s="462">
        <v>30.779804400000007</v>
      </c>
      <c r="F14" s="462">
        <v>43.391939498091496</v>
      </c>
      <c r="G14" s="462">
        <v>35.140462598901586</v>
      </c>
      <c r="H14" s="462">
        <v>32.410217350666358</v>
      </c>
      <c r="I14" s="462">
        <v>33.579729913721415</v>
      </c>
      <c r="J14" s="467"/>
    </row>
    <row r="15" spans="1:10">
      <c r="A15" s="524">
        <v>6</v>
      </c>
      <c r="B15" s="461" t="s">
        <v>397</v>
      </c>
      <c r="C15" s="462">
        <v>0</v>
      </c>
      <c r="D15" s="462">
        <v>35.635504731054226</v>
      </c>
      <c r="E15" s="462">
        <v>49.868840800000008</v>
      </c>
      <c r="F15" s="462">
        <v>63.900735360000006</v>
      </c>
      <c r="G15" s="462">
        <v>62.775159399999986</v>
      </c>
      <c r="H15" s="462">
        <v>99.327945717862505</v>
      </c>
      <c r="I15" s="462">
        <v>102.947390568237</v>
      </c>
      <c r="J15" s="467"/>
    </row>
    <row r="16" spans="1:10">
      <c r="A16" s="524">
        <v>7</v>
      </c>
      <c r="B16" s="461" t="s">
        <v>398</v>
      </c>
      <c r="C16" s="462">
        <v>47.854999999999997</v>
      </c>
      <c r="D16" s="462">
        <v>58.038077836823255</v>
      </c>
      <c r="E16" s="462">
        <v>38.121365239999967</v>
      </c>
      <c r="F16" s="462">
        <v>48.348653316770971</v>
      </c>
      <c r="G16" s="462">
        <v>46.497987787662872</v>
      </c>
      <c r="H16" s="462">
        <v>50.046953727825112</v>
      </c>
      <c r="I16" s="462">
        <v>51.656242107722399</v>
      </c>
      <c r="J16" s="467"/>
    </row>
    <row r="17" spans="1:10">
      <c r="A17" s="524">
        <v>8</v>
      </c>
      <c r="B17" s="461" t="s">
        <v>327</v>
      </c>
      <c r="C17" s="462">
        <v>49.813000000000002</v>
      </c>
      <c r="D17" s="462">
        <v>36.485391264684054</v>
      </c>
      <c r="E17" s="462">
        <v>30.184510240000002</v>
      </c>
      <c r="F17" s="462">
        <v>35.196301229349189</v>
      </c>
      <c r="G17" s="462">
        <v>35.767024891795494</v>
      </c>
      <c r="H17" s="462">
        <v>39.920368757379123</v>
      </c>
      <c r="I17" s="462">
        <v>41.363704268436955</v>
      </c>
      <c r="J17" s="467"/>
    </row>
    <row r="18" spans="1:10">
      <c r="A18" s="524">
        <v>9</v>
      </c>
      <c r="B18" s="461" t="s">
        <v>411</v>
      </c>
      <c r="C18" s="462">
        <v>17.151</v>
      </c>
      <c r="D18" s="462">
        <v>0</v>
      </c>
      <c r="E18" s="462">
        <v>0</v>
      </c>
      <c r="F18" s="462">
        <v>0</v>
      </c>
      <c r="G18" s="462">
        <v>0</v>
      </c>
      <c r="H18" s="462">
        <v>23.453541948253811</v>
      </c>
      <c r="I18" s="462">
        <v>25.065465511193789</v>
      </c>
      <c r="J18" s="467"/>
    </row>
    <row r="19" spans="1:10">
      <c r="A19" s="524">
        <v>10</v>
      </c>
      <c r="B19" s="461" t="s">
        <v>400</v>
      </c>
      <c r="C19" s="462">
        <v>0</v>
      </c>
      <c r="D19" s="462">
        <v>51.937767246074138</v>
      </c>
      <c r="E19" s="462">
        <v>50.912881599999999</v>
      </c>
      <c r="F19" s="462">
        <v>42.801275247379856</v>
      </c>
      <c r="G19" s="462">
        <v>41.724191500758856</v>
      </c>
      <c r="H19" s="462">
        <v>37.844206905450676</v>
      </c>
      <c r="I19" s="462">
        <v>38.87952876854807</v>
      </c>
      <c r="J19" s="467"/>
    </row>
    <row r="20" spans="1:10">
      <c r="A20" s="524">
        <v>11</v>
      </c>
      <c r="B20" s="461" t="s">
        <v>402</v>
      </c>
      <c r="C20" s="462">
        <v>0</v>
      </c>
      <c r="D20" s="462">
        <v>47.87388</v>
      </c>
      <c r="E20" s="462">
        <v>39.591141223830213</v>
      </c>
      <c r="F20" s="462">
        <v>33.815894699999994</v>
      </c>
      <c r="G20" s="462">
        <v>60.022200000000005</v>
      </c>
      <c r="H20" s="462">
        <v>66.758431999999999</v>
      </c>
      <c r="I20" s="462">
        <v>69.218655479999995</v>
      </c>
      <c r="J20" s="467" t="s">
        <v>521</v>
      </c>
    </row>
    <row r="21" spans="1:10">
      <c r="A21" s="524">
        <v>12</v>
      </c>
      <c r="B21" s="461" t="s">
        <v>328</v>
      </c>
      <c r="C21" s="462">
        <v>0</v>
      </c>
      <c r="D21" s="462">
        <v>5.8158400000000254</v>
      </c>
      <c r="E21" s="462">
        <v>3.3430100000000147</v>
      </c>
      <c r="F21" s="462">
        <v>48.366734299999997</v>
      </c>
      <c r="G21" s="462">
        <v>9.2547300000000003</v>
      </c>
      <c r="H21" s="462">
        <v>24.282</v>
      </c>
      <c r="I21" s="462">
        <v>25.067</v>
      </c>
      <c r="J21" s="467"/>
    </row>
    <row r="22" spans="1:10">
      <c r="A22" s="524">
        <v>13</v>
      </c>
      <c r="B22" s="461" t="s">
        <v>409</v>
      </c>
      <c r="C22" s="462">
        <v>0</v>
      </c>
      <c r="D22" s="462">
        <v>0</v>
      </c>
      <c r="E22" s="462">
        <v>0</v>
      </c>
      <c r="F22" s="462">
        <v>0</v>
      </c>
      <c r="G22" s="462">
        <v>19.442540000000001</v>
      </c>
      <c r="H22" s="462">
        <v>83.789264979645225</v>
      </c>
      <c r="I22" s="462">
        <v>50.003999999999998</v>
      </c>
      <c r="J22" s="467" t="s">
        <v>530</v>
      </c>
    </row>
    <row r="23" spans="1:10">
      <c r="A23" s="524">
        <v>14</v>
      </c>
      <c r="B23" s="461" t="s">
        <v>403</v>
      </c>
      <c r="C23" s="462">
        <v>0</v>
      </c>
      <c r="D23" s="462">
        <v>1.6883499999999996</v>
      </c>
      <c r="E23" s="462">
        <v>2.9148247787176578</v>
      </c>
      <c r="F23" s="462">
        <v>1.6227314999999998</v>
      </c>
      <c r="G23" s="462">
        <v>2.0704300000000004</v>
      </c>
      <c r="H23" s="462">
        <v>29.020448000000002</v>
      </c>
      <c r="I23" s="462">
        <v>29.927825219999999</v>
      </c>
      <c r="J23" s="467" t="s">
        <v>521</v>
      </c>
    </row>
    <row r="24" spans="1:10">
      <c r="A24" s="524">
        <v>15</v>
      </c>
      <c r="B24" s="461" t="s">
        <v>574</v>
      </c>
      <c r="C24" s="462">
        <v>0</v>
      </c>
      <c r="D24" s="462">
        <v>0</v>
      </c>
      <c r="E24" s="462">
        <v>0</v>
      </c>
      <c r="F24" s="462">
        <v>0</v>
      </c>
      <c r="G24" s="462">
        <v>0</v>
      </c>
      <c r="H24" s="462">
        <v>-7.12</v>
      </c>
      <c r="I24" s="462">
        <v>-10.68</v>
      </c>
      <c r="J24" s="467" t="s">
        <v>575</v>
      </c>
    </row>
    <row r="25" spans="1:10">
      <c r="A25" s="524">
        <v>16</v>
      </c>
      <c r="B25" s="461" t="s">
        <v>388</v>
      </c>
      <c r="C25" s="462">
        <v>0</v>
      </c>
      <c r="D25" s="462">
        <v>-1.0929400000000464</v>
      </c>
      <c r="E25" s="462">
        <v>-26.596422991593681</v>
      </c>
      <c r="F25" s="462">
        <v>-0.56377792616596156</v>
      </c>
      <c r="G25" s="462">
        <v>12.100355500000051</v>
      </c>
      <c r="H25" s="462">
        <v>0</v>
      </c>
      <c r="I25" s="462">
        <v>1.474</v>
      </c>
      <c r="J25" s="467"/>
    </row>
    <row r="26" spans="1:10">
      <c r="A26" s="524">
        <v>17</v>
      </c>
      <c r="B26" s="461" t="s">
        <v>395</v>
      </c>
      <c r="C26" s="462">
        <v>0</v>
      </c>
      <c r="D26" s="462">
        <v>14.338098399194122</v>
      </c>
      <c r="E26" s="462">
        <v>31.136697560401888</v>
      </c>
      <c r="F26" s="462">
        <v>25.197325884626849</v>
      </c>
      <c r="G26" s="462">
        <v>33.134870811288756</v>
      </c>
      <c r="H26" s="462">
        <v>33.129477309906356</v>
      </c>
      <c r="I26" s="462">
        <v>32.72714909526735</v>
      </c>
      <c r="J26" s="467"/>
    </row>
    <row r="27" spans="1:10">
      <c r="A27" s="524">
        <v>18</v>
      </c>
      <c r="B27" s="461" t="s">
        <v>577</v>
      </c>
      <c r="C27" s="462">
        <v>11.093999999999999</v>
      </c>
      <c r="D27" s="462">
        <v>0</v>
      </c>
      <c r="E27" s="462">
        <v>0</v>
      </c>
      <c r="F27" s="462">
        <v>0</v>
      </c>
      <c r="G27" s="462">
        <v>0</v>
      </c>
      <c r="H27" s="462">
        <v>0</v>
      </c>
      <c r="I27" s="462">
        <v>0</v>
      </c>
      <c r="J27" s="467"/>
    </row>
    <row r="28" spans="1:10">
      <c r="A28" s="524">
        <v>19</v>
      </c>
      <c r="B28" s="461" t="s">
        <v>578</v>
      </c>
      <c r="C28" s="462">
        <v>3.8540000000000001</v>
      </c>
      <c r="D28" s="462">
        <v>0</v>
      </c>
      <c r="E28" s="462">
        <v>0</v>
      </c>
      <c r="F28" s="462">
        <v>0</v>
      </c>
      <c r="G28" s="462">
        <v>0</v>
      </c>
      <c r="H28" s="462">
        <v>0</v>
      </c>
      <c r="I28" s="462">
        <v>0</v>
      </c>
      <c r="J28" s="467"/>
    </row>
    <row r="29" spans="1:10">
      <c r="A29" s="524">
        <v>20</v>
      </c>
      <c r="B29" s="461" t="s">
        <v>407</v>
      </c>
      <c r="C29" s="462">
        <v>6.1680000000000001</v>
      </c>
      <c r="D29" s="462">
        <v>0</v>
      </c>
      <c r="E29" s="462">
        <v>6</v>
      </c>
      <c r="F29" s="462">
        <v>0</v>
      </c>
      <c r="G29" s="462">
        <v>0</v>
      </c>
      <c r="H29" s="462">
        <v>7.5</v>
      </c>
      <c r="I29" s="462">
        <v>7.6574999999999998</v>
      </c>
      <c r="J29" s="467"/>
    </row>
    <row r="30" spans="1:10">
      <c r="A30" s="524">
        <v>21</v>
      </c>
      <c r="B30" s="464" t="s">
        <v>576</v>
      </c>
      <c r="C30" s="465">
        <f>SUM(C10:C29)</f>
        <v>453.505</v>
      </c>
      <c r="D30" s="465">
        <f t="shared" ref="D30:I30" si="0">SUM(D10:D29)</f>
        <v>696.81288624786123</v>
      </c>
      <c r="E30" s="465">
        <f t="shared" si="0"/>
        <v>640.94224999999983</v>
      </c>
      <c r="F30" s="465">
        <f t="shared" si="0"/>
        <v>739.35733000000005</v>
      </c>
      <c r="G30" s="465">
        <f t="shared" si="0"/>
        <v>894.76724616206923</v>
      </c>
      <c r="H30" s="465">
        <f t="shared" si="0"/>
        <v>1142.819839044424</v>
      </c>
      <c r="I30" s="465">
        <f t="shared" si="0"/>
        <v>1085.1786644439712</v>
      </c>
      <c r="J30" s="467"/>
    </row>
    <row r="31" spans="1:10">
      <c r="A31" s="526"/>
      <c r="B31" s="464" t="s">
        <v>538</v>
      </c>
      <c r="C31" s="527"/>
      <c r="D31" s="528">
        <f>D30-C30</f>
        <v>243.30788624786123</v>
      </c>
      <c r="E31" s="528">
        <f t="shared" ref="E31:I31" si="1">E30-D30</f>
        <v>-55.870636247861398</v>
      </c>
      <c r="F31" s="528">
        <f t="shared" si="1"/>
        <v>98.415080000000216</v>
      </c>
      <c r="G31" s="528">
        <f t="shared" si="1"/>
        <v>155.40991616206918</v>
      </c>
      <c r="H31" s="528">
        <f t="shared" si="1"/>
        <v>248.05259288235482</v>
      </c>
      <c r="I31" s="528">
        <f t="shared" si="1"/>
        <v>-57.641174600452814</v>
      </c>
      <c r="J31" s="475"/>
    </row>
    <row r="32" spans="1:10">
      <c r="A32" s="460"/>
      <c r="B32" s="461" t="s">
        <v>581</v>
      </c>
      <c r="C32" s="461"/>
      <c r="D32" s="461"/>
      <c r="E32" s="461"/>
      <c r="F32" s="461"/>
      <c r="G32" s="461"/>
      <c r="H32" s="461"/>
      <c r="I32" s="461"/>
      <c r="J32" s="460"/>
    </row>
    <row r="33" spans="1:10">
      <c r="A33" s="460"/>
      <c r="B33" s="461" t="s">
        <v>582</v>
      </c>
      <c r="C33" s="461"/>
      <c r="D33" s="461"/>
      <c r="E33" s="461"/>
      <c r="F33" s="461"/>
      <c r="G33" s="461"/>
      <c r="H33" s="461"/>
      <c r="I33" s="461"/>
      <c r="J33" s="460"/>
    </row>
    <row r="34" spans="1:10">
      <c r="A34" s="460"/>
      <c r="B34" s="461" t="s">
        <v>583</v>
      </c>
      <c r="C34" s="461"/>
      <c r="D34" s="461"/>
      <c r="E34" s="461"/>
      <c r="F34" s="461"/>
      <c r="G34" s="461"/>
      <c r="H34" s="461"/>
      <c r="I34" s="461"/>
      <c r="J34" s="460"/>
    </row>
  </sheetData>
  <sheetProtection sheet="1" objects="1" scenarios="1"/>
  <mergeCells count="3">
    <mergeCell ref="A4:J4"/>
    <mergeCell ref="A5:J5"/>
    <mergeCell ref="A6:J6"/>
  </mergeCells>
  <pageMargins left="0.7" right="0.7" top="0.75" bottom="0.75" header="0.3" footer="0.3"/>
  <pageSetup scale="76" orientation="landscape" r:id="rId1"/>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6"/>
  <sheetViews>
    <sheetView showGridLines="0" topLeftCell="B1" zoomScale="110" zoomScaleNormal="110" workbookViewId="0">
      <selection activeCell="B8" sqref="A8:XFD8"/>
    </sheetView>
  </sheetViews>
  <sheetFormatPr defaultColWidth="9.42578125" defaultRowHeight="14.25"/>
  <cols>
    <col min="1" max="1" width="11.42578125" style="508" hidden="1" customWidth="1"/>
    <col min="2" max="2" width="33.5703125" style="508" customWidth="1"/>
    <col min="3" max="8" width="13.5703125" style="508" customWidth="1"/>
    <col min="9" max="9" width="13.28515625" style="508" bestFit="1" customWidth="1"/>
    <col min="10" max="12" width="13.5703125" style="508" customWidth="1"/>
    <col min="13" max="13" width="9.42578125" style="508"/>
    <col min="14" max="14" width="21.140625" style="508" bestFit="1" customWidth="1"/>
    <col min="15" max="20" width="9.42578125" style="508"/>
    <col min="21" max="21" width="9.42578125" style="508" hidden="1" customWidth="1"/>
    <col min="22" max="16384" width="9.42578125" style="508"/>
  </cols>
  <sheetData>
    <row r="1" spans="1:12">
      <c r="I1" s="190" t="str">
        <f>OEBFILE</f>
        <v>EB-2024-0130</v>
      </c>
    </row>
    <row r="2" spans="1:12">
      <c r="I2" s="190" t="s">
        <v>281</v>
      </c>
    </row>
    <row r="3" spans="1:12">
      <c r="I3" s="191">
        <f>'5B_Capital Structure'!O3</f>
        <v>45491</v>
      </c>
    </row>
    <row r="4" spans="1:12" ht="18">
      <c r="A4" s="609" t="s">
        <v>340</v>
      </c>
      <c r="B4" s="609"/>
      <c r="C4" s="609"/>
      <c r="D4" s="609"/>
      <c r="E4" s="609"/>
      <c r="F4" s="609"/>
      <c r="G4" s="609"/>
      <c r="H4" s="609"/>
      <c r="I4" s="609"/>
      <c r="J4" s="309"/>
      <c r="K4" s="309"/>
      <c r="L4" s="309"/>
    </row>
    <row r="5" spans="1:12" ht="18">
      <c r="A5" s="609" t="s">
        <v>120</v>
      </c>
      <c r="B5" s="609"/>
      <c r="C5" s="609"/>
      <c r="D5" s="609"/>
      <c r="E5" s="609"/>
      <c r="F5" s="609"/>
      <c r="G5" s="609"/>
      <c r="H5" s="609"/>
      <c r="I5" s="609"/>
      <c r="J5" s="309"/>
      <c r="K5" s="309"/>
      <c r="L5" s="309"/>
    </row>
    <row r="6" spans="1:12" s="108" customFormat="1">
      <c r="K6" s="508"/>
    </row>
    <row r="7" spans="1:12" s="509" customFormat="1" ht="38.25" customHeight="1">
      <c r="A7" s="503" t="s">
        <v>121</v>
      </c>
      <c r="B7" s="503" t="s">
        <v>122</v>
      </c>
      <c r="C7" s="507" t="s">
        <v>510</v>
      </c>
      <c r="D7" s="507" t="s">
        <v>486</v>
      </c>
      <c r="E7" s="507" t="s">
        <v>487</v>
      </c>
      <c r="F7" s="507" t="s">
        <v>488</v>
      </c>
      <c r="G7" s="507" t="s">
        <v>489</v>
      </c>
      <c r="H7" s="507" t="s">
        <v>490</v>
      </c>
      <c r="I7" s="507" t="s">
        <v>509</v>
      </c>
    </row>
    <row r="8" spans="1:12" hidden="1">
      <c r="A8" s="504"/>
      <c r="B8" s="109" t="s">
        <v>0</v>
      </c>
      <c r="C8" s="5" t="s">
        <v>93</v>
      </c>
      <c r="D8" s="5" t="s">
        <v>93</v>
      </c>
      <c r="E8" s="5" t="s">
        <v>93</v>
      </c>
      <c r="F8" s="5" t="s">
        <v>93</v>
      </c>
      <c r="G8" s="5" t="s">
        <v>93</v>
      </c>
      <c r="H8" s="5" t="s">
        <v>93</v>
      </c>
      <c r="I8" s="5" t="s">
        <v>93</v>
      </c>
    </row>
    <row r="9" spans="1:12">
      <c r="A9" s="505"/>
      <c r="B9" s="110" t="s">
        <v>332</v>
      </c>
      <c r="C9" s="510">
        <v>17880</v>
      </c>
      <c r="D9" s="511">
        <v>15052</v>
      </c>
      <c r="E9" s="511">
        <v>31480</v>
      </c>
      <c r="F9" s="511">
        <v>42394</v>
      </c>
      <c r="G9" s="511">
        <v>58295</v>
      </c>
      <c r="H9" s="511">
        <v>36940</v>
      </c>
      <c r="I9" s="511">
        <v>36940</v>
      </c>
    </row>
    <row r="10" spans="1:12">
      <c r="A10" s="505"/>
      <c r="B10" s="110" t="s">
        <v>333</v>
      </c>
      <c r="C10" s="510"/>
      <c r="D10" s="511"/>
      <c r="E10" s="511"/>
      <c r="F10" s="511"/>
      <c r="G10" s="511"/>
      <c r="H10" s="511"/>
      <c r="I10" s="511"/>
    </row>
    <row r="11" spans="1:12">
      <c r="A11" s="505"/>
      <c r="B11" s="110" t="s">
        <v>334</v>
      </c>
      <c r="C11" s="510">
        <v>3060</v>
      </c>
      <c r="D11" s="511">
        <v>1560</v>
      </c>
      <c r="E11" s="511">
        <v>2660</v>
      </c>
      <c r="F11" s="511">
        <v>3280</v>
      </c>
      <c r="G11" s="511">
        <v>3235</v>
      </c>
      <c r="H11" s="511">
        <v>2976</v>
      </c>
      <c r="I11" s="511">
        <v>2976</v>
      </c>
    </row>
    <row r="12" spans="1:12">
      <c r="A12" s="505"/>
      <c r="B12" s="110" t="s">
        <v>335</v>
      </c>
      <c r="C12" s="510">
        <v>36015</v>
      </c>
      <c r="D12" s="511">
        <v>24841</v>
      </c>
      <c r="E12" s="511">
        <v>40171</v>
      </c>
      <c r="F12" s="511">
        <v>34495</v>
      </c>
      <c r="G12" s="511">
        <v>26350</v>
      </c>
      <c r="H12" s="511">
        <v>37332</v>
      </c>
      <c r="I12" s="511">
        <v>37332</v>
      </c>
    </row>
    <row r="13" spans="1:12">
      <c r="A13" s="506"/>
      <c r="B13" s="110" t="s">
        <v>336</v>
      </c>
      <c r="C13" s="510"/>
      <c r="D13" s="511"/>
      <c r="E13" s="511"/>
      <c r="F13" s="511"/>
      <c r="G13" s="511"/>
      <c r="H13" s="511"/>
      <c r="I13" s="511"/>
    </row>
    <row r="14" spans="1:12">
      <c r="A14" s="505"/>
      <c r="B14" s="110" t="s">
        <v>337</v>
      </c>
      <c r="C14" s="510">
        <v>90823</v>
      </c>
      <c r="D14" s="511">
        <v>9591</v>
      </c>
      <c r="E14" s="511">
        <v>31078</v>
      </c>
      <c r="F14" s="511">
        <v>31200</v>
      </c>
      <c r="G14" s="511">
        <v>31661</v>
      </c>
      <c r="H14" s="511">
        <v>31140</v>
      </c>
      <c r="I14" s="511">
        <v>31140</v>
      </c>
    </row>
    <row r="15" spans="1:12" ht="15">
      <c r="A15" s="640" t="s">
        <v>6</v>
      </c>
      <c r="B15" s="640"/>
      <c r="C15" s="512">
        <f>SUM(C9:C14)</f>
        <v>147778</v>
      </c>
      <c r="D15" s="512">
        <f>SUM(D9:D14)</f>
        <v>51044</v>
      </c>
      <c r="E15" s="512">
        <f>SUM(E9:E14)</f>
        <v>105389</v>
      </c>
      <c r="F15" s="512">
        <f t="shared" ref="F15:I15" si="0">SUM(F9:F14)</f>
        <v>111369</v>
      </c>
      <c r="G15" s="512">
        <f t="shared" si="0"/>
        <v>119541</v>
      </c>
      <c r="H15" s="512">
        <f t="shared" si="0"/>
        <v>108388</v>
      </c>
      <c r="I15" s="512">
        <f t="shared" si="0"/>
        <v>108388</v>
      </c>
    </row>
    <row r="18" spans="1:7" ht="15" customHeight="1"/>
    <row r="19" spans="1:7" ht="15" customHeight="1"/>
    <row r="20" spans="1:7" ht="15" customHeight="1">
      <c r="B20" s="513"/>
      <c r="C20" s="514"/>
      <c r="D20" s="515"/>
      <c r="E20" s="516"/>
      <c r="F20" s="517"/>
    </row>
    <row r="21" spans="1:7" ht="26.25" customHeight="1">
      <c r="A21" s="516"/>
      <c r="B21" s="513"/>
      <c r="C21" s="514"/>
      <c r="D21" s="515"/>
      <c r="E21" s="518"/>
      <c r="F21" s="517"/>
      <c r="G21" s="517"/>
    </row>
    <row r="22" spans="1:7">
      <c r="A22" s="516"/>
      <c r="B22" s="513"/>
      <c r="C22" s="514"/>
      <c r="D22" s="515"/>
      <c r="E22" s="516"/>
      <c r="F22" s="517"/>
      <c r="G22" s="517"/>
    </row>
    <row r="23" spans="1:7">
      <c r="A23" s="516"/>
      <c r="B23" s="513"/>
      <c r="C23" s="514"/>
      <c r="D23" s="515"/>
      <c r="E23" s="516"/>
      <c r="F23" s="517"/>
      <c r="G23" s="517"/>
    </row>
    <row r="24" spans="1:7">
      <c r="A24" s="516"/>
      <c r="B24" s="513"/>
      <c r="C24" s="519"/>
      <c r="D24" s="515"/>
      <c r="E24" s="518"/>
      <c r="F24" s="517"/>
      <c r="G24" s="517"/>
    </row>
    <row r="25" spans="1:7">
      <c r="A25" s="516"/>
      <c r="B25" s="513"/>
      <c r="C25" s="514"/>
      <c r="D25" s="515"/>
      <c r="E25" s="516"/>
      <c r="F25" s="517"/>
      <c r="G25" s="517"/>
    </row>
    <row r="26" spans="1:7" ht="12.75" customHeight="1">
      <c r="A26" s="516"/>
      <c r="B26" s="513"/>
      <c r="C26" s="514"/>
      <c r="D26" s="515"/>
      <c r="E26" s="516"/>
      <c r="F26" s="517"/>
      <c r="G26" s="517"/>
    </row>
    <row r="28" spans="1:7" ht="15" customHeight="1"/>
    <row r="46" ht="30.6" customHeight="1"/>
    <row r="47" ht="43.5" customHeight="1"/>
    <row r="48" ht="47.45" customHeight="1"/>
    <row r="50" ht="15" hidden="1" customHeight="1"/>
    <row r="51" ht="15" hidden="1" customHeight="1"/>
    <row r="52" hidden="1"/>
    <row r="53" hidden="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75" hidden="1" customHeight="1" thickBot="1"/>
    <row r="63" ht="15.75" hidden="1" customHeight="1" thickBot="1"/>
    <row r="64" hidden="1"/>
    <row r="65" ht="15" hidden="1" customHeight="1"/>
    <row r="66" hidden="1"/>
    <row r="67" hidden="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75" hidden="1" customHeight="1" thickBot="1"/>
    <row r="77" ht="15.75" hidden="1" customHeight="1" thickBot="1"/>
    <row r="78" hidden="1"/>
    <row r="79" ht="15" hidden="1" customHeight="1"/>
    <row r="80" hidden="1"/>
    <row r="81" hidden="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75" hidden="1" customHeight="1" thickBot="1"/>
    <row r="91" ht="15.75" hidden="1" customHeight="1" thickBot="1"/>
    <row r="92" hidden="1"/>
    <row r="93" ht="15" hidden="1" customHeight="1"/>
    <row r="94" hidden="1"/>
    <row r="95" hidden="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75" hidden="1" customHeight="1" thickBot="1"/>
    <row r="105" ht="15.75" hidden="1" customHeight="1" thickBot="1"/>
    <row r="106" hidden="1"/>
    <row r="107" ht="15" hidden="1" customHeight="1"/>
    <row r="108" hidden="1"/>
    <row r="109" hidden="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75" hidden="1" customHeight="1" thickBot="1"/>
    <row r="119" ht="15.75" hidden="1" customHeight="1" thickBot="1"/>
    <row r="120" hidden="1"/>
    <row r="121" ht="15" hidden="1" customHeight="1"/>
    <row r="122" hidden="1"/>
    <row r="123" hidden="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75" hidden="1" customHeight="1" thickBot="1"/>
    <row r="133" ht="15.75" hidden="1" customHeight="1" thickBot="1"/>
    <row r="134" hidden="1"/>
    <row r="135" ht="15" hidden="1" customHeight="1"/>
    <row r="136" hidden="1"/>
    <row r="137" hidden="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75" hidden="1" customHeight="1" thickBot="1"/>
    <row r="147" ht="15.75" hidden="1" customHeight="1" thickBot="1"/>
    <row r="148" hidden="1"/>
    <row r="149" ht="15" hidden="1" customHeight="1"/>
    <row r="150" hidden="1"/>
    <row r="151" hidden="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75" hidden="1" customHeight="1" thickBot="1"/>
    <row r="161" ht="15.75" hidden="1" customHeight="1" thickBot="1"/>
    <row r="162" hidden="1"/>
    <row r="163" ht="15" hidden="1" customHeight="1"/>
    <row r="164" hidden="1"/>
    <row r="165" hidden="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75" hidden="1" customHeight="1" thickBot="1"/>
    <row r="175" ht="15.75" hidden="1" customHeight="1" thickBot="1"/>
    <row r="176" hidden="1"/>
    <row r="177" ht="15" hidden="1" customHeight="1"/>
    <row r="178" hidden="1"/>
    <row r="179" hidden="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75" hidden="1" customHeight="1" thickBot="1"/>
    <row r="189" ht="15.75" hidden="1" customHeight="1" thickBot="1"/>
    <row r="190" hidden="1"/>
    <row r="191" ht="15" hidden="1" customHeight="1"/>
    <row r="192" hidden="1"/>
    <row r="193" hidden="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75" hidden="1" customHeight="1" thickBot="1"/>
    <row r="203" ht="15.75" hidden="1" customHeight="1" thickBot="1"/>
    <row r="204" hidden="1"/>
    <row r="205" ht="15" hidden="1" customHeight="1"/>
    <row r="206" hidden="1"/>
    <row r="207" hidden="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75" hidden="1" customHeight="1" thickBot="1"/>
    <row r="217" ht="15.75" hidden="1" customHeight="1" thickBot="1"/>
    <row r="218" hidden="1"/>
    <row r="219" ht="15" hidden="1" customHeight="1"/>
    <row r="220" hidden="1"/>
    <row r="221" hidden="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75" hidden="1" customHeight="1" thickBot="1"/>
    <row r="231" ht="15.75" hidden="1" customHeight="1" thickBot="1"/>
    <row r="232" hidden="1"/>
    <row r="233" ht="15" hidden="1" customHeight="1"/>
    <row r="234" hidden="1"/>
    <row r="235" hidden="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75" hidden="1" customHeight="1" thickBot="1"/>
    <row r="245" ht="15.75" hidden="1" customHeight="1" thickBot="1"/>
    <row r="246" hidden="1"/>
    <row r="247" ht="15" hidden="1" customHeight="1"/>
    <row r="248" hidden="1"/>
    <row r="249" hidden="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75" hidden="1" customHeight="1" thickBot="1"/>
    <row r="259" ht="15.75" hidden="1" customHeight="1" thickBot="1"/>
    <row r="260" hidden="1"/>
    <row r="261" ht="15" hidden="1" customHeight="1"/>
    <row r="262" hidden="1"/>
    <row r="263" hidden="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75" hidden="1" customHeight="1" thickBot="1"/>
    <row r="273" ht="15.75" hidden="1" customHeight="1" thickBot="1"/>
    <row r="274" hidden="1"/>
    <row r="275" ht="15" hidden="1" customHeight="1"/>
    <row r="276" hidden="1"/>
    <row r="277" hidden="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75" hidden="1" customHeight="1" thickBot="1"/>
    <row r="287" ht="15.75" hidden="1" customHeight="1" thickBot="1"/>
    <row r="288" hidden="1"/>
    <row r="289" ht="15" hidden="1" customHeight="1"/>
    <row r="290" hidden="1"/>
    <row r="291" hidden="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75" hidden="1" customHeight="1" thickBot="1"/>
    <row r="301" ht="15.75" hidden="1" customHeight="1" thickBot="1"/>
    <row r="302" hidden="1"/>
    <row r="303" ht="15" hidden="1" customHeight="1"/>
    <row r="304" hidden="1"/>
    <row r="305" hidden="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75" hidden="1" customHeight="1" thickBot="1"/>
    <row r="315" ht="15.75" hidden="1" customHeight="1" thickBot="1"/>
    <row r="316" hidden="1"/>
    <row r="317" ht="15" hidden="1" customHeight="1"/>
    <row r="318" hidden="1"/>
    <row r="319" hidden="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75" hidden="1" customHeight="1" thickBot="1"/>
    <row r="329" ht="15.75" hidden="1" customHeight="1" thickBot="1"/>
    <row r="330" hidden="1"/>
    <row r="331" ht="15" hidden="1" customHeight="1"/>
    <row r="332" hidden="1"/>
    <row r="333" hidden="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75" hidden="1" customHeight="1" thickBot="1"/>
    <row r="343" ht="15.75" hidden="1" customHeight="1" thickBot="1"/>
    <row r="344" hidden="1"/>
    <row r="345" ht="15" hidden="1" customHeight="1"/>
    <row r="346" hidden="1"/>
    <row r="347" hidden="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75" hidden="1" customHeight="1" thickBot="1"/>
    <row r="357" ht="15.75" hidden="1" customHeight="1" thickBot="1"/>
    <row r="358" hidden="1"/>
    <row r="359" ht="15" hidden="1" customHeight="1"/>
    <row r="360" hidden="1"/>
    <row r="361" hidden="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75" hidden="1" customHeight="1" thickBot="1"/>
    <row r="371" ht="15.75" hidden="1" customHeight="1" thickBot="1"/>
    <row r="372" hidden="1"/>
    <row r="373" ht="15" hidden="1" customHeight="1"/>
    <row r="374" hidden="1"/>
    <row r="375" hidden="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75" hidden="1" customHeight="1" thickBot="1"/>
    <row r="385" ht="15.75" hidden="1" customHeight="1" thickBot="1"/>
    <row r="386" hidden="1"/>
    <row r="387" ht="15" hidden="1" customHeight="1"/>
    <row r="388" hidden="1"/>
    <row r="389" hidden="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75" hidden="1" customHeight="1" thickBot="1"/>
    <row r="399" ht="15.75" hidden="1" customHeight="1" thickBot="1"/>
    <row r="400" hidden="1"/>
    <row r="401" ht="15" hidden="1" customHeight="1"/>
    <row r="402" hidden="1"/>
    <row r="403" hidden="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75" hidden="1" customHeight="1" thickBot="1"/>
    <row r="413" ht="15.75" hidden="1" customHeight="1" thickBot="1"/>
    <row r="414" hidden="1"/>
    <row r="415" ht="15" hidden="1" customHeight="1"/>
    <row r="416" hidden="1"/>
    <row r="417" hidden="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75" hidden="1" customHeight="1" thickBot="1"/>
    <row r="427" ht="15.75" hidden="1" customHeight="1" thickBot="1"/>
    <row r="428" hidden="1"/>
    <row r="429" ht="15" hidden="1" customHeight="1"/>
    <row r="430" hidden="1"/>
    <row r="431" hidden="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75" hidden="1" customHeight="1" thickBot="1"/>
    <row r="441" ht="15.75" hidden="1" customHeight="1" thickBot="1"/>
    <row r="442" hidden="1"/>
    <row r="443" ht="15" hidden="1" customHeight="1"/>
    <row r="444" hidden="1"/>
    <row r="445" hidden="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75" hidden="1" customHeight="1" thickBot="1"/>
    <row r="455" ht="15.75" hidden="1" customHeight="1" thickBot="1"/>
    <row r="456" hidden="1"/>
    <row r="457" ht="15" hidden="1" customHeight="1"/>
    <row r="458" hidden="1"/>
    <row r="459" hidden="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75" hidden="1" customHeight="1" thickBot="1"/>
    <row r="469" ht="15.75" hidden="1" customHeight="1" thickBot="1"/>
    <row r="470" hidden="1"/>
    <row r="471" ht="15" hidden="1" customHeight="1"/>
    <row r="472" hidden="1"/>
    <row r="473" hidden="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75" hidden="1" customHeight="1" thickBot="1"/>
    <row r="483" ht="15.75" hidden="1" customHeight="1" thickBot="1"/>
    <row r="484" hidden="1"/>
    <row r="485" ht="15" hidden="1" customHeight="1"/>
    <row r="486" hidden="1"/>
    <row r="487" hidden="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75" hidden="1" customHeight="1" thickBot="1"/>
    <row r="497" ht="15.75" hidden="1" customHeight="1" thickBot="1"/>
    <row r="498" hidden="1"/>
    <row r="499" ht="15" hidden="1" customHeight="1"/>
    <row r="500" hidden="1"/>
    <row r="501" hidden="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75" hidden="1" customHeight="1" thickBot="1"/>
    <row r="511" ht="15.75" hidden="1" customHeight="1" thickBot="1"/>
    <row r="512" hidden="1"/>
    <row r="513" ht="15" hidden="1" customHeight="1"/>
    <row r="514" hidden="1"/>
    <row r="515" hidden="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75" hidden="1" customHeight="1" thickBot="1"/>
    <row r="525" ht="15.75" hidden="1" customHeight="1" thickBot="1"/>
    <row r="526" hidden="1"/>
  </sheetData>
  <sheetProtection sheet="1" objects="1" scenarios="1"/>
  <mergeCells count="3">
    <mergeCell ref="A5:I5"/>
    <mergeCell ref="A4:I4"/>
    <mergeCell ref="A15:B15"/>
  </mergeCells>
  <dataValidations disablePrompts="1" count="1">
    <dataValidation type="list" allowBlank="1" showInputMessage="1" showErrorMessage="1" sqref="C8:I8">
      <formula1>"CGAAP, MIFRS, USGAAP, ASPE"</formula1>
    </dataValidation>
  </dataValidations>
  <pageMargins left="0.7" right="0.7" top="0.75" bottom="0.75" header="0.3" footer="0.3"/>
  <pageSetup scale="95" orientation="landscape"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90" zoomScaleNormal="90" workbookViewId="0">
      <selection activeCell="W19" sqref="W19"/>
    </sheetView>
  </sheetViews>
  <sheetFormatPr defaultRowHeight="12.75"/>
  <cols>
    <col min="1" max="1" width="6.42578125" style="15" customWidth="1"/>
    <col min="2" max="2" width="5.5703125" style="15" customWidth="1"/>
    <col min="3" max="3" width="16.5703125" style="15" customWidth="1"/>
    <col min="4" max="4" width="3" style="15" customWidth="1"/>
    <col min="5" max="5" width="11.42578125" style="15" customWidth="1"/>
    <col min="6" max="6" width="1.42578125" style="15" customWidth="1"/>
    <col min="7" max="7" width="3.42578125" style="15" customWidth="1"/>
    <col min="8" max="8" width="1.42578125" style="15" customWidth="1"/>
    <col min="9" max="9" width="13.5703125" style="15" customWidth="1"/>
    <col min="10" max="10" width="3.42578125" style="15" customWidth="1"/>
    <col min="11" max="11" width="12.5703125" style="15" customWidth="1"/>
    <col min="12" max="12" width="1.42578125" style="15" customWidth="1"/>
    <col min="13" max="13" width="3.5703125" style="15" customWidth="1"/>
    <col min="14" max="14" width="1.5703125" style="15" customWidth="1"/>
    <col min="15" max="15" width="14" style="15" customWidth="1"/>
    <col min="16" max="16" width="2.42578125" style="15" customWidth="1"/>
    <col min="17" max="255" width="9.140625" style="15"/>
    <col min="256" max="256" width="2.5703125" style="15" customWidth="1"/>
    <col min="257" max="257" width="6.42578125" style="15" customWidth="1"/>
    <col min="258" max="258" width="3.5703125" style="15" customWidth="1"/>
    <col min="259" max="259" width="16.5703125" style="15" customWidth="1"/>
    <col min="260" max="260" width="3" style="15" customWidth="1"/>
    <col min="261" max="261" width="11.42578125" style="15" customWidth="1"/>
    <col min="262" max="262" width="1.42578125" style="15" customWidth="1"/>
    <col min="263" max="263" width="3.42578125" style="15" customWidth="1"/>
    <col min="264" max="264" width="1.42578125" style="15" customWidth="1"/>
    <col min="265" max="265" width="12.5703125" style="15" customWidth="1"/>
    <col min="266" max="266" width="3.42578125" style="15" customWidth="1"/>
    <col min="267" max="267" width="12.5703125" style="15" customWidth="1"/>
    <col min="268" max="268" width="1.42578125" style="15" customWidth="1"/>
    <col min="269" max="269" width="3.5703125" style="15" customWidth="1"/>
    <col min="270" max="270" width="1.5703125" style="15" customWidth="1"/>
    <col min="271" max="271" width="14" style="15" customWidth="1"/>
    <col min="272" max="272" width="2.42578125" style="15" customWidth="1"/>
    <col min="273" max="511" width="9.140625" style="15"/>
    <col min="512" max="512" width="2.5703125" style="15" customWidth="1"/>
    <col min="513" max="513" width="6.42578125" style="15" customWidth="1"/>
    <col min="514" max="514" width="3.5703125" style="15" customWidth="1"/>
    <col min="515" max="515" width="16.5703125" style="15" customWidth="1"/>
    <col min="516" max="516" width="3" style="15" customWidth="1"/>
    <col min="517" max="517" width="11.42578125" style="15" customWidth="1"/>
    <col min="518" max="518" width="1.42578125" style="15" customWidth="1"/>
    <col min="519" max="519" width="3.42578125" style="15" customWidth="1"/>
    <col min="520" max="520" width="1.42578125" style="15" customWidth="1"/>
    <col min="521" max="521" width="12.5703125" style="15" customWidth="1"/>
    <col min="522" max="522" width="3.42578125" style="15" customWidth="1"/>
    <col min="523" max="523" width="12.5703125" style="15" customWidth="1"/>
    <col min="524" max="524" width="1.42578125" style="15" customWidth="1"/>
    <col min="525" max="525" width="3.5703125" style="15" customWidth="1"/>
    <col min="526" max="526" width="1.5703125" style="15" customWidth="1"/>
    <col min="527" max="527" width="14" style="15" customWidth="1"/>
    <col min="528" max="528" width="2.42578125" style="15" customWidth="1"/>
    <col min="529" max="767" width="9.140625" style="15"/>
    <col min="768" max="768" width="2.5703125" style="15" customWidth="1"/>
    <col min="769" max="769" width="6.42578125" style="15" customWidth="1"/>
    <col min="770" max="770" width="3.5703125" style="15" customWidth="1"/>
    <col min="771" max="771" width="16.5703125" style="15" customWidth="1"/>
    <col min="772" max="772" width="3" style="15" customWidth="1"/>
    <col min="773" max="773" width="11.42578125" style="15" customWidth="1"/>
    <col min="774" max="774" width="1.42578125" style="15" customWidth="1"/>
    <col min="775" max="775" width="3.42578125" style="15" customWidth="1"/>
    <col min="776" max="776" width="1.42578125" style="15" customWidth="1"/>
    <col min="777" max="777" width="12.5703125" style="15" customWidth="1"/>
    <col min="778" max="778" width="3.42578125" style="15" customWidth="1"/>
    <col min="779" max="779" width="12.5703125" style="15" customWidth="1"/>
    <col min="780" max="780" width="1.42578125" style="15" customWidth="1"/>
    <col min="781" max="781" width="3.5703125" style="15" customWidth="1"/>
    <col min="782" max="782" width="1.5703125" style="15" customWidth="1"/>
    <col min="783" max="783" width="14" style="15" customWidth="1"/>
    <col min="784" max="784" width="2.42578125" style="15" customWidth="1"/>
    <col min="785" max="1023" width="9.140625" style="15"/>
    <col min="1024" max="1024" width="2.5703125" style="15" customWidth="1"/>
    <col min="1025" max="1025" width="6.42578125" style="15" customWidth="1"/>
    <col min="1026" max="1026" width="3.5703125" style="15" customWidth="1"/>
    <col min="1027" max="1027" width="16.5703125" style="15" customWidth="1"/>
    <col min="1028" max="1028" width="3" style="15" customWidth="1"/>
    <col min="1029" max="1029" width="11.42578125" style="15" customWidth="1"/>
    <col min="1030" max="1030" width="1.42578125" style="15" customWidth="1"/>
    <col min="1031" max="1031" width="3.42578125" style="15" customWidth="1"/>
    <col min="1032" max="1032" width="1.42578125" style="15" customWidth="1"/>
    <col min="1033" max="1033" width="12.5703125" style="15" customWidth="1"/>
    <col min="1034" max="1034" width="3.42578125" style="15" customWidth="1"/>
    <col min="1035" max="1035" width="12.5703125" style="15" customWidth="1"/>
    <col min="1036" max="1036" width="1.42578125" style="15" customWidth="1"/>
    <col min="1037" max="1037" width="3.5703125" style="15" customWidth="1"/>
    <col min="1038" max="1038" width="1.5703125" style="15" customWidth="1"/>
    <col min="1039" max="1039" width="14" style="15" customWidth="1"/>
    <col min="1040" max="1040" width="2.42578125" style="15" customWidth="1"/>
    <col min="1041" max="1279" width="9.140625" style="15"/>
    <col min="1280" max="1280" width="2.5703125" style="15" customWidth="1"/>
    <col min="1281" max="1281" width="6.42578125" style="15" customWidth="1"/>
    <col min="1282" max="1282" width="3.5703125" style="15" customWidth="1"/>
    <col min="1283" max="1283" width="16.5703125" style="15" customWidth="1"/>
    <col min="1284" max="1284" width="3" style="15" customWidth="1"/>
    <col min="1285" max="1285" width="11.42578125" style="15" customWidth="1"/>
    <col min="1286" max="1286" width="1.42578125" style="15" customWidth="1"/>
    <col min="1287" max="1287" width="3.42578125" style="15" customWidth="1"/>
    <col min="1288" max="1288" width="1.42578125" style="15" customWidth="1"/>
    <col min="1289" max="1289" width="12.5703125" style="15" customWidth="1"/>
    <col min="1290" max="1290" width="3.42578125" style="15" customWidth="1"/>
    <col min="1291" max="1291" width="12.5703125" style="15" customWidth="1"/>
    <col min="1292" max="1292" width="1.42578125" style="15" customWidth="1"/>
    <col min="1293" max="1293" width="3.5703125" style="15" customWidth="1"/>
    <col min="1294" max="1294" width="1.5703125" style="15" customWidth="1"/>
    <col min="1295" max="1295" width="14" style="15" customWidth="1"/>
    <col min="1296" max="1296" width="2.42578125" style="15" customWidth="1"/>
    <col min="1297" max="1535" width="9.140625" style="15"/>
    <col min="1536" max="1536" width="2.5703125" style="15" customWidth="1"/>
    <col min="1537" max="1537" width="6.42578125" style="15" customWidth="1"/>
    <col min="1538" max="1538" width="3.5703125" style="15" customWidth="1"/>
    <col min="1539" max="1539" width="16.5703125" style="15" customWidth="1"/>
    <col min="1540" max="1540" width="3" style="15" customWidth="1"/>
    <col min="1541" max="1541" width="11.42578125" style="15" customWidth="1"/>
    <col min="1542" max="1542" width="1.42578125" style="15" customWidth="1"/>
    <col min="1543" max="1543" width="3.42578125" style="15" customWidth="1"/>
    <col min="1544" max="1544" width="1.42578125" style="15" customWidth="1"/>
    <col min="1545" max="1545" width="12.5703125" style="15" customWidth="1"/>
    <col min="1546" max="1546" width="3.42578125" style="15" customWidth="1"/>
    <col min="1547" max="1547" width="12.5703125" style="15" customWidth="1"/>
    <col min="1548" max="1548" width="1.42578125" style="15" customWidth="1"/>
    <col min="1549" max="1549" width="3.5703125" style="15" customWidth="1"/>
    <col min="1550" max="1550" width="1.5703125" style="15" customWidth="1"/>
    <col min="1551" max="1551" width="14" style="15" customWidth="1"/>
    <col min="1552" max="1552" width="2.42578125" style="15" customWidth="1"/>
    <col min="1553" max="1791" width="9.140625" style="15"/>
    <col min="1792" max="1792" width="2.5703125" style="15" customWidth="1"/>
    <col min="1793" max="1793" width="6.42578125" style="15" customWidth="1"/>
    <col min="1794" max="1794" width="3.5703125" style="15" customWidth="1"/>
    <col min="1795" max="1795" width="16.5703125" style="15" customWidth="1"/>
    <col min="1796" max="1796" width="3" style="15" customWidth="1"/>
    <col min="1797" max="1797" width="11.42578125" style="15" customWidth="1"/>
    <col min="1798" max="1798" width="1.42578125" style="15" customWidth="1"/>
    <col min="1799" max="1799" width="3.42578125" style="15" customWidth="1"/>
    <col min="1800" max="1800" width="1.42578125" style="15" customWidth="1"/>
    <col min="1801" max="1801" width="12.5703125" style="15" customWidth="1"/>
    <col min="1802" max="1802" width="3.42578125" style="15" customWidth="1"/>
    <col min="1803" max="1803" width="12.5703125" style="15" customWidth="1"/>
    <col min="1804" max="1804" width="1.42578125" style="15" customWidth="1"/>
    <col min="1805" max="1805" width="3.5703125" style="15" customWidth="1"/>
    <col min="1806" max="1806" width="1.5703125" style="15" customWidth="1"/>
    <col min="1807" max="1807" width="14" style="15" customWidth="1"/>
    <col min="1808" max="1808" width="2.42578125" style="15" customWidth="1"/>
    <col min="1809" max="2047" width="9.140625" style="15"/>
    <col min="2048" max="2048" width="2.5703125" style="15" customWidth="1"/>
    <col min="2049" max="2049" width="6.42578125" style="15" customWidth="1"/>
    <col min="2050" max="2050" width="3.5703125" style="15" customWidth="1"/>
    <col min="2051" max="2051" width="16.5703125" style="15" customWidth="1"/>
    <col min="2052" max="2052" width="3" style="15" customWidth="1"/>
    <col min="2053" max="2053" width="11.42578125" style="15" customWidth="1"/>
    <col min="2054" max="2054" width="1.42578125" style="15" customWidth="1"/>
    <col min="2055" max="2055" width="3.42578125" style="15" customWidth="1"/>
    <col min="2056" max="2056" width="1.42578125" style="15" customWidth="1"/>
    <col min="2057" max="2057" width="12.5703125" style="15" customWidth="1"/>
    <col min="2058" max="2058" width="3.42578125" style="15" customWidth="1"/>
    <col min="2059" max="2059" width="12.5703125" style="15" customWidth="1"/>
    <col min="2060" max="2060" width="1.42578125" style="15" customWidth="1"/>
    <col min="2061" max="2061" width="3.5703125" style="15" customWidth="1"/>
    <col min="2062" max="2062" width="1.5703125" style="15" customWidth="1"/>
    <col min="2063" max="2063" width="14" style="15" customWidth="1"/>
    <col min="2064" max="2064" width="2.42578125" style="15" customWidth="1"/>
    <col min="2065" max="2303" width="9.140625" style="15"/>
    <col min="2304" max="2304" width="2.5703125" style="15" customWidth="1"/>
    <col min="2305" max="2305" width="6.42578125" style="15" customWidth="1"/>
    <col min="2306" max="2306" width="3.5703125" style="15" customWidth="1"/>
    <col min="2307" max="2307" width="16.5703125" style="15" customWidth="1"/>
    <col min="2308" max="2308" width="3" style="15" customWidth="1"/>
    <col min="2309" max="2309" width="11.42578125" style="15" customWidth="1"/>
    <col min="2310" max="2310" width="1.42578125" style="15" customWidth="1"/>
    <col min="2311" max="2311" width="3.42578125" style="15" customWidth="1"/>
    <col min="2312" max="2312" width="1.42578125" style="15" customWidth="1"/>
    <col min="2313" max="2313" width="12.5703125" style="15" customWidth="1"/>
    <col min="2314" max="2314" width="3.42578125" style="15" customWidth="1"/>
    <col min="2315" max="2315" width="12.5703125" style="15" customWidth="1"/>
    <col min="2316" max="2316" width="1.42578125" style="15" customWidth="1"/>
    <col min="2317" max="2317" width="3.5703125" style="15" customWidth="1"/>
    <col min="2318" max="2318" width="1.5703125" style="15" customWidth="1"/>
    <col min="2319" max="2319" width="14" style="15" customWidth="1"/>
    <col min="2320" max="2320" width="2.42578125" style="15" customWidth="1"/>
    <col min="2321" max="2559" width="9.140625" style="15"/>
    <col min="2560" max="2560" width="2.5703125" style="15" customWidth="1"/>
    <col min="2561" max="2561" width="6.42578125" style="15" customWidth="1"/>
    <col min="2562" max="2562" width="3.5703125" style="15" customWidth="1"/>
    <col min="2563" max="2563" width="16.5703125" style="15" customWidth="1"/>
    <col min="2564" max="2564" width="3" style="15" customWidth="1"/>
    <col min="2565" max="2565" width="11.42578125" style="15" customWidth="1"/>
    <col min="2566" max="2566" width="1.42578125" style="15" customWidth="1"/>
    <col min="2567" max="2567" width="3.42578125" style="15" customWidth="1"/>
    <col min="2568" max="2568" width="1.42578125" style="15" customWidth="1"/>
    <col min="2569" max="2569" width="12.5703125" style="15" customWidth="1"/>
    <col min="2570" max="2570" width="3.42578125" style="15" customWidth="1"/>
    <col min="2571" max="2571" width="12.5703125" style="15" customWidth="1"/>
    <col min="2572" max="2572" width="1.42578125" style="15" customWidth="1"/>
    <col min="2573" max="2573" width="3.5703125" style="15" customWidth="1"/>
    <col min="2574" max="2574" width="1.5703125" style="15" customWidth="1"/>
    <col min="2575" max="2575" width="14" style="15" customWidth="1"/>
    <col min="2576" max="2576" width="2.42578125" style="15" customWidth="1"/>
    <col min="2577" max="2815" width="9.140625" style="15"/>
    <col min="2816" max="2816" width="2.5703125" style="15" customWidth="1"/>
    <col min="2817" max="2817" width="6.42578125" style="15" customWidth="1"/>
    <col min="2818" max="2818" width="3.5703125" style="15" customWidth="1"/>
    <col min="2819" max="2819" width="16.5703125" style="15" customWidth="1"/>
    <col min="2820" max="2820" width="3" style="15" customWidth="1"/>
    <col min="2821" max="2821" width="11.42578125" style="15" customWidth="1"/>
    <col min="2822" max="2822" width="1.42578125" style="15" customWidth="1"/>
    <col min="2823" max="2823" width="3.42578125" style="15" customWidth="1"/>
    <col min="2824" max="2824" width="1.42578125" style="15" customWidth="1"/>
    <col min="2825" max="2825" width="12.5703125" style="15" customWidth="1"/>
    <col min="2826" max="2826" width="3.42578125" style="15" customWidth="1"/>
    <col min="2827" max="2827" width="12.5703125" style="15" customWidth="1"/>
    <col min="2828" max="2828" width="1.42578125" style="15" customWidth="1"/>
    <col min="2829" max="2829" width="3.5703125" style="15" customWidth="1"/>
    <col min="2830" max="2830" width="1.5703125" style="15" customWidth="1"/>
    <col min="2831" max="2831" width="14" style="15" customWidth="1"/>
    <col min="2832" max="2832" width="2.42578125" style="15" customWidth="1"/>
    <col min="2833" max="3071" width="9.140625" style="15"/>
    <col min="3072" max="3072" width="2.5703125" style="15" customWidth="1"/>
    <col min="3073" max="3073" width="6.42578125" style="15" customWidth="1"/>
    <col min="3074" max="3074" width="3.5703125" style="15" customWidth="1"/>
    <col min="3075" max="3075" width="16.5703125" style="15" customWidth="1"/>
    <col min="3076" max="3076" width="3" style="15" customWidth="1"/>
    <col min="3077" max="3077" width="11.42578125" style="15" customWidth="1"/>
    <col min="3078" max="3078" width="1.42578125" style="15" customWidth="1"/>
    <col min="3079" max="3079" width="3.42578125" style="15" customWidth="1"/>
    <col min="3080" max="3080" width="1.42578125" style="15" customWidth="1"/>
    <col min="3081" max="3081" width="12.5703125" style="15" customWidth="1"/>
    <col min="3082" max="3082" width="3.42578125" style="15" customWidth="1"/>
    <col min="3083" max="3083" width="12.5703125" style="15" customWidth="1"/>
    <col min="3084" max="3084" width="1.42578125" style="15" customWidth="1"/>
    <col min="3085" max="3085" width="3.5703125" style="15" customWidth="1"/>
    <col min="3086" max="3086" width="1.5703125" style="15" customWidth="1"/>
    <col min="3087" max="3087" width="14" style="15" customWidth="1"/>
    <col min="3088" max="3088" width="2.42578125" style="15" customWidth="1"/>
    <col min="3089" max="3327" width="9.140625" style="15"/>
    <col min="3328" max="3328" width="2.5703125" style="15" customWidth="1"/>
    <col min="3329" max="3329" width="6.42578125" style="15" customWidth="1"/>
    <col min="3330" max="3330" width="3.5703125" style="15" customWidth="1"/>
    <col min="3331" max="3331" width="16.5703125" style="15" customWidth="1"/>
    <col min="3332" max="3332" width="3" style="15" customWidth="1"/>
    <col min="3333" max="3333" width="11.42578125" style="15" customWidth="1"/>
    <col min="3334" max="3334" width="1.42578125" style="15" customWidth="1"/>
    <col min="3335" max="3335" width="3.42578125" style="15" customWidth="1"/>
    <col min="3336" max="3336" width="1.42578125" style="15" customWidth="1"/>
    <col min="3337" max="3337" width="12.5703125" style="15" customWidth="1"/>
    <col min="3338" max="3338" width="3.42578125" style="15" customWidth="1"/>
    <col min="3339" max="3339" width="12.5703125" style="15" customWidth="1"/>
    <col min="3340" max="3340" width="1.42578125" style="15" customWidth="1"/>
    <col min="3341" max="3341" width="3.5703125" style="15" customWidth="1"/>
    <col min="3342" max="3342" width="1.5703125" style="15" customWidth="1"/>
    <col min="3343" max="3343" width="14" style="15" customWidth="1"/>
    <col min="3344" max="3344" width="2.42578125" style="15" customWidth="1"/>
    <col min="3345" max="3583" width="9.140625" style="15"/>
    <col min="3584" max="3584" width="2.5703125" style="15" customWidth="1"/>
    <col min="3585" max="3585" width="6.42578125" style="15" customWidth="1"/>
    <col min="3586" max="3586" width="3.5703125" style="15" customWidth="1"/>
    <col min="3587" max="3587" width="16.5703125" style="15" customWidth="1"/>
    <col min="3588" max="3588" width="3" style="15" customWidth="1"/>
    <col min="3589" max="3589" width="11.42578125" style="15" customWidth="1"/>
    <col min="3590" max="3590" width="1.42578125" style="15" customWidth="1"/>
    <col min="3591" max="3591" width="3.42578125" style="15" customWidth="1"/>
    <col min="3592" max="3592" width="1.42578125" style="15" customWidth="1"/>
    <col min="3593" max="3593" width="12.5703125" style="15" customWidth="1"/>
    <col min="3594" max="3594" width="3.42578125" style="15" customWidth="1"/>
    <col min="3595" max="3595" width="12.5703125" style="15" customWidth="1"/>
    <col min="3596" max="3596" width="1.42578125" style="15" customWidth="1"/>
    <col min="3597" max="3597" width="3.5703125" style="15" customWidth="1"/>
    <col min="3598" max="3598" width="1.5703125" style="15" customWidth="1"/>
    <col min="3599" max="3599" width="14" style="15" customWidth="1"/>
    <col min="3600" max="3600" width="2.42578125" style="15" customWidth="1"/>
    <col min="3601" max="3839" width="9.140625" style="15"/>
    <col min="3840" max="3840" width="2.5703125" style="15" customWidth="1"/>
    <col min="3841" max="3841" width="6.42578125" style="15" customWidth="1"/>
    <col min="3842" max="3842" width="3.5703125" style="15" customWidth="1"/>
    <col min="3843" max="3843" width="16.5703125" style="15" customWidth="1"/>
    <col min="3844" max="3844" width="3" style="15" customWidth="1"/>
    <col min="3845" max="3845" width="11.42578125" style="15" customWidth="1"/>
    <col min="3846" max="3846" width="1.42578125" style="15" customWidth="1"/>
    <col min="3847" max="3847" width="3.42578125" style="15" customWidth="1"/>
    <col min="3848" max="3848" width="1.42578125" style="15" customWidth="1"/>
    <col min="3849" max="3849" width="12.5703125" style="15" customWidth="1"/>
    <col min="3850" max="3850" width="3.42578125" style="15" customWidth="1"/>
    <col min="3851" max="3851" width="12.5703125" style="15" customWidth="1"/>
    <col min="3852" max="3852" width="1.42578125" style="15" customWidth="1"/>
    <col min="3853" max="3853" width="3.5703125" style="15" customWidth="1"/>
    <col min="3854" max="3854" width="1.5703125" style="15" customWidth="1"/>
    <col min="3855" max="3855" width="14" style="15" customWidth="1"/>
    <col min="3856" max="3856" width="2.42578125" style="15" customWidth="1"/>
    <col min="3857" max="4095" width="9.140625" style="15"/>
    <col min="4096" max="4096" width="2.5703125" style="15" customWidth="1"/>
    <col min="4097" max="4097" width="6.42578125" style="15" customWidth="1"/>
    <col min="4098" max="4098" width="3.5703125" style="15" customWidth="1"/>
    <col min="4099" max="4099" width="16.5703125" style="15" customWidth="1"/>
    <col min="4100" max="4100" width="3" style="15" customWidth="1"/>
    <col min="4101" max="4101" width="11.42578125" style="15" customWidth="1"/>
    <col min="4102" max="4102" width="1.42578125" style="15" customWidth="1"/>
    <col min="4103" max="4103" width="3.42578125" style="15" customWidth="1"/>
    <col min="4104" max="4104" width="1.42578125" style="15" customWidth="1"/>
    <col min="4105" max="4105" width="12.5703125" style="15" customWidth="1"/>
    <col min="4106" max="4106" width="3.42578125" style="15" customWidth="1"/>
    <col min="4107" max="4107" width="12.5703125" style="15" customWidth="1"/>
    <col min="4108" max="4108" width="1.42578125" style="15" customWidth="1"/>
    <col min="4109" max="4109" width="3.5703125" style="15" customWidth="1"/>
    <col min="4110" max="4110" width="1.5703125" style="15" customWidth="1"/>
    <col min="4111" max="4111" width="14" style="15" customWidth="1"/>
    <col min="4112" max="4112" width="2.42578125" style="15" customWidth="1"/>
    <col min="4113" max="4351" width="9.140625" style="15"/>
    <col min="4352" max="4352" width="2.5703125" style="15" customWidth="1"/>
    <col min="4353" max="4353" width="6.42578125" style="15" customWidth="1"/>
    <col min="4354" max="4354" width="3.5703125" style="15" customWidth="1"/>
    <col min="4355" max="4355" width="16.5703125" style="15" customWidth="1"/>
    <col min="4356" max="4356" width="3" style="15" customWidth="1"/>
    <col min="4357" max="4357" width="11.42578125" style="15" customWidth="1"/>
    <col min="4358" max="4358" width="1.42578125" style="15" customWidth="1"/>
    <col min="4359" max="4359" width="3.42578125" style="15" customWidth="1"/>
    <col min="4360" max="4360" width="1.42578125" style="15" customWidth="1"/>
    <col min="4361" max="4361" width="12.5703125" style="15" customWidth="1"/>
    <col min="4362" max="4362" width="3.42578125" style="15" customWidth="1"/>
    <col min="4363" max="4363" width="12.5703125" style="15" customWidth="1"/>
    <col min="4364" max="4364" width="1.42578125" style="15" customWidth="1"/>
    <col min="4365" max="4365" width="3.5703125" style="15" customWidth="1"/>
    <col min="4366" max="4366" width="1.5703125" style="15" customWidth="1"/>
    <col min="4367" max="4367" width="14" style="15" customWidth="1"/>
    <col min="4368" max="4368" width="2.42578125" style="15" customWidth="1"/>
    <col min="4369" max="4607" width="9.140625" style="15"/>
    <col min="4608" max="4608" width="2.5703125" style="15" customWidth="1"/>
    <col min="4609" max="4609" width="6.42578125" style="15" customWidth="1"/>
    <col min="4610" max="4610" width="3.5703125" style="15" customWidth="1"/>
    <col min="4611" max="4611" width="16.5703125" style="15" customWidth="1"/>
    <col min="4612" max="4612" width="3" style="15" customWidth="1"/>
    <col min="4613" max="4613" width="11.42578125" style="15" customWidth="1"/>
    <col min="4614" max="4614" width="1.42578125" style="15" customWidth="1"/>
    <col min="4615" max="4615" width="3.42578125" style="15" customWidth="1"/>
    <col min="4616" max="4616" width="1.42578125" style="15" customWidth="1"/>
    <col min="4617" max="4617" width="12.5703125" style="15" customWidth="1"/>
    <col min="4618" max="4618" width="3.42578125" style="15" customWidth="1"/>
    <col min="4619" max="4619" width="12.5703125" style="15" customWidth="1"/>
    <col min="4620" max="4620" width="1.42578125" style="15" customWidth="1"/>
    <col min="4621" max="4621" width="3.5703125" style="15" customWidth="1"/>
    <col min="4622" max="4622" width="1.5703125" style="15" customWidth="1"/>
    <col min="4623" max="4623" width="14" style="15" customWidth="1"/>
    <col min="4624" max="4624" width="2.42578125" style="15" customWidth="1"/>
    <col min="4625" max="4863" width="9.140625" style="15"/>
    <col min="4864" max="4864" width="2.5703125" style="15" customWidth="1"/>
    <col min="4865" max="4865" width="6.42578125" style="15" customWidth="1"/>
    <col min="4866" max="4866" width="3.5703125" style="15" customWidth="1"/>
    <col min="4867" max="4867" width="16.5703125" style="15" customWidth="1"/>
    <col min="4868" max="4868" width="3" style="15" customWidth="1"/>
    <col min="4869" max="4869" width="11.42578125" style="15" customWidth="1"/>
    <col min="4870" max="4870" width="1.42578125" style="15" customWidth="1"/>
    <col min="4871" max="4871" width="3.42578125" style="15" customWidth="1"/>
    <col min="4872" max="4872" width="1.42578125" style="15" customWidth="1"/>
    <col min="4873" max="4873" width="12.5703125" style="15" customWidth="1"/>
    <col min="4874" max="4874" width="3.42578125" style="15" customWidth="1"/>
    <col min="4875" max="4875" width="12.5703125" style="15" customWidth="1"/>
    <col min="4876" max="4876" width="1.42578125" style="15" customWidth="1"/>
    <col min="4877" max="4877" width="3.5703125" style="15" customWidth="1"/>
    <col min="4878" max="4878" width="1.5703125" style="15" customWidth="1"/>
    <col min="4879" max="4879" width="14" style="15" customWidth="1"/>
    <col min="4880" max="4880" width="2.42578125" style="15" customWidth="1"/>
    <col min="4881" max="5119" width="9.140625" style="15"/>
    <col min="5120" max="5120" width="2.5703125" style="15" customWidth="1"/>
    <col min="5121" max="5121" width="6.42578125" style="15" customWidth="1"/>
    <col min="5122" max="5122" width="3.5703125" style="15" customWidth="1"/>
    <col min="5123" max="5123" width="16.5703125" style="15" customWidth="1"/>
    <col min="5124" max="5124" width="3" style="15" customWidth="1"/>
    <col min="5125" max="5125" width="11.42578125" style="15" customWidth="1"/>
    <col min="5126" max="5126" width="1.42578125" style="15" customWidth="1"/>
    <col min="5127" max="5127" width="3.42578125" style="15" customWidth="1"/>
    <col min="5128" max="5128" width="1.42578125" style="15" customWidth="1"/>
    <col min="5129" max="5129" width="12.5703125" style="15" customWidth="1"/>
    <col min="5130" max="5130" width="3.42578125" style="15" customWidth="1"/>
    <col min="5131" max="5131" width="12.5703125" style="15" customWidth="1"/>
    <col min="5132" max="5132" width="1.42578125" style="15" customWidth="1"/>
    <col min="5133" max="5133" width="3.5703125" style="15" customWidth="1"/>
    <col min="5134" max="5134" width="1.5703125" style="15" customWidth="1"/>
    <col min="5135" max="5135" width="14" style="15" customWidth="1"/>
    <col min="5136" max="5136" width="2.42578125" style="15" customWidth="1"/>
    <col min="5137" max="5375" width="9.140625" style="15"/>
    <col min="5376" max="5376" width="2.5703125" style="15" customWidth="1"/>
    <col min="5377" max="5377" width="6.42578125" style="15" customWidth="1"/>
    <col min="5378" max="5378" width="3.5703125" style="15" customWidth="1"/>
    <col min="5379" max="5379" width="16.5703125" style="15" customWidth="1"/>
    <col min="5380" max="5380" width="3" style="15" customWidth="1"/>
    <col min="5381" max="5381" width="11.42578125" style="15" customWidth="1"/>
    <col min="5382" max="5382" width="1.42578125" style="15" customWidth="1"/>
    <col min="5383" max="5383" width="3.42578125" style="15" customWidth="1"/>
    <col min="5384" max="5384" width="1.42578125" style="15" customWidth="1"/>
    <col min="5385" max="5385" width="12.5703125" style="15" customWidth="1"/>
    <col min="5386" max="5386" width="3.42578125" style="15" customWidth="1"/>
    <col min="5387" max="5387" width="12.5703125" style="15" customWidth="1"/>
    <col min="5388" max="5388" width="1.42578125" style="15" customWidth="1"/>
    <col min="5389" max="5389" width="3.5703125" style="15" customWidth="1"/>
    <col min="5390" max="5390" width="1.5703125" style="15" customWidth="1"/>
    <col min="5391" max="5391" width="14" style="15" customWidth="1"/>
    <col min="5392" max="5392" width="2.42578125" style="15" customWidth="1"/>
    <col min="5393" max="5631" width="9.140625" style="15"/>
    <col min="5632" max="5632" width="2.5703125" style="15" customWidth="1"/>
    <col min="5633" max="5633" width="6.42578125" style="15" customWidth="1"/>
    <col min="5634" max="5634" width="3.5703125" style="15" customWidth="1"/>
    <col min="5635" max="5635" width="16.5703125" style="15" customWidth="1"/>
    <col min="5636" max="5636" width="3" style="15" customWidth="1"/>
    <col min="5637" max="5637" width="11.42578125" style="15" customWidth="1"/>
    <col min="5638" max="5638" width="1.42578125" style="15" customWidth="1"/>
    <col min="5639" max="5639" width="3.42578125" style="15" customWidth="1"/>
    <col min="5640" max="5640" width="1.42578125" style="15" customWidth="1"/>
    <col min="5641" max="5641" width="12.5703125" style="15" customWidth="1"/>
    <col min="5642" max="5642" width="3.42578125" style="15" customWidth="1"/>
    <col min="5643" max="5643" width="12.5703125" style="15" customWidth="1"/>
    <col min="5644" max="5644" width="1.42578125" style="15" customWidth="1"/>
    <col min="5645" max="5645" width="3.5703125" style="15" customWidth="1"/>
    <col min="5646" max="5646" width="1.5703125" style="15" customWidth="1"/>
    <col min="5647" max="5647" width="14" style="15" customWidth="1"/>
    <col min="5648" max="5648" width="2.42578125" style="15" customWidth="1"/>
    <col min="5649" max="5887" width="9.140625" style="15"/>
    <col min="5888" max="5888" width="2.5703125" style="15" customWidth="1"/>
    <col min="5889" max="5889" width="6.42578125" style="15" customWidth="1"/>
    <col min="5890" max="5890" width="3.5703125" style="15" customWidth="1"/>
    <col min="5891" max="5891" width="16.5703125" style="15" customWidth="1"/>
    <col min="5892" max="5892" width="3" style="15" customWidth="1"/>
    <col min="5893" max="5893" width="11.42578125" style="15" customWidth="1"/>
    <col min="5894" max="5894" width="1.42578125" style="15" customWidth="1"/>
    <col min="5895" max="5895" width="3.42578125" style="15" customWidth="1"/>
    <col min="5896" max="5896" width="1.42578125" style="15" customWidth="1"/>
    <col min="5897" max="5897" width="12.5703125" style="15" customWidth="1"/>
    <col min="5898" max="5898" width="3.42578125" style="15" customWidth="1"/>
    <col min="5899" max="5899" width="12.5703125" style="15" customWidth="1"/>
    <col min="5900" max="5900" width="1.42578125" style="15" customWidth="1"/>
    <col min="5901" max="5901" width="3.5703125" style="15" customWidth="1"/>
    <col min="5902" max="5902" width="1.5703125" style="15" customWidth="1"/>
    <col min="5903" max="5903" width="14" style="15" customWidth="1"/>
    <col min="5904" max="5904" width="2.42578125" style="15" customWidth="1"/>
    <col min="5905" max="6143" width="9.140625" style="15"/>
    <col min="6144" max="6144" width="2.5703125" style="15" customWidth="1"/>
    <col min="6145" max="6145" width="6.42578125" style="15" customWidth="1"/>
    <col min="6146" max="6146" width="3.5703125" style="15" customWidth="1"/>
    <col min="6147" max="6147" width="16.5703125" style="15" customWidth="1"/>
    <col min="6148" max="6148" width="3" style="15" customWidth="1"/>
    <col min="6149" max="6149" width="11.42578125" style="15" customWidth="1"/>
    <col min="6150" max="6150" width="1.42578125" style="15" customWidth="1"/>
    <col min="6151" max="6151" width="3.42578125" style="15" customWidth="1"/>
    <col min="6152" max="6152" width="1.42578125" style="15" customWidth="1"/>
    <col min="6153" max="6153" width="12.5703125" style="15" customWidth="1"/>
    <col min="6154" max="6154" width="3.42578125" style="15" customWidth="1"/>
    <col min="6155" max="6155" width="12.5703125" style="15" customWidth="1"/>
    <col min="6156" max="6156" width="1.42578125" style="15" customWidth="1"/>
    <col min="6157" max="6157" width="3.5703125" style="15" customWidth="1"/>
    <col min="6158" max="6158" width="1.5703125" style="15" customWidth="1"/>
    <col min="6159" max="6159" width="14" style="15" customWidth="1"/>
    <col min="6160" max="6160" width="2.42578125" style="15" customWidth="1"/>
    <col min="6161" max="6399" width="9.140625" style="15"/>
    <col min="6400" max="6400" width="2.5703125" style="15" customWidth="1"/>
    <col min="6401" max="6401" width="6.42578125" style="15" customWidth="1"/>
    <col min="6402" max="6402" width="3.5703125" style="15" customWidth="1"/>
    <col min="6403" max="6403" width="16.5703125" style="15" customWidth="1"/>
    <col min="6404" max="6404" width="3" style="15" customWidth="1"/>
    <col min="6405" max="6405" width="11.42578125" style="15" customWidth="1"/>
    <col min="6406" max="6406" width="1.42578125" style="15" customWidth="1"/>
    <col min="6407" max="6407" width="3.42578125" style="15" customWidth="1"/>
    <col min="6408" max="6408" width="1.42578125" style="15" customWidth="1"/>
    <col min="6409" max="6409" width="12.5703125" style="15" customWidth="1"/>
    <col min="6410" max="6410" width="3.42578125" style="15" customWidth="1"/>
    <col min="6411" max="6411" width="12.5703125" style="15" customWidth="1"/>
    <col min="6412" max="6412" width="1.42578125" style="15" customWidth="1"/>
    <col min="6413" max="6413" width="3.5703125" style="15" customWidth="1"/>
    <col min="6414" max="6414" width="1.5703125" style="15" customWidth="1"/>
    <col min="6415" max="6415" width="14" style="15" customWidth="1"/>
    <col min="6416" max="6416" width="2.42578125" style="15" customWidth="1"/>
    <col min="6417" max="6655" width="9.140625" style="15"/>
    <col min="6656" max="6656" width="2.5703125" style="15" customWidth="1"/>
    <col min="6657" max="6657" width="6.42578125" style="15" customWidth="1"/>
    <col min="6658" max="6658" width="3.5703125" style="15" customWidth="1"/>
    <col min="6659" max="6659" width="16.5703125" style="15" customWidth="1"/>
    <col min="6660" max="6660" width="3" style="15" customWidth="1"/>
    <col min="6661" max="6661" width="11.42578125" style="15" customWidth="1"/>
    <col min="6662" max="6662" width="1.42578125" style="15" customWidth="1"/>
    <col min="6663" max="6663" width="3.42578125" style="15" customWidth="1"/>
    <col min="6664" max="6664" width="1.42578125" style="15" customWidth="1"/>
    <col min="6665" max="6665" width="12.5703125" style="15" customWidth="1"/>
    <col min="6666" max="6666" width="3.42578125" style="15" customWidth="1"/>
    <col min="6667" max="6667" width="12.5703125" style="15" customWidth="1"/>
    <col min="6668" max="6668" width="1.42578125" style="15" customWidth="1"/>
    <col min="6669" max="6669" width="3.5703125" style="15" customWidth="1"/>
    <col min="6670" max="6670" width="1.5703125" style="15" customWidth="1"/>
    <col min="6671" max="6671" width="14" style="15" customWidth="1"/>
    <col min="6672" max="6672" width="2.42578125" style="15" customWidth="1"/>
    <col min="6673" max="6911" width="9.140625" style="15"/>
    <col min="6912" max="6912" width="2.5703125" style="15" customWidth="1"/>
    <col min="6913" max="6913" width="6.42578125" style="15" customWidth="1"/>
    <col min="6914" max="6914" width="3.5703125" style="15" customWidth="1"/>
    <col min="6915" max="6915" width="16.5703125" style="15" customWidth="1"/>
    <col min="6916" max="6916" width="3" style="15" customWidth="1"/>
    <col min="6917" max="6917" width="11.42578125" style="15" customWidth="1"/>
    <col min="6918" max="6918" width="1.42578125" style="15" customWidth="1"/>
    <col min="6919" max="6919" width="3.42578125" style="15" customWidth="1"/>
    <col min="6920" max="6920" width="1.42578125" style="15" customWidth="1"/>
    <col min="6921" max="6921" width="12.5703125" style="15" customWidth="1"/>
    <col min="6922" max="6922" width="3.42578125" style="15" customWidth="1"/>
    <col min="6923" max="6923" width="12.5703125" style="15" customWidth="1"/>
    <col min="6924" max="6924" width="1.42578125" style="15" customWidth="1"/>
    <col min="6925" max="6925" width="3.5703125" style="15" customWidth="1"/>
    <col min="6926" max="6926" width="1.5703125" style="15" customWidth="1"/>
    <col min="6927" max="6927" width="14" style="15" customWidth="1"/>
    <col min="6928" max="6928" width="2.42578125" style="15" customWidth="1"/>
    <col min="6929" max="7167" width="9.140625" style="15"/>
    <col min="7168" max="7168" width="2.5703125" style="15" customWidth="1"/>
    <col min="7169" max="7169" width="6.42578125" style="15" customWidth="1"/>
    <col min="7170" max="7170" width="3.5703125" style="15" customWidth="1"/>
    <col min="7171" max="7171" width="16.5703125" style="15" customWidth="1"/>
    <col min="7172" max="7172" width="3" style="15" customWidth="1"/>
    <col min="7173" max="7173" width="11.42578125" style="15" customWidth="1"/>
    <col min="7174" max="7174" width="1.42578125" style="15" customWidth="1"/>
    <col min="7175" max="7175" width="3.42578125" style="15" customWidth="1"/>
    <col min="7176" max="7176" width="1.42578125" style="15" customWidth="1"/>
    <col min="7177" max="7177" width="12.5703125" style="15" customWidth="1"/>
    <col min="7178" max="7178" width="3.42578125" style="15" customWidth="1"/>
    <col min="7179" max="7179" width="12.5703125" style="15" customWidth="1"/>
    <col min="7180" max="7180" width="1.42578125" style="15" customWidth="1"/>
    <col min="7181" max="7181" width="3.5703125" style="15" customWidth="1"/>
    <col min="7182" max="7182" width="1.5703125" style="15" customWidth="1"/>
    <col min="7183" max="7183" width="14" style="15" customWidth="1"/>
    <col min="7184" max="7184" width="2.42578125" style="15" customWidth="1"/>
    <col min="7185" max="7423" width="9.140625" style="15"/>
    <col min="7424" max="7424" width="2.5703125" style="15" customWidth="1"/>
    <col min="7425" max="7425" width="6.42578125" style="15" customWidth="1"/>
    <col min="7426" max="7426" width="3.5703125" style="15" customWidth="1"/>
    <col min="7427" max="7427" width="16.5703125" style="15" customWidth="1"/>
    <col min="7428" max="7428" width="3" style="15" customWidth="1"/>
    <col min="7429" max="7429" width="11.42578125" style="15" customWidth="1"/>
    <col min="7430" max="7430" width="1.42578125" style="15" customWidth="1"/>
    <col min="7431" max="7431" width="3.42578125" style="15" customWidth="1"/>
    <col min="7432" max="7432" width="1.42578125" style="15" customWidth="1"/>
    <col min="7433" max="7433" width="12.5703125" style="15" customWidth="1"/>
    <col min="7434" max="7434" width="3.42578125" style="15" customWidth="1"/>
    <col min="7435" max="7435" width="12.5703125" style="15" customWidth="1"/>
    <col min="7436" max="7436" width="1.42578125" style="15" customWidth="1"/>
    <col min="7437" max="7437" width="3.5703125" style="15" customWidth="1"/>
    <col min="7438" max="7438" width="1.5703125" style="15" customWidth="1"/>
    <col min="7439" max="7439" width="14" style="15" customWidth="1"/>
    <col min="7440" max="7440" width="2.42578125" style="15" customWidth="1"/>
    <col min="7441" max="7679" width="9.140625" style="15"/>
    <col min="7680" max="7680" width="2.5703125" style="15" customWidth="1"/>
    <col min="7681" max="7681" width="6.42578125" style="15" customWidth="1"/>
    <col min="7682" max="7682" width="3.5703125" style="15" customWidth="1"/>
    <col min="7683" max="7683" width="16.5703125" style="15" customWidth="1"/>
    <col min="7684" max="7684" width="3" style="15" customWidth="1"/>
    <col min="7685" max="7685" width="11.42578125" style="15" customWidth="1"/>
    <col min="7686" max="7686" width="1.42578125" style="15" customWidth="1"/>
    <col min="7687" max="7687" width="3.42578125" style="15" customWidth="1"/>
    <col min="7688" max="7688" width="1.42578125" style="15" customWidth="1"/>
    <col min="7689" max="7689" width="12.5703125" style="15" customWidth="1"/>
    <col min="7690" max="7690" width="3.42578125" style="15" customWidth="1"/>
    <col min="7691" max="7691" width="12.5703125" style="15" customWidth="1"/>
    <col min="7692" max="7692" width="1.42578125" style="15" customWidth="1"/>
    <col min="7693" max="7693" width="3.5703125" style="15" customWidth="1"/>
    <col min="7694" max="7694" width="1.5703125" style="15" customWidth="1"/>
    <col min="7695" max="7695" width="14" style="15" customWidth="1"/>
    <col min="7696" max="7696" width="2.42578125" style="15" customWidth="1"/>
    <col min="7697" max="7935" width="9.140625" style="15"/>
    <col min="7936" max="7936" width="2.5703125" style="15" customWidth="1"/>
    <col min="7937" max="7937" width="6.42578125" style="15" customWidth="1"/>
    <col min="7938" max="7938" width="3.5703125" style="15" customWidth="1"/>
    <col min="7939" max="7939" width="16.5703125" style="15" customWidth="1"/>
    <col min="7940" max="7940" width="3" style="15" customWidth="1"/>
    <col min="7941" max="7941" width="11.42578125" style="15" customWidth="1"/>
    <col min="7942" max="7942" width="1.42578125" style="15" customWidth="1"/>
    <col min="7943" max="7943" width="3.42578125" style="15" customWidth="1"/>
    <col min="7944" max="7944" width="1.42578125" style="15" customWidth="1"/>
    <col min="7945" max="7945" width="12.5703125" style="15" customWidth="1"/>
    <col min="7946" max="7946" width="3.42578125" style="15" customWidth="1"/>
    <col min="7947" max="7947" width="12.5703125" style="15" customWidth="1"/>
    <col min="7948" max="7948" width="1.42578125" style="15" customWidth="1"/>
    <col min="7949" max="7949" width="3.5703125" style="15" customWidth="1"/>
    <col min="7950" max="7950" width="1.5703125" style="15" customWidth="1"/>
    <col min="7951" max="7951" width="14" style="15" customWidth="1"/>
    <col min="7952" max="7952" width="2.42578125" style="15" customWidth="1"/>
    <col min="7953" max="8191" width="9.140625" style="15"/>
    <col min="8192" max="8192" width="2.5703125" style="15" customWidth="1"/>
    <col min="8193" max="8193" width="6.42578125" style="15" customWidth="1"/>
    <col min="8194" max="8194" width="3.5703125" style="15" customWidth="1"/>
    <col min="8195" max="8195" width="16.5703125" style="15" customWidth="1"/>
    <col min="8196" max="8196" width="3" style="15" customWidth="1"/>
    <col min="8197" max="8197" width="11.42578125" style="15" customWidth="1"/>
    <col min="8198" max="8198" width="1.42578125" style="15" customWidth="1"/>
    <col min="8199" max="8199" width="3.42578125" style="15" customWidth="1"/>
    <col min="8200" max="8200" width="1.42578125" style="15" customWidth="1"/>
    <col min="8201" max="8201" width="12.5703125" style="15" customWidth="1"/>
    <col min="8202" max="8202" width="3.42578125" style="15" customWidth="1"/>
    <col min="8203" max="8203" width="12.5703125" style="15" customWidth="1"/>
    <col min="8204" max="8204" width="1.42578125" style="15" customWidth="1"/>
    <col min="8205" max="8205" width="3.5703125" style="15" customWidth="1"/>
    <col min="8206" max="8206" width="1.5703125" style="15" customWidth="1"/>
    <col min="8207" max="8207" width="14" style="15" customWidth="1"/>
    <col min="8208" max="8208" width="2.42578125" style="15" customWidth="1"/>
    <col min="8209" max="8447" width="9.140625" style="15"/>
    <col min="8448" max="8448" width="2.5703125" style="15" customWidth="1"/>
    <col min="8449" max="8449" width="6.42578125" style="15" customWidth="1"/>
    <col min="8450" max="8450" width="3.5703125" style="15" customWidth="1"/>
    <col min="8451" max="8451" width="16.5703125" style="15" customWidth="1"/>
    <col min="8452" max="8452" width="3" style="15" customWidth="1"/>
    <col min="8453" max="8453" width="11.42578125" style="15" customWidth="1"/>
    <col min="8454" max="8454" width="1.42578125" style="15" customWidth="1"/>
    <col min="8455" max="8455" width="3.42578125" style="15" customWidth="1"/>
    <col min="8456" max="8456" width="1.42578125" style="15" customWidth="1"/>
    <col min="8457" max="8457" width="12.5703125" style="15" customWidth="1"/>
    <col min="8458" max="8458" width="3.42578125" style="15" customWidth="1"/>
    <col min="8459" max="8459" width="12.5703125" style="15" customWidth="1"/>
    <col min="8460" max="8460" width="1.42578125" style="15" customWidth="1"/>
    <col min="8461" max="8461" width="3.5703125" style="15" customWidth="1"/>
    <col min="8462" max="8462" width="1.5703125" style="15" customWidth="1"/>
    <col min="8463" max="8463" width="14" style="15" customWidth="1"/>
    <col min="8464" max="8464" width="2.42578125" style="15" customWidth="1"/>
    <col min="8465" max="8703" width="9.140625" style="15"/>
    <col min="8704" max="8704" width="2.5703125" style="15" customWidth="1"/>
    <col min="8705" max="8705" width="6.42578125" style="15" customWidth="1"/>
    <col min="8706" max="8706" width="3.5703125" style="15" customWidth="1"/>
    <col min="8707" max="8707" width="16.5703125" style="15" customWidth="1"/>
    <col min="8708" max="8708" width="3" style="15" customWidth="1"/>
    <col min="8709" max="8709" width="11.42578125" style="15" customWidth="1"/>
    <col min="8710" max="8710" width="1.42578125" style="15" customWidth="1"/>
    <col min="8711" max="8711" width="3.42578125" style="15" customWidth="1"/>
    <col min="8712" max="8712" width="1.42578125" style="15" customWidth="1"/>
    <col min="8713" max="8713" width="12.5703125" style="15" customWidth="1"/>
    <col min="8714" max="8714" width="3.42578125" style="15" customWidth="1"/>
    <col min="8715" max="8715" width="12.5703125" style="15" customWidth="1"/>
    <col min="8716" max="8716" width="1.42578125" style="15" customWidth="1"/>
    <col min="8717" max="8717" width="3.5703125" style="15" customWidth="1"/>
    <col min="8718" max="8718" width="1.5703125" style="15" customWidth="1"/>
    <col min="8719" max="8719" width="14" style="15" customWidth="1"/>
    <col min="8720" max="8720" width="2.42578125" style="15" customWidth="1"/>
    <col min="8721" max="8959" width="9.140625" style="15"/>
    <col min="8960" max="8960" width="2.5703125" style="15" customWidth="1"/>
    <col min="8961" max="8961" width="6.42578125" style="15" customWidth="1"/>
    <col min="8962" max="8962" width="3.5703125" style="15" customWidth="1"/>
    <col min="8963" max="8963" width="16.5703125" style="15" customWidth="1"/>
    <col min="8964" max="8964" width="3" style="15" customWidth="1"/>
    <col min="8965" max="8965" width="11.42578125" style="15" customWidth="1"/>
    <col min="8966" max="8966" width="1.42578125" style="15" customWidth="1"/>
    <col min="8967" max="8967" width="3.42578125" style="15" customWidth="1"/>
    <col min="8968" max="8968" width="1.42578125" style="15" customWidth="1"/>
    <col min="8969" max="8969" width="12.5703125" style="15" customWidth="1"/>
    <col min="8970" max="8970" width="3.42578125" style="15" customWidth="1"/>
    <col min="8971" max="8971" width="12.5703125" style="15" customWidth="1"/>
    <col min="8972" max="8972" width="1.42578125" style="15" customWidth="1"/>
    <col min="8973" max="8973" width="3.5703125" style="15" customWidth="1"/>
    <col min="8974" max="8974" width="1.5703125" style="15" customWidth="1"/>
    <col min="8975" max="8975" width="14" style="15" customWidth="1"/>
    <col min="8976" max="8976" width="2.42578125" style="15" customWidth="1"/>
    <col min="8977" max="9215" width="9.140625" style="15"/>
    <col min="9216" max="9216" width="2.5703125" style="15" customWidth="1"/>
    <col min="9217" max="9217" width="6.42578125" style="15" customWidth="1"/>
    <col min="9218" max="9218" width="3.5703125" style="15" customWidth="1"/>
    <col min="9219" max="9219" width="16.5703125" style="15" customWidth="1"/>
    <col min="9220" max="9220" width="3" style="15" customWidth="1"/>
    <col min="9221" max="9221" width="11.42578125" style="15" customWidth="1"/>
    <col min="9222" max="9222" width="1.42578125" style="15" customWidth="1"/>
    <col min="9223" max="9223" width="3.42578125" style="15" customWidth="1"/>
    <col min="9224" max="9224" width="1.42578125" style="15" customWidth="1"/>
    <col min="9225" max="9225" width="12.5703125" style="15" customWidth="1"/>
    <col min="9226" max="9226" width="3.42578125" style="15" customWidth="1"/>
    <col min="9227" max="9227" width="12.5703125" style="15" customWidth="1"/>
    <col min="9228" max="9228" width="1.42578125" style="15" customWidth="1"/>
    <col min="9229" max="9229" width="3.5703125" style="15" customWidth="1"/>
    <col min="9230" max="9230" width="1.5703125" style="15" customWidth="1"/>
    <col min="9231" max="9231" width="14" style="15" customWidth="1"/>
    <col min="9232" max="9232" width="2.42578125" style="15" customWidth="1"/>
    <col min="9233" max="9471" width="9.140625" style="15"/>
    <col min="9472" max="9472" width="2.5703125" style="15" customWidth="1"/>
    <col min="9473" max="9473" width="6.42578125" style="15" customWidth="1"/>
    <col min="9474" max="9474" width="3.5703125" style="15" customWidth="1"/>
    <col min="9475" max="9475" width="16.5703125" style="15" customWidth="1"/>
    <col min="9476" max="9476" width="3" style="15" customWidth="1"/>
    <col min="9477" max="9477" width="11.42578125" style="15" customWidth="1"/>
    <col min="9478" max="9478" width="1.42578125" style="15" customWidth="1"/>
    <col min="9479" max="9479" width="3.42578125" style="15" customWidth="1"/>
    <col min="9480" max="9480" width="1.42578125" style="15" customWidth="1"/>
    <col min="9481" max="9481" width="12.5703125" style="15" customWidth="1"/>
    <col min="9482" max="9482" width="3.42578125" style="15" customWidth="1"/>
    <col min="9483" max="9483" width="12.5703125" style="15" customWidth="1"/>
    <col min="9484" max="9484" width="1.42578125" style="15" customWidth="1"/>
    <col min="9485" max="9485" width="3.5703125" style="15" customWidth="1"/>
    <col min="9486" max="9486" width="1.5703125" style="15" customWidth="1"/>
    <col min="9487" max="9487" width="14" style="15" customWidth="1"/>
    <col min="9488" max="9488" width="2.42578125" style="15" customWidth="1"/>
    <col min="9489" max="9727" width="9.140625" style="15"/>
    <col min="9728" max="9728" width="2.5703125" style="15" customWidth="1"/>
    <col min="9729" max="9729" width="6.42578125" style="15" customWidth="1"/>
    <col min="9730" max="9730" width="3.5703125" style="15" customWidth="1"/>
    <col min="9731" max="9731" width="16.5703125" style="15" customWidth="1"/>
    <col min="9732" max="9732" width="3" style="15" customWidth="1"/>
    <col min="9733" max="9733" width="11.42578125" style="15" customWidth="1"/>
    <col min="9734" max="9734" width="1.42578125" style="15" customWidth="1"/>
    <col min="9735" max="9735" width="3.42578125" style="15" customWidth="1"/>
    <col min="9736" max="9736" width="1.42578125" style="15" customWidth="1"/>
    <col min="9737" max="9737" width="12.5703125" style="15" customWidth="1"/>
    <col min="9738" max="9738" width="3.42578125" style="15" customWidth="1"/>
    <col min="9739" max="9739" width="12.5703125" style="15" customWidth="1"/>
    <col min="9740" max="9740" width="1.42578125" style="15" customWidth="1"/>
    <col min="9741" max="9741" width="3.5703125" style="15" customWidth="1"/>
    <col min="9742" max="9742" width="1.5703125" style="15" customWidth="1"/>
    <col min="9743" max="9743" width="14" style="15" customWidth="1"/>
    <col min="9744" max="9744" width="2.42578125" style="15" customWidth="1"/>
    <col min="9745" max="9983" width="9.140625" style="15"/>
    <col min="9984" max="9984" width="2.5703125" style="15" customWidth="1"/>
    <col min="9985" max="9985" width="6.42578125" style="15" customWidth="1"/>
    <col min="9986" max="9986" width="3.5703125" style="15" customWidth="1"/>
    <col min="9987" max="9987" width="16.5703125" style="15" customWidth="1"/>
    <col min="9988" max="9988" width="3" style="15" customWidth="1"/>
    <col min="9989" max="9989" width="11.42578125" style="15" customWidth="1"/>
    <col min="9990" max="9990" width="1.42578125" style="15" customWidth="1"/>
    <col min="9991" max="9991" width="3.42578125" style="15" customWidth="1"/>
    <col min="9992" max="9992" width="1.42578125" style="15" customWidth="1"/>
    <col min="9993" max="9993" width="12.5703125" style="15" customWidth="1"/>
    <col min="9994" max="9994" width="3.42578125" style="15" customWidth="1"/>
    <col min="9995" max="9995" width="12.5703125" style="15" customWidth="1"/>
    <col min="9996" max="9996" width="1.42578125" style="15" customWidth="1"/>
    <col min="9997" max="9997" width="3.5703125" style="15" customWidth="1"/>
    <col min="9998" max="9998" width="1.5703125" style="15" customWidth="1"/>
    <col min="9999" max="9999" width="14" style="15" customWidth="1"/>
    <col min="10000" max="10000" width="2.42578125" style="15" customWidth="1"/>
    <col min="10001" max="10239" width="9.140625" style="15"/>
    <col min="10240" max="10240" width="2.5703125" style="15" customWidth="1"/>
    <col min="10241" max="10241" width="6.42578125" style="15" customWidth="1"/>
    <col min="10242" max="10242" width="3.5703125" style="15" customWidth="1"/>
    <col min="10243" max="10243" width="16.5703125" style="15" customWidth="1"/>
    <col min="10244" max="10244" width="3" style="15" customWidth="1"/>
    <col min="10245" max="10245" width="11.42578125" style="15" customWidth="1"/>
    <col min="10246" max="10246" width="1.42578125" style="15" customWidth="1"/>
    <col min="10247" max="10247" width="3.42578125" style="15" customWidth="1"/>
    <col min="10248" max="10248" width="1.42578125" style="15" customWidth="1"/>
    <col min="10249" max="10249" width="12.5703125" style="15" customWidth="1"/>
    <col min="10250" max="10250" width="3.42578125" style="15" customWidth="1"/>
    <col min="10251" max="10251" width="12.5703125" style="15" customWidth="1"/>
    <col min="10252" max="10252" width="1.42578125" style="15" customWidth="1"/>
    <col min="10253" max="10253" width="3.5703125" style="15" customWidth="1"/>
    <col min="10254" max="10254" width="1.5703125" style="15" customWidth="1"/>
    <col min="10255" max="10255" width="14" style="15" customWidth="1"/>
    <col min="10256" max="10256" width="2.42578125" style="15" customWidth="1"/>
    <col min="10257" max="10495" width="9.140625" style="15"/>
    <col min="10496" max="10496" width="2.5703125" style="15" customWidth="1"/>
    <col min="10497" max="10497" width="6.42578125" style="15" customWidth="1"/>
    <col min="10498" max="10498" width="3.5703125" style="15" customWidth="1"/>
    <col min="10499" max="10499" width="16.5703125" style="15" customWidth="1"/>
    <col min="10500" max="10500" width="3" style="15" customWidth="1"/>
    <col min="10501" max="10501" width="11.42578125" style="15" customWidth="1"/>
    <col min="10502" max="10502" width="1.42578125" style="15" customWidth="1"/>
    <col min="10503" max="10503" width="3.42578125" style="15" customWidth="1"/>
    <col min="10504" max="10504" width="1.42578125" style="15" customWidth="1"/>
    <col min="10505" max="10505" width="12.5703125" style="15" customWidth="1"/>
    <col min="10506" max="10506" width="3.42578125" style="15" customWidth="1"/>
    <col min="10507" max="10507" width="12.5703125" style="15" customWidth="1"/>
    <col min="10508" max="10508" width="1.42578125" style="15" customWidth="1"/>
    <col min="10509" max="10509" width="3.5703125" style="15" customWidth="1"/>
    <col min="10510" max="10510" width="1.5703125" style="15" customWidth="1"/>
    <col min="10511" max="10511" width="14" style="15" customWidth="1"/>
    <col min="10512" max="10512" width="2.42578125" style="15" customWidth="1"/>
    <col min="10513" max="10751" width="9.140625" style="15"/>
    <col min="10752" max="10752" width="2.5703125" style="15" customWidth="1"/>
    <col min="10753" max="10753" width="6.42578125" style="15" customWidth="1"/>
    <col min="10754" max="10754" width="3.5703125" style="15" customWidth="1"/>
    <col min="10755" max="10755" width="16.5703125" style="15" customWidth="1"/>
    <col min="10756" max="10756" width="3" style="15" customWidth="1"/>
    <col min="10757" max="10757" width="11.42578125" style="15" customWidth="1"/>
    <col min="10758" max="10758" width="1.42578125" style="15" customWidth="1"/>
    <col min="10759" max="10759" width="3.42578125" style="15" customWidth="1"/>
    <col min="10760" max="10760" width="1.42578125" style="15" customWidth="1"/>
    <col min="10761" max="10761" width="12.5703125" style="15" customWidth="1"/>
    <col min="10762" max="10762" width="3.42578125" style="15" customWidth="1"/>
    <col min="10763" max="10763" width="12.5703125" style="15" customWidth="1"/>
    <col min="10764" max="10764" width="1.42578125" style="15" customWidth="1"/>
    <col min="10765" max="10765" width="3.5703125" style="15" customWidth="1"/>
    <col min="10766" max="10766" width="1.5703125" style="15" customWidth="1"/>
    <col min="10767" max="10767" width="14" style="15" customWidth="1"/>
    <col min="10768" max="10768" width="2.42578125" style="15" customWidth="1"/>
    <col min="10769" max="11007" width="9.140625" style="15"/>
    <col min="11008" max="11008" width="2.5703125" style="15" customWidth="1"/>
    <col min="11009" max="11009" width="6.42578125" style="15" customWidth="1"/>
    <col min="11010" max="11010" width="3.5703125" style="15" customWidth="1"/>
    <col min="11011" max="11011" width="16.5703125" style="15" customWidth="1"/>
    <col min="11012" max="11012" width="3" style="15" customWidth="1"/>
    <col min="11013" max="11013" width="11.42578125" style="15" customWidth="1"/>
    <col min="11014" max="11014" width="1.42578125" style="15" customWidth="1"/>
    <col min="11015" max="11015" width="3.42578125" style="15" customWidth="1"/>
    <col min="11016" max="11016" width="1.42578125" style="15" customWidth="1"/>
    <col min="11017" max="11017" width="12.5703125" style="15" customWidth="1"/>
    <col min="11018" max="11018" width="3.42578125" style="15" customWidth="1"/>
    <col min="11019" max="11019" width="12.5703125" style="15" customWidth="1"/>
    <col min="11020" max="11020" width="1.42578125" style="15" customWidth="1"/>
    <col min="11021" max="11021" width="3.5703125" style="15" customWidth="1"/>
    <col min="11022" max="11022" width="1.5703125" style="15" customWidth="1"/>
    <col min="11023" max="11023" width="14" style="15" customWidth="1"/>
    <col min="11024" max="11024" width="2.42578125" style="15" customWidth="1"/>
    <col min="11025" max="11263" width="9.140625" style="15"/>
    <col min="11264" max="11264" width="2.5703125" style="15" customWidth="1"/>
    <col min="11265" max="11265" width="6.42578125" style="15" customWidth="1"/>
    <col min="11266" max="11266" width="3.5703125" style="15" customWidth="1"/>
    <col min="11267" max="11267" width="16.5703125" style="15" customWidth="1"/>
    <col min="11268" max="11268" width="3" style="15" customWidth="1"/>
    <col min="11269" max="11269" width="11.42578125" style="15" customWidth="1"/>
    <col min="11270" max="11270" width="1.42578125" style="15" customWidth="1"/>
    <col min="11271" max="11271" width="3.42578125" style="15" customWidth="1"/>
    <col min="11272" max="11272" width="1.42578125" style="15" customWidth="1"/>
    <col min="11273" max="11273" width="12.5703125" style="15" customWidth="1"/>
    <col min="11274" max="11274" width="3.42578125" style="15" customWidth="1"/>
    <col min="11275" max="11275" width="12.5703125" style="15" customWidth="1"/>
    <col min="11276" max="11276" width="1.42578125" style="15" customWidth="1"/>
    <col min="11277" max="11277" width="3.5703125" style="15" customWidth="1"/>
    <col min="11278" max="11278" width="1.5703125" style="15" customWidth="1"/>
    <col min="11279" max="11279" width="14" style="15" customWidth="1"/>
    <col min="11280" max="11280" width="2.42578125" style="15" customWidth="1"/>
    <col min="11281" max="11519" width="9.140625" style="15"/>
    <col min="11520" max="11520" width="2.5703125" style="15" customWidth="1"/>
    <col min="11521" max="11521" width="6.42578125" style="15" customWidth="1"/>
    <col min="11522" max="11522" width="3.5703125" style="15" customWidth="1"/>
    <col min="11523" max="11523" width="16.5703125" style="15" customWidth="1"/>
    <col min="11524" max="11524" width="3" style="15" customWidth="1"/>
    <col min="11525" max="11525" width="11.42578125" style="15" customWidth="1"/>
    <col min="11526" max="11526" width="1.42578125" style="15" customWidth="1"/>
    <col min="11527" max="11527" width="3.42578125" style="15" customWidth="1"/>
    <col min="11528" max="11528" width="1.42578125" style="15" customWidth="1"/>
    <col min="11529" max="11529" width="12.5703125" style="15" customWidth="1"/>
    <col min="11530" max="11530" width="3.42578125" style="15" customWidth="1"/>
    <col min="11531" max="11531" width="12.5703125" style="15" customWidth="1"/>
    <col min="11532" max="11532" width="1.42578125" style="15" customWidth="1"/>
    <col min="11533" max="11533" width="3.5703125" style="15" customWidth="1"/>
    <col min="11534" max="11534" width="1.5703125" style="15" customWidth="1"/>
    <col min="11535" max="11535" width="14" style="15" customWidth="1"/>
    <col min="11536" max="11536" width="2.42578125" style="15" customWidth="1"/>
    <col min="11537" max="11775" width="9.140625" style="15"/>
    <col min="11776" max="11776" width="2.5703125" style="15" customWidth="1"/>
    <col min="11777" max="11777" width="6.42578125" style="15" customWidth="1"/>
    <col min="11778" max="11778" width="3.5703125" style="15" customWidth="1"/>
    <col min="11779" max="11779" width="16.5703125" style="15" customWidth="1"/>
    <col min="11780" max="11780" width="3" style="15" customWidth="1"/>
    <col min="11781" max="11781" width="11.42578125" style="15" customWidth="1"/>
    <col min="11782" max="11782" width="1.42578125" style="15" customWidth="1"/>
    <col min="11783" max="11783" width="3.42578125" style="15" customWidth="1"/>
    <col min="11784" max="11784" width="1.42578125" style="15" customWidth="1"/>
    <col min="11785" max="11785" width="12.5703125" style="15" customWidth="1"/>
    <col min="11786" max="11786" width="3.42578125" style="15" customWidth="1"/>
    <col min="11787" max="11787" width="12.5703125" style="15" customWidth="1"/>
    <col min="11788" max="11788" width="1.42578125" style="15" customWidth="1"/>
    <col min="11789" max="11789" width="3.5703125" style="15" customWidth="1"/>
    <col min="11790" max="11790" width="1.5703125" style="15" customWidth="1"/>
    <col min="11791" max="11791" width="14" style="15" customWidth="1"/>
    <col min="11792" max="11792" width="2.42578125" style="15" customWidth="1"/>
    <col min="11793" max="12031" width="9.140625" style="15"/>
    <col min="12032" max="12032" width="2.5703125" style="15" customWidth="1"/>
    <col min="12033" max="12033" width="6.42578125" style="15" customWidth="1"/>
    <col min="12034" max="12034" width="3.5703125" style="15" customWidth="1"/>
    <col min="12035" max="12035" width="16.5703125" style="15" customWidth="1"/>
    <col min="12036" max="12036" width="3" style="15" customWidth="1"/>
    <col min="12037" max="12037" width="11.42578125" style="15" customWidth="1"/>
    <col min="12038" max="12038" width="1.42578125" style="15" customWidth="1"/>
    <col min="12039" max="12039" width="3.42578125" style="15" customWidth="1"/>
    <col min="12040" max="12040" width="1.42578125" style="15" customWidth="1"/>
    <col min="12041" max="12041" width="12.5703125" style="15" customWidth="1"/>
    <col min="12042" max="12042" width="3.42578125" style="15" customWidth="1"/>
    <col min="12043" max="12043" width="12.5703125" style="15" customWidth="1"/>
    <col min="12044" max="12044" width="1.42578125" style="15" customWidth="1"/>
    <col min="12045" max="12045" width="3.5703125" style="15" customWidth="1"/>
    <col min="12046" max="12046" width="1.5703125" style="15" customWidth="1"/>
    <col min="12047" max="12047" width="14" style="15" customWidth="1"/>
    <col min="12048" max="12048" width="2.42578125" style="15" customWidth="1"/>
    <col min="12049" max="12287" width="9.140625" style="15"/>
    <col min="12288" max="12288" width="2.5703125" style="15" customWidth="1"/>
    <col min="12289" max="12289" width="6.42578125" style="15" customWidth="1"/>
    <col min="12290" max="12290" width="3.5703125" style="15" customWidth="1"/>
    <col min="12291" max="12291" width="16.5703125" style="15" customWidth="1"/>
    <col min="12292" max="12292" width="3" style="15" customWidth="1"/>
    <col min="12293" max="12293" width="11.42578125" style="15" customWidth="1"/>
    <col min="12294" max="12294" width="1.42578125" style="15" customWidth="1"/>
    <col min="12295" max="12295" width="3.42578125" style="15" customWidth="1"/>
    <col min="12296" max="12296" width="1.42578125" style="15" customWidth="1"/>
    <col min="12297" max="12297" width="12.5703125" style="15" customWidth="1"/>
    <col min="12298" max="12298" width="3.42578125" style="15" customWidth="1"/>
    <col min="12299" max="12299" width="12.5703125" style="15" customWidth="1"/>
    <col min="12300" max="12300" width="1.42578125" style="15" customWidth="1"/>
    <col min="12301" max="12301" width="3.5703125" style="15" customWidth="1"/>
    <col min="12302" max="12302" width="1.5703125" style="15" customWidth="1"/>
    <col min="12303" max="12303" width="14" style="15" customWidth="1"/>
    <col min="12304" max="12304" width="2.42578125" style="15" customWidth="1"/>
    <col min="12305" max="12543" width="9.140625" style="15"/>
    <col min="12544" max="12544" width="2.5703125" style="15" customWidth="1"/>
    <col min="12545" max="12545" width="6.42578125" style="15" customWidth="1"/>
    <col min="12546" max="12546" width="3.5703125" style="15" customWidth="1"/>
    <col min="12547" max="12547" width="16.5703125" style="15" customWidth="1"/>
    <col min="12548" max="12548" width="3" style="15" customWidth="1"/>
    <col min="12549" max="12549" width="11.42578125" style="15" customWidth="1"/>
    <col min="12550" max="12550" width="1.42578125" style="15" customWidth="1"/>
    <col min="12551" max="12551" width="3.42578125" style="15" customWidth="1"/>
    <col min="12552" max="12552" width="1.42578125" style="15" customWidth="1"/>
    <col min="12553" max="12553" width="12.5703125" style="15" customWidth="1"/>
    <col min="12554" max="12554" width="3.42578125" style="15" customWidth="1"/>
    <col min="12555" max="12555" width="12.5703125" style="15" customWidth="1"/>
    <col min="12556" max="12556" width="1.42578125" style="15" customWidth="1"/>
    <col min="12557" max="12557" width="3.5703125" style="15" customWidth="1"/>
    <col min="12558" max="12558" width="1.5703125" style="15" customWidth="1"/>
    <col min="12559" max="12559" width="14" style="15" customWidth="1"/>
    <col min="12560" max="12560" width="2.42578125" style="15" customWidth="1"/>
    <col min="12561" max="12799" width="9.140625" style="15"/>
    <col min="12800" max="12800" width="2.5703125" style="15" customWidth="1"/>
    <col min="12801" max="12801" width="6.42578125" style="15" customWidth="1"/>
    <col min="12802" max="12802" width="3.5703125" style="15" customWidth="1"/>
    <col min="12803" max="12803" width="16.5703125" style="15" customWidth="1"/>
    <col min="12804" max="12804" width="3" style="15" customWidth="1"/>
    <col min="12805" max="12805" width="11.42578125" style="15" customWidth="1"/>
    <col min="12806" max="12806" width="1.42578125" style="15" customWidth="1"/>
    <col min="12807" max="12807" width="3.42578125" style="15" customWidth="1"/>
    <col min="12808" max="12808" width="1.42578125" style="15" customWidth="1"/>
    <col min="12809" max="12809" width="12.5703125" style="15" customWidth="1"/>
    <col min="12810" max="12810" width="3.42578125" style="15" customWidth="1"/>
    <col min="12811" max="12811" width="12.5703125" style="15" customWidth="1"/>
    <col min="12812" max="12812" width="1.42578125" style="15" customWidth="1"/>
    <col min="12813" max="12813" width="3.5703125" style="15" customWidth="1"/>
    <col min="12814" max="12814" width="1.5703125" style="15" customWidth="1"/>
    <col min="12815" max="12815" width="14" style="15" customWidth="1"/>
    <col min="12816" max="12816" width="2.42578125" style="15" customWidth="1"/>
    <col min="12817" max="13055" width="9.140625" style="15"/>
    <col min="13056" max="13056" width="2.5703125" style="15" customWidth="1"/>
    <col min="13057" max="13057" width="6.42578125" style="15" customWidth="1"/>
    <col min="13058" max="13058" width="3.5703125" style="15" customWidth="1"/>
    <col min="13059" max="13059" width="16.5703125" style="15" customWidth="1"/>
    <col min="13060" max="13060" width="3" style="15" customWidth="1"/>
    <col min="13061" max="13061" width="11.42578125" style="15" customWidth="1"/>
    <col min="13062" max="13062" width="1.42578125" style="15" customWidth="1"/>
    <col min="13063" max="13063" width="3.42578125" style="15" customWidth="1"/>
    <col min="13064" max="13064" width="1.42578125" style="15" customWidth="1"/>
    <col min="13065" max="13065" width="12.5703125" style="15" customWidth="1"/>
    <col min="13066" max="13066" width="3.42578125" style="15" customWidth="1"/>
    <col min="13067" max="13067" width="12.5703125" style="15" customWidth="1"/>
    <col min="13068" max="13068" width="1.42578125" style="15" customWidth="1"/>
    <col min="13069" max="13069" width="3.5703125" style="15" customWidth="1"/>
    <col min="13070" max="13070" width="1.5703125" style="15" customWidth="1"/>
    <col min="13071" max="13071" width="14" style="15" customWidth="1"/>
    <col min="13072" max="13072" width="2.42578125" style="15" customWidth="1"/>
    <col min="13073" max="13311" width="9.140625" style="15"/>
    <col min="13312" max="13312" width="2.5703125" style="15" customWidth="1"/>
    <col min="13313" max="13313" width="6.42578125" style="15" customWidth="1"/>
    <col min="13314" max="13314" width="3.5703125" style="15" customWidth="1"/>
    <col min="13315" max="13315" width="16.5703125" style="15" customWidth="1"/>
    <col min="13316" max="13316" width="3" style="15" customWidth="1"/>
    <col min="13317" max="13317" width="11.42578125" style="15" customWidth="1"/>
    <col min="13318" max="13318" width="1.42578125" style="15" customWidth="1"/>
    <col min="13319" max="13319" width="3.42578125" style="15" customWidth="1"/>
    <col min="13320" max="13320" width="1.42578125" style="15" customWidth="1"/>
    <col min="13321" max="13321" width="12.5703125" style="15" customWidth="1"/>
    <col min="13322" max="13322" width="3.42578125" style="15" customWidth="1"/>
    <col min="13323" max="13323" width="12.5703125" style="15" customWidth="1"/>
    <col min="13324" max="13324" width="1.42578125" style="15" customWidth="1"/>
    <col min="13325" max="13325" width="3.5703125" style="15" customWidth="1"/>
    <col min="13326" max="13326" width="1.5703125" style="15" customWidth="1"/>
    <col min="13327" max="13327" width="14" style="15" customWidth="1"/>
    <col min="13328" max="13328" width="2.42578125" style="15" customWidth="1"/>
    <col min="13329" max="13567" width="9.140625" style="15"/>
    <col min="13568" max="13568" width="2.5703125" style="15" customWidth="1"/>
    <col min="13569" max="13569" width="6.42578125" style="15" customWidth="1"/>
    <col min="13570" max="13570" width="3.5703125" style="15" customWidth="1"/>
    <col min="13571" max="13571" width="16.5703125" style="15" customWidth="1"/>
    <col min="13572" max="13572" width="3" style="15" customWidth="1"/>
    <col min="13573" max="13573" width="11.42578125" style="15" customWidth="1"/>
    <col min="13574" max="13574" width="1.42578125" style="15" customWidth="1"/>
    <col min="13575" max="13575" width="3.42578125" style="15" customWidth="1"/>
    <col min="13576" max="13576" width="1.42578125" style="15" customWidth="1"/>
    <col min="13577" max="13577" width="12.5703125" style="15" customWidth="1"/>
    <col min="13578" max="13578" width="3.42578125" style="15" customWidth="1"/>
    <col min="13579" max="13579" width="12.5703125" style="15" customWidth="1"/>
    <col min="13580" max="13580" width="1.42578125" style="15" customWidth="1"/>
    <col min="13581" max="13581" width="3.5703125" style="15" customWidth="1"/>
    <col min="13582" max="13582" width="1.5703125" style="15" customWidth="1"/>
    <col min="13583" max="13583" width="14" style="15" customWidth="1"/>
    <col min="13584" max="13584" width="2.42578125" style="15" customWidth="1"/>
    <col min="13585" max="13823" width="9.140625" style="15"/>
    <col min="13824" max="13824" width="2.5703125" style="15" customWidth="1"/>
    <col min="13825" max="13825" width="6.42578125" style="15" customWidth="1"/>
    <col min="13826" max="13826" width="3.5703125" style="15" customWidth="1"/>
    <col min="13827" max="13827" width="16.5703125" style="15" customWidth="1"/>
    <col min="13828" max="13828" width="3" style="15" customWidth="1"/>
    <col min="13829" max="13829" width="11.42578125" style="15" customWidth="1"/>
    <col min="13830" max="13830" width="1.42578125" style="15" customWidth="1"/>
    <col min="13831" max="13831" width="3.42578125" style="15" customWidth="1"/>
    <col min="13832" max="13832" width="1.42578125" style="15" customWidth="1"/>
    <col min="13833" max="13833" width="12.5703125" style="15" customWidth="1"/>
    <col min="13834" max="13834" width="3.42578125" style="15" customWidth="1"/>
    <col min="13835" max="13835" width="12.5703125" style="15" customWidth="1"/>
    <col min="13836" max="13836" width="1.42578125" style="15" customWidth="1"/>
    <col min="13837" max="13837" width="3.5703125" style="15" customWidth="1"/>
    <col min="13838" max="13838" width="1.5703125" style="15" customWidth="1"/>
    <col min="13839" max="13839" width="14" style="15" customWidth="1"/>
    <col min="13840" max="13840" width="2.42578125" style="15" customWidth="1"/>
    <col min="13841" max="14079" width="9.140625" style="15"/>
    <col min="14080" max="14080" width="2.5703125" style="15" customWidth="1"/>
    <col min="14081" max="14081" width="6.42578125" style="15" customWidth="1"/>
    <col min="14082" max="14082" width="3.5703125" style="15" customWidth="1"/>
    <col min="14083" max="14083" width="16.5703125" style="15" customWidth="1"/>
    <col min="14084" max="14084" width="3" style="15" customWidth="1"/>
    <col min="14085" max="14085" width="11.42578125" style="15" customWidth="1"/>
    <col min="14086" max="14086" width="1.42578125" style="15" customWidth="1"/>
    <col min="14087" max="14087" width="3.42578125" style="15" customWidth="1"/>
    <col min="14088" max="14088" width="1.42578125" style="15" customWidth="1"/>
    <col min="14089" max="14089" width="12.5703125" style="15" customWidth="1"/>
    <col min="14090" max="14090" width="3.42578125" style="15" customWidth="1"/>
    <col min="14091" max="14091" width="12.5703125" style="15" customWidth="1"/>
    <col min="14092" max="14092" width="1.42578125" style="15" customWidth="1"/>
    <col min="14093" max="14093" width="3.5703125" style="15" customWidth="1"/>
    <col min="14094" max="14094" width="1.5703125" style="15" customWidth="1"/>
    <col min="14095" max="14095" width="14" style="15" customWidth="1"/>
    <col min="14096" max="14096" width="2.42578125" style="15" customWidth="1"/>
    <col min="14097" max="14335" width="9.140625" style="15"/>
    <col min="14336" max="14336" width="2.5703125" style="15" customWidth="1"/>
    <col min="14337" max="14337" width="6.42578125" style="15" customWidth="1"/>
    <col min="14338" max="14338" width="3.5703125" style="15" customWidth="1"/>
    <col min="14339" max="14339" width="16.5703125" style="15" customWidth="1"/>
    <col min="14340" max="14340" width="3" style="15" customWidth="1"/>
    <col min="14341" max="14341" width="11.42578125" style="15" customWidth="1"/>
    <col min="14342" max="14342" width="1.42578125" style="15" customWidth="1"/>
    <col min="14343" max="14343" width="3.42578125" style="15" customWidth="1"/>
    <col min="14344" max="14344" width="1.42578125" style="15" customWidth="1"/>
    <col min="14345" max="14345" width="12.5703125" style="15" customWidth="1"/>
    <col min="14346" max="14346" width="3.42578125" style="15" customWidth="1"/>
    <col min="14347" max="14347" width="12.5703125" style="15" customWidth="1"/>
    <col min="14348" max="14348" width="1.42578125" style="15" customWidth="1"/>
    <col min="14349" max="14349" width="3.5703125" style="15" customWidth="1"/>
    <col min="14350" max="14350" width="1.5703125" style="15" customWidth="1"/>
    <col min="14351" max="14351" width="14" style="15" customWidth="1"/>
    <col min="14352" max="14352" width="2.42578125" style="15" customWidth="1"/>
    <col min="14353" max="14591" width="9.140625" style="15"/>
    <col min="14592" max="14592" width="2.5703125" style="15" customWidth="1"/>
    <col min="14593" max="14593" width="6.42578125" style="15" customWidth="1"/>
    <col min="14594" max="14594" width="3.5703125" style="15" customWidth="1"/>
    <col min="14595" max="14595" width="16.5703125" style="15" customWidth="1"/>
    <col min="14596" max="14596" width="3" style="15" customWidth="1"/>
    <col min="14597" max="14597" width="11.42578125" style="15" customWidth="1"/>
    <col min="14598" max="14598" width="1.42578125" style="15" customWidth="1"/>
    <col min="14599" max="14599" width="3.42578125" style="15" customWidth="1"/>
    <col min="14600" max="14600" width="1.42578125" style="15" customWidth="1"/>
    <col min="14601" max="14601" width="12.5703125" style="15" customWidth="1"/>
    <col min="14602" max="14602" width="3.42578125" style="15" customWidth="1"/>
    <col min="14603" max="14603" width="12.5703125" style="15" customWidth="1"/>
    <col min="14604" max="14604" width="1.42578125" style="15" customWidth="1"/>
    <col min="14605" max="14605" width="3.5703125" style="15" customWidth="1"/>
    <col min="14606" max="14606" width="1.5703125" style="15" customWidth="1"/>
    <col min="14607" max="14607" width="14" style="15" customWidth="1"/>
    <col min="14608" max="14608" width="2.42578125" style="15" customWidth="1"/>
    <col min="14609" max="14847" width="9.140625" style="15"/>
    <col min="14848" max="14848" width="2.5703125" style="15" customWidth="1"/>
    <col min="14849" max="14849" width="6.42578125" style="15" customWidth="1"/>
    <col min="14850" max="14850" width="3.5703125" style="15" customWidth="1"/>
    <col min="14851" max="14851" width="16.5703125" style="15" customWidth="1"/>
    <col min="14852" max="14852" width="3" style="15" customWidth="1"/>
    <col min="14853" max="14853" width="11.42578125" style="15" customWidth="1"/>
    <col min="14854" max="14854" width="1.42578125" style="15" customWidth="1"/>
    <col min="14855" max="14855" width="3.42578125" style="15" customWidth="1"/>
    <col min="14856" max="14856" width="1.42578125" style="15" customWidth="1"/>
    <col min="14857" max="14857" width="12.5703125" style="15" customWidth="1"/>
    <col min="14858" max="14858" width="3.42578125" style="15" customWidth="1"/>
    <col min="14859" max="14859" width="12.5703125" style="15" customWidth="1"/>
    <col min="14860" max="14860" width="1.42578125" style="15" customWidth="1"/>
    <col min="14861" max="14861" width="3.5703125" style="15" customWidth="1"/>
    <col min="14862" max="14862" width="1.5703125" style="15" customWidth="1"/>
    <col min="14863" max="14863" width="14" style="15" customWidth="1"/>
    <col min="14864" max="14864" width="2.42578125" style="15" customWidth="1"/>
    <col min="14865" max="15103" width="9.140625" style="15"/>
    <col min="15104" max="15104" width="2.5703125" style="15" customWidth="1"/>
    <col min="15105" max="15105" width="6.42578125" style="15" customWidth="1"/>
    <col min="15106" max="15106" width="3.5703125" style="15" customWidth="1"/>
    <col min="15107" max="15107" width="16.5703125" style="15" customWidth="1"/>
    <col min="15108" max="15108" width="3" style="15" customWidth="1"/>
    <col min="15109" max="15109" width="11.42578125" style="15" customWidth="1"/>
    <col min="15110" max="15110" width="1.42578125" style="15" customWidth="1"/>
    <col min="15111" max="15111" width="3.42578125" style="15" customWidth="1"/>
    <col min="15112" max="15112" width="1.42578125" style="15" customWidth="1"/>
    <col min="15113" max="15113" width="12.5703125" style="15" customWidth="1"/>
    <col min="15114" max="15114" width="3.42578125" style="15" customWidth="1"/>
    <col min="15115" max="15115" width="12.5703125" style="15" customWidth="1"/>
    <col min="15116" max="15116" width="1.42578125" style="15" customWidth="1"/>
    <col min="15117" max="15117" width="3.5703125" style="15" customWidth="1"/>
    <col min="15118" max="15118" width="1.5703125" style="15" customWidth="1"/>
    <col min="15119" max="15119" width="14" style="15" customWidth="1"/>
    <col min="15120" max="15120" width="2.42578125" style="15" customWidth="1"/>
    <col min="15121" max="15359" width="9.140625" style="15"/>
    <col min="15360" max="15360" width="2.5703125" style="15" customWidth="1"/>
    <col min="15361" max="15361" width="6.42578125" style="15" customWidth="1"/>
    <col min="15362" max="15362" width="3.5703125" style="15" customWidth="1"/>
    <col min="15363" max="15363" width="16.5703125" style="15" customWidth="1"/>
    <col min="15364" max="15364" width="3" style="15" customWidth="1"/>
    <col min="15365" max="15365" width="11.42578125" style="15" customWidth="1"/>
    <col min="15366" max="15366" width="1.42578125" style="15" customWidth="1"/>
    <col min="15367" max="15367" width="3.42578125" style="15" customWidth="1"/>
    <col min="15368" max="15368" width="1.42578125" style="15" customWidth="1"/>
    <col min="15369" max="15369" width="12.5703125" style="15" customWidth="1"/>
    <col min="15370" max="15370" width="3.42578125" style="15" customWidth="1"/>
    <col min="15371" max="15371" width="12.5703125" style="15" customWidth="1"/>
    <col min="15372" max="15372" width="1.42578125" style="15" customWidth="1"/>
    <col min="15373" max="15373" width="3.5703125" style="15" customWidth="1"/>
    <col min="15374" max="15374" width="1.5703125" style="15" customWidth="1"/>
    <col min="15375" max="15375" width="14" style="15" customWidth="1"/>
    <col min="15376" max="15376" width="2.42578125" style="15" customWidth="1"/>
    <col min="15377" max="15615" width="9.140625" style="15"/>
    <col min="15616" max="15616" width="2.5703125" style="15" customWidth="1"/>
    <col min="15617" max="15617" width="6.42578125" style="15" customWidth="1"/>
    <col min="15618" max="15618" width="3.5703125" style="15" customWidth="1"/>
    <col min="15619" max="15619" width="16.5703125" style="15" customWidth="1"/>
    <col min="15620" max="15620" width="3" style="15" customWidth="1"/>
    <col min="15621" max="15621" width="11.42578125" style="15" customWidth="1"/>
    <col min="15622" max="15622" width="1.42578125" style="15" customWidth="1"/>
    <col min="15623" max="15623" width="3.42578125" style="15" customWidth="1"/>
    <col min="15624" max="15624" width="1.42578125" style="15" customWidth="1"/>
    <col min="15625" max="15625" width="12.5703125" style="15" customWidth="1"/>
    <col min="15626" max="15626" width="3.42578125" style="15" customWidth="1"/>
    <col min="15627" max="15627" width="12.5703125" style="15" customWidth="1"/>
    <col min="15628" max="15628" width="1.42578125" style="15" customWidth="1"/>
    <col min="15629" max="15629" width="3.5703125" style="15" customWidth="1"/>
    <col min="15630" max="15630" width="1.5703125" style="15" customWidth="1"/>
    <col min="15631" max="15631" width="14" style="15" customWidth="1"/>
    <col min="15632" max="15632" width="2.42578125" style="15" customWidth="1"/>
    <col min="15633" max="15871" width="9.140625" style="15"/>
    <col min="15872" max="15872" width="2.5703125" style="15" customWidth="1"/>
    <col min="15873" max="15873" width="6.42578125" style="15" customWidth="1"/>
    <col min="15874" max="15874" width="3.5703125" style="15" customWidth="1"/>
    <col min="15875" max="15875" width="16.5703125" style="15" customWidth="1"/>
    <col min="15876" max="15876" width="3" style="15" customWidth="1"/>
    <col min="15877" max="15877" width="11.42578125" style="15" customWidth="1"/>
    <col min="15878" max="15878" width="1.42578125" style="15" customWidth="1"/>
    <col min="15879" max="15879" width="3.42578125" style="15" customWidth="1"/>
    <col min="15880" max="15880" width="1.42578125" style="15" customWidth="1"/>
    <col min="15881" max="15881" width="12.5703125" style="15" customWidth="1"/>
    <col min="15882" max="15882" width="3.42578125" style="15" customWidth="1"/>
    <col min="15883" max="15883" width="12.5703125" style="15" customWidth="1"/>
    <col min="15884" max="15884" width="1.42578125" style="15" customWidth="1"/>
    <col min="15885" max="15885" width="3.5703125" style="15" customWidth="1"/>
    <col min="15886" max="15886" width="1.5703125" style="15" customWidth="1"/>
    <col min="15887" max="15887" width="14" style="15" customWidth="1"/>
    <col min="15888" max="15888" width="2.42578125" style="15" customWidth="1"/>
    <col min="15889" max="16127" width="9.140625" style="15"/>
    <col min="16128" max="16128" width="2.5703125" style="15" customWidth="1"/>
    <col min="16129" max="16129" width="6.42578125" style="15" customWidth="1"/>
    <col min="16130" max="16130" width="3.5703125" style="15" customWidth="1"/>
    <col min="16131" max="16131" width="16.5703125" style="15" customWidth="1"/>
    <col min="16132" max="16132" width="3" style="15" customWidth="1"/>
    <col min="16133" max="16133" width="11.42578125" style="15" customWidth="1"/>
    <col min="16134" max="16134" width="1.42578125" style="15" customWidth="1"/>
    <col min="16135" max="16135" width="3.42578125" style="15" customWidth="1"/>
    <col min="16136" max="16136" width="1.42578125" style="15" customWidth="1"/>
    <col min="16137" max="16137" width="12.5703125" style="15" customWidth="1"/>
    <col min="16138" max="16138" width="3.42578125" style="15" customWidth="1"/>
    <col min="16139" max="16139" width="12.5703125" style="15" customWidth="1"/>
    <col min="16140" max="16140" width="1.42578125" style="15" customWidth="1"/>
    <col min="16141" max="16141" width="3.5703125" style="15" customWidth="1"/>
    <col min="16142" max="16142" width="1.5703125" style="15" customWidth="1"/>
    <col min="16143" max="16143" width="14" style="15" customWidth="1"/>
    <col min="16144" max="16144" width="2.42578125" style="15" customWidth="1"/>
    <col min="16145" max="16384" width="9.140625" style="15"/>
  </cols>
  <sheetData>
    <row r="1" spans="1:16">
      <c r="O1" s="190" t="str">
        <f>'5C_Debt Instruments'!K1</f>
        <v>EB-2024-0130</v>
      </c>
    </row>
    <row r="2" spans="1:16">
      <c r="O2" s="190" t="str">
        <f>'5C_Debt Instruments'!K2</f>
        <v>Exhibit 5</v>
      </c>
    </row>
    <row r="3" spans="1:16">
      <c r="O3" s="191">
        <f>'5C_Debt Instruments'!K3</f>
        <v>45491</v>
      </c>
    </row>
    <row r="4" spans="1:16" ht="18">
      <c r="C4" s="552" t="s">
        <v>283</v>
      </c>
      <c r="D4" s="552"/>
      <c r="E4" s="552"/>
      <c r="F4" s="552"/>
      <c r="G4" s="552"/>
      <c r="H4" s="552"/>
      <c r="I4" s="552"/>
      <c r="J4" s="552"/>
      <c r="K4" s="552"/>
      <c r="L4" s="552"/>
      <c r="M4" s="552"/>
      <c r="N4" s="552"/>
      <c r="O4" s="552"/>
    </row>
    <row r="5" spans="1:16" ht="18">
      <c r="C5" s="641" t="s">
        <v>138</v>
      </c>
      <c r="D5" s="641"/>
      <c r="E5" s="641"/>
      <c r="F5" s="641"/>
      <c r="G5" s="641"/>
      <c r="H5" s="641"/>
      <c r="I5" s="641"/>
      <c r="J5" s="641"/>
      <c r="K5" s="641"/>
      <c r="L5" s="641"/>
      <c r="M5" s="641"/>
      <c r="N5" s="641"/>
      <c r="O5" s="641"/>
    </row>
    <row r="7" spans="1:16">
      <c r="A7" s="125"/>
      <c r="B7" s="125"/>
      <c r="C7" s="125"/>
      <c r="D7" s="125"/>
      <c r="E7" s="125"/>
      <c r="F7" s="125"/>
      <c r="G7" s="125"/>
      <c r="H7" s="125"/>
      <c r="I7" s="125"/>
      <c r="J7" s="125"/>
      <c r="K7" s="125"/>
      <c r="L7" s="125"/>
      <c r="M7" s="125"/>
      <c r="N7" s="125"/>
      <c r="O7" s="125"/>
    </row>
    <row r="8" spans="1:16" s="1" customFormat="1" ht="15">
      <c r="B8" s="15"/>
      <c r="C8" s="15"/>
      <c r="G8" s="4" t="s">
        <v>139</v>
      </c>
      <c r="H8" s="642">
        <f>TESTYEAR</f>
        <v>2025</v>
      </c>
      <c r="I8" s="642"/>
      <c r="J8" s="642"/>
    </row>
    <row r="10" spans="1:16">
      <c r="A10" s="643" t="s">
        <v>140</v>
      </c>
      <c r="B10" s="16"/>
      <c r="C10" s="16"/>
      <c r="D10" s="16"/>
      <c r="E10" s="16"/>
      <c r="F10" s="16"/>
      <c r="G10" s="16"/>
      <c r="H10" s="16"/>
      <c r="I10" s="16"/>
      <c r="J10" s="16"/>
      <c r="K10" s="16"/>
      <c r="L10" s="16"/>
      <c r="M10" s="16"/>
      <c r="N10" s="16"/>
      <c r="O10" s="16"/>
    </row>
    <row r="11" spans="1:16">
      <c r="A11" s="644"/>
      <c r="B11" s="16"/>
      <c r="C11" s="126" t="s">
        <v>141</v>
      </c>
      <c r="D11" s="16"/>
      <c r="E11" s="645" t="s">
        <v>142</v>
      </c>
      <c r="F11" s="645"/>
      <c r="G11" s="645"/>
      <c r="H11" s="645"/>
      <c r="I11" s="645"/>
      <c r="J11" s="127"/>
      <c r="K11" s="126" t="s">
        <v>143</v>
      </c>
      <c r="L11" s="128"/>
      <c r="M11" s="16"/>
      <c r="N11" s="16"/>
      <c r="O11" s="126" t="s">
        <v>144</v>
      </c>
    </row>
    <row r="12" spans="1:16">
      <c r="A12" s="17"/>
      <c r="B12" s="16"/>
      <c r="C12" s="16"/>
      <c r="D12" s="16"/>
      <c r="E12" s="16"/>
      <c r="F12" s="16"/>
      <c r="G12" s="16"/>
      <c r="H12" s="16"/>
      <c r="I12" s="129"/>
      <c r="J12" s="129"/>
      <c r="K12" s="16"/>
      <c r="L12" s="16"/>
      <c r="M12" s="16"/>
      <c r="N12" s="16"/>
      <c r="O12" s="16"/>
    </row>
    <row r="13" spans="1:16">
      <c r="A13" s="130"/>
      <c r="B13" s="16"/>
      <c r="C13" s="16"/>
      <c r="D13" s="16"/>
      <c r="E13" s="131" t="s">
        <v>145</v>
      </c>
      <c r="F13" s="132"/>
      <c r="G13" s="132"/>
      <c r="H13" s="132"/>
      <c r="I13" s="131" t="s">
        <v>146</v>
      </c>
      <c r="J13" s="16"/>
      <c r="K13" s="131" t="s">
        <v>145</v>
      </c>
      <c r="L13" s="132"/>
      <c r="M13" s="16"/>
      <c r="N13" s="16"/>
      <c r="O13" s="129" t="s">
        <v>146</v>
      </c>
      <c r="P13" s="16"/>
    </row>
    <row r="14" spans="1:16">
      <c r="A14" s="130"/>
      <c r="B14" s="16"/>
      <c r="C14" s="133" t="s">
        <v>147</v>
      </c>
      <c r="D14" s="16"/>
      <c r="E14" s="16"/>
      <c r="F14" s="16"/>
      <c r="G14" s="16"/>
      <c r="H14" s="16"/>
      <c r="I14" s="16"/>
      <c r="J14" s="16"/>
      <c r="K14" s="16"/>
      <c r="L14" s="16"/>
      <c r="M14" s="16"/>
      <c r="N14" s="16"/>
      <c r="O14" s="16"/>
      <c r="P14" s="16"/>
    </row>
    <row r="15" spans="1:16">
      <c r="A15" s="130">
        <v>1</v>
      </c>
      <c r="B15" s="16"/>
      <c r="C15" s="134" t="s">
        <v>148</v>
      </c>
      <c r="D15" s="16"/>
      <c r="E15" s="135">
        <v>0.56000000000000005</v>
      </c>
      <c r="F15" s="136"/>
      <c r="G15" s="137"/>
      <c r="H15" s="138"/>
      <c r="I15" s="139">
        <f>$I$24*E15</f>
        <v>14910872.233861754</v>
      </c>
      <c r="J15" s="16"/>
      <c r="K15" s="140">
        <f>'5C_Debt Instruments'!I122</f>
        <v>3.8728200327638657E-2</v>
      </c>
      <c r="L15" s="136"/>
      <c r="M15" s="137"/>
      <c r="N15" s="138"/>
      <c r="O15" s="139">
        <f>K15*I15</f>
        <v>577471.24693282286</v>
      </c>
      <c r="P15" s="16"/>
    </row>
    <row r="16" spans="1:16">
      <c r="A16" s="130">
        <v>2</v>
      </c>
      <c r="B16" s="16"/>
      <c r="C16" s="134" t="s">
        <v>149</v>
      </c>
      <c r="D16" s="16"/>
      <c r="E16" s="135">
        <v>0.04</v>
      </c>
      <c r="F16" s="136"/>
      <c r="G16" s="141" t="s">
        <v>150</v>
      </c>
      <c r="H16" s="141"/>
      <c r="I16" s="142">
        <f>$I$24*E16</f>
        <v>1065062.3024186967</v>
      </c>
      <c r="J16" s="16"/>
      <c r="K16" s="143">
        <v>6.2300000000000001E-2</v>
      </c>
      <c r="L16" s="136"/>
      <c r="M16" s="137"/>
      <c r="N16" s="138"/>
      <c r="O16" s="142">
        <f>K16*I16</f>
        <v>66353.381440684811</v>
      </c>
      <c r="P16" s="16"/>
    </row>
    <row r="17" spans="1:16" ht="13.5" thickBot="1">
      <c r="A17" s="130">
        <v>3</v>
      </c>
      <c r="B17" s="16"/>
      <c r="C17" s="130" t="s">
        <v>151</v>
      </c>
      <c r="D17" s="16"/>
      <c r="E17" s="144">
        <f>SUM(E15:E16)</f>
        <v>0.60000000000000009</v>
      </c>
      <c r="F17" s="145"/>
      <c r="G17" s="144"/>
      <c r="H17" s="145"/>
      <c r="I17" s="146">
        <f>SUM(I15:I16)</f>
        <v>15975934.536280449</v>
      </c>
      <c r="J17" s="16"/>
      <c r="K17" s="147">
        <f>IF(E17=0,0,SUMPRODUCT(E15:E16,K15:K16)/E17)</f>
        <v>4.0299653639129414E-2</v>
      </c>
      <c r="L17" s="136"/>
      <c r="M17" s="148"/>
      <c r="N17" s="59"/>
      <c r="O17" s="146">
        <f>SUM(O15:O16)</f>
        <v>643824.62837350764</v>
      </c>
      <c r="P17" s="16"/>
    </row>
    <row r="18" spans="1:16" ht="13.5" thickTop="1">
      <c r="A18" s="130"/>
      <c r="B18" s="16"/>
      <c r="C18" s="16"/>
      <c r="D18" s="16"/>
      <c r="E18" s="149"/>
      <c r="F18" s="150"/>
      <c r="G18" s="149"/>
      <c r="H18" s="150"/>
      <c r="I18" s="151"/>
      <c r="J18" s="16"/>
      <c r="K18" s="152"/>
      <c r="L18" s="136"/>
      <c r="M18" s="59"/>
      <c r="N18" s="59"/>
      <c r="O18" s="151"/>
      <c r="P18" s="16"/>
    </row>
    <row r="19" spans="1:16">
      <c r="A19" s="130"/>
      <c r="B19" s="16"/>
      <c r="C19" s="133" t="s">
        <v>152</v>
      </c>
      <c r="D19" s="16"/>
      <c r="E19" s="149"/>
      <c r="F19" s="150"/>
      <c r="G19" s="149"/>
      <c r="H19" s="150"/>
      <c r="I19" s="151"/>
      <c r="J19" s="16"/>
      <c r="K19" s="152"/>
      <c r="L19" s="136"/>
      <c r="M19" s="59"/>
      <c r="N19" s="59"/>
      <c r="O19" s="151"/>
      <c r="P19" s="16"/>
    </row>
    <row r="20" spans="1:16">
      <c r="A20" s="153">
        <v>4</v>
      </c>
      <c r="B20" s="154"/>
      <c r="C20" s="155" t="s">
        <v>153</v>
      </c>
      <c r="D20" s="154"/>
      <c r="E20" s="135">
        <v>0.4</v>
      </c>
      <c r="F20" s="156"/>
      <c r="G20" s="137"/>
      <c r="H20" s="138"/>
      <c r="I20" s="157">
        <f>$I$24*E20</f>
        <v>10650623.024186967</v>
      </c>
      <c r="J20" s="154"/>
      <c r="K20" s="140">
        <v>9.2100000000000001E-2</v>
      </c>
      <c r="L20" s="156"/>
      <c r="M20" s="137"/>
      <c r="N20" s="138"/>
      <c r="O20" s="157">
        <f>K20*I20</f>
        <v>980922.38052761962</v>
      </c>
      <c r="P20" s="16"/>
    </row>
    <row r="21" spans="1:16">
      <c r="A21" s="153">
        <v>5</v>
      </c>
      <c r="B21" s="154"/>
      <c r="C21" s="155" t="s">
        <v>154</v>
      </c>
      <c r="D21" s="154"/>
      <c r="E21" s="158">
        <v>0</v>
      </c>
      <c r="F21" s="156"/>
      <c r="G21" s="137"/>
      <c r="H21" s="138"/>
      <c r="I21" s="159">
        <f>$I$24*E21</f>
        <v>0</v>
      </c>
      <c r="J21" s="154"/>
      <c r="K21" s="158">
        <v>0</v>
      </c>
      <c r="L21" s="156"/>
      <c r="M21" s="137"/>
      <c r="N21" s="138"/>
      <c r="O21" s="159">
        <f>K21*I21</f>
        <v>0</v>
      </c>
      <c r="P21" s="16"/>
    </row>
    <row r="22" spans="1:16" ht="13.5" thickBot="1">
      <c r="A22" s="130">
        <v>6</v>
      </c>
      <c r="B22" s="16"/>
      <c r="C22" s="130" t="s">
        <v>155</v>
      </c>
      <c r="D22" s="16"/>
      <c r="E22" s="144">
        <f>SUM(E20:E21)</f>
        <v>0.4</v>
      </c>
      <c r="F22" s="144"/>
      <c r="G22" s="144"/>
      <c r="H22" s="145"/>
      <c r="I22" s="146">
        <f>SUM(I20:I21)</f>
        <v>10650623.024186967</v>
      </c>
      <c r="J22" s="16"/>
      <c r="K22" s="147">
        <f>IF(E22=0,0,SUMPRODUCT(E20:E21,K20:K21)/E22)</f>
        <v>9.2100000000000001E-2</v>
      </c>
      <c r="L22" s="136"/>
      <c r="M22" s="59"/>
      <c r="N22" s="59"/>
      <c r="O22" s="146">
        <f>SUM(O20:O21)</f>
        <v>980922.38052761962</v>
      </c>
      <c r="P22" s="16"/>
    </row>
    <row r="23" spans="1:16" ht="13.5" thickTop="1">
      <c r="A23" s="130"/>
      <c r="B23" s="16"/>
      <c r="C23" s="16"/>
      <c r="D23" s="16"/>
      <c r="E23" s="16"/>
      <c r="F23" s="16"/>
      <c r="G23" s="16"/>
      <c r="H23" s="16"/>
      <c r="I23" s="151"/>
      <c r="J23" s="16"/>
      <c r="K23" s="152"/>
      <c r="L23" s="152"/>
      <c r="M23" s="59"/>
      <c r="N23" s="59"/>
      <c r="O23" s="151"/>
      <c r="P23" s="16"/>
    </row>
    <row r="24" spans="1:16" ht="13.5" thickBot="1">
      <c r="A24" s="130">
        <v>7</v>
      </c>
      <c r="B24" s="16"/>
      <c r="C24" s="133" t="s">
        <v>6</v>
      </c>
      <c r="D24" s="16"/>
      <c r="E24" s="160">
        <v>1</v>
      </c>
      <c r="F24" s="160"/>
      <c r="G24" s="161"/>
      <c r="H24" s="161"/>
      <c r="I24" s="162">
        <v>26626557.560467415</v>
      </c>
      <c r="J24" s="16"/>
      <c r="K24" s="163">
        <f>(K17*E17)+(K22*E22)</f>
        <v>6.1019792183477653E-2</v>
      </c>
      <c r="L24" s="152"/>
      <c r="M24" s="16"/>
      <c r="N24" s="16"/>
      <c r="O24" s="164">
        <f>O17+O22</f>
        <v>1624747.0089011271</v>
      </c>
      <c r="P24" s="16"/>
    </row>
    <row r="25" spans="1:16" ht="13.5" thickTop="1">
      <c r="A25" s="130"/>
      <c r="B25" s="16"/>
      <c r="C25" s="16"/>
      <c r="D25" s="16"/>
      <c r="E25" s="16"/>
      <c r="F25" s="16"/>
      <c r="G25" s="16"/>
      <c r="H25" s="16"/>
      <c r="I25" s="16"/>
      <c r="J25" s="16"/>
      <c r="K25" s="16"/>
      <c r="L25" s="16"/>
      <c r="M25" s="16"/>
      <c r="N25" s="16"/>
      <c r="O25" s="16"/>
      <c r="P25" s="16"/>
    </row>
    <row r="26" spans="1:16">
      <c r="A26" s="130"/>
      <c r="B26" s="16"/>
      <c r="C26" s="16"/>
      <c r="D26" s="16"/>
      <c r="E26" s="16"/>
      <c r="F26" s="16"/>
      <c r="G26" s="16"/>
      <c r="H26" s="16"/>
      <c r="I26" s="16"/>
      <c r="J26" s="16"/>
      <c r="K26" s="16"/>
      <c r="L26" s="16"/>
      <c r="M26" s="16"/>
      <c r="N26" s="16"/>
      <c r="O26" s="16"/>
      <c r="P26" s="16"/>
    </row>
    <row r="27" spans="1:16">
      <c r="A27" s="648" t="s">
        <v>156</v>
      </c>
      <c r="B27" s="648"/>
      <c r="C27" s="648"/>
      <c r="D27" s="648"/>
      <c r="E27" s="648"/>
      <c r="F27" s="648"/>
      <c r="G27" s="648"/>
      <c r="H27" s="648"/>
      <c r="I27" s="648"/>
      <c r="J27" s="648"/>
      <c r="K27" s="648"/>
      <c r="L27" s="648"/>
      <c r="M27" s="648"/>
      <c r="N27" s="648"/>
      <c r="O27" s="648"/>
    </row>
    <row r="28" spans="1:16" hidden="1">
      <c r="A28" s="165"/>
      <c r="C28" s="646"/>
      <c r="D28" s="646"/>
      <c r="E28" s="646"/>
      <c r="F28" s="646"/>
      <c r="G28" s="646"/>
      <c r="H28" s="646"/>
      <c r="I28" s="646"/>
      <c r="J28" s="646"/>
      <c r="K28" s="646"/>
      <c r="L28" s="646"/>
      <c r="M28" s="646"/>
      <c r="N28" s="646"/>
      <c r="O28" s="646"/>
    </row>
    <row r="29" spans="1:16">
      <c r="A29" s="166"/>
      <c r="C29" s="647"/>
      <c r="D29" s="647"/>
      <c r="E29" s="647"/>
      <c r="F29" s="647"/>
      <c r="G29" s="647"/>
      <c r="H29" s="647"/>
      <c r="I29" s="647"/>
      <c r="J29" s="647"/>
      <c r="K29" s="647"/>
      <c r="L29" s="647"/>
      <c r="M29" s="647"/>
      <c r="N29" s="647"/>
      <c r="O29" s="647"/>
    </row>
    <row r="33" spans="1:16" s="1" customFormat="1" ht="15">
      <c r="B33" s="15"/>
      <c r="C33" s="15"/>
      <c r="G33" s="4" t="s">
        <v>157</v>
      </c>
      <c r="H33" s="649">
        <f>Summary!E18</f>
        <v>2020</v>
      </c>
      <c r="I33" s="649"/>
      <c r="J33" s="649"/>
    </row>
    <row r="35" spans="1:16">
      <c r="A35" s="643" t="s">
        <v>140</v>
      </c>
      <c r="B35" s="16"/>
      <c r="C35" s="16"/>
      <c r="D35" s="16"/>
      <c r="E35" s="16"/>
      <c r="F35" s="16"/>
      <c r="G35" s="16"/>
      <c r="H35" s="16"/>
      <c r="I35" s="16"/>
      <c r="J35" s="16"/>
      <c r="K35" s="16"/>
      <c r="L35" s="16"/>
      <c r="M35" s="16"/>
      <c r="N35" s="16"/>
      <c r="O35" s="16"/>
    </row>
    <row r="36" spans="1:16">
      <c r="A36" s="644"/>
      <c r="B36" s="16"/>
      <c r="C36" s="126" t="s">
        <v>141</v>
      </c>
      <c r="D36" s="16"/>
      <c r="E36" s="645" t="s">
        <v>142</v>
      </c>
      <c r="F36" s="645"/>
      <c r="G36" s="645"/>
      <c r="H36" s="645"/>
      <c r="I36" s="645"/>
      <c r="J36" s="127"/>
      <c r="K36" s="126" t="s">
        <v>143</v>
      </c>
      <c r="L36" s="128"/>
      <c r="M36" s="16"/>
      <c r="N36" s="16"/>
      <c r="O36" s="126" t="s">
        <v>144</v>
      </c>
    </row>
    <row r="37" spans="1:16">
      <c r="A37" s="17"/>
      <c r="B37" s="16"/>
      <c r="C37" s="16"/>
      <c r="D37" s="16"/>
      <c r="E37" s="16"/>
      <c r="F37" s="16"/>
      <c r="G37" s="16"/>
      <c r="H37" s="16"/>
      <c r="I37" s="129"/>
      <c r="J37" s="129"/>
      <c r="K37" s="16"/>
      <c r="L37" s="16"/>
      <c r="M37" s="16"/>
      <c r="N37" s="16"/>
      <c r="O37" s="16"/>
    </row>
    <row r="38" spans="1:16">
      <c r="A38" s="130"/>
      <c r="B38" s="16"/>
      <c r="C38" s="16"/>
      <c r="D38" s="16"/>
      <c r="E38" s="131" t="s">
        <v>145</v>
      </c>
      <c r="F38" s="132"/>
      <c r="G38" s="132"/>
      <c r="H38" s="132"/>
      <c r="I38" s="131" t="s">
        <v>146</v>
      </c>
      <c r="J38" s="16"/>
      <c r="K38" s="131" t="s">
        <v>145</v>
      </c>
      <c r="L38" s="132"/>
      <c r="M38" s="16"/>
      <c r="N38" s="16"/>
      <c r="O38" s="129" t="s">
        <v>146</v>
      </c>
      <c r="P38" s="16"/>
    </row>
    <row r="39" spans="1:16">
      <c r="A39" s="130"/>
      <c r="B39" s="16"/>
      <c r="C39" s="133" t="s">
        <v>147</v>
      </c>
      <c r="D39" s="16"/>
      <c r="E39" s="16"/>
      <c r="F39" s="16"/>
      <c r="G39" s="16"/>
      <c r="H39" s="16"/>
      <c r="I39" s="16"/>
      <c r="J39" s="16"/>
      <c r="K39" s="16"/>
      <c r="L39" s="16"/>
      <c r="M39" s="16"/>
      <c r="N39" s="16"/>
      <c r="O39" s="16"/>
      <c r="P39" s="16"/>
    </row>
    <row r="40" spans="1:16">
      <c r="A40" s="130">
        <v>1</v>
      </c>
      <c r="B40" s="16"/>
      <c r="C40" s="134" t="s">
        <v>148</v>
      </c>
      <c r="D40" s="16"/>
      <c r="E40" s="135">
        <v>0.56000000000000005</v>
      </c>
      <c r="F40" s="136"/>
      <c r="G40" s="137"/>
      <c r="H40" s="138"/>
      <c r="I40" s="139">
        <f>$I$49*E40</f>
        <v>8978193.763919821</v>
      </c>
      <c r="J40" s="16"/>
      <c r="K40" s="140">
        <v>3.8399999999999997E-2</v>
      </c>
      <c r="L40" s="136"/>
      <c r="M40" s="137"/>
      <c r="N40" s="138"/>
      <c r="O40" s="139">
        <f>K40*I40</f>
        <v>344762.64053452108</v>
      </c>
      <c r="P40" s="16"/>
    </row>
    <row r="41" spans="1:16">
      <c r="A41" s="130">
        <v>2</v>
      </c>
      <c r="B41" s="16"/>
      <c r="C41" s="134" t="s">
        <v>149</v>
      </c>
      <c r="D41" s="16"/>
      <c r="E41" s="135">
        <v>0.04</v>
      </c>
      <c r="F41" s="136"/>
      <c r="G41" s="141"/>
      <c r="H41" s="141"/>
      <c r="I41" s="142">
        <f>$I$49*E41</f>
        <v>641299.55456570152</v>
      </c>
      <c r="J41" s="16"/>
      <c r="K41" s="143">
        <v>2.8199999999999999E-2</v>
      </c>
      <c r="L41" s="136"/>
      <c r="M41" s="137"/>
      <c r="N41" s="138"/>
      <c r="O41" s="142">
        <f>K41*I41</f>
        <v>18084.647438752781</v>
      </c>
      <c r="P41" s="16"/>
    </row>
    <row r="42" spans="1:16" ht="13.5" thickBot="1">
      <c r="A42" s="130">
        <v>3</v>
      </c>
      <c r="B42" s="16"/>
      <c r="C42" s="130" t="s">
        <v>151</v>
      </c>
      <c r="D42" s="16"/>
      <c r="E42" s="144">
        <f>SUM(E40:E41)</f>
        <v>0.60000000000000009</v>
      </c>
      <c r="F42" s="145"/>
      <c r="G42" s="144"/>
      <c r="H42" s="145"/>
      <c r="I42" s="146">
        <f>SUM(I40:I41)</f>
        <v>9619493.3184855226</v>
      </c>
      <c r="J42" s="16"/>
      <c r="K42" s="147">
        <f>IF(E42=0,0,SUMPRODUCT(E40:E41,K40:K41)/E42)</f>
        <v>3.7719999999999997E-2</v>
      </c>
      <c r="L42" s="136"/>
      <c r="M42" s="148"/>
      <c r="N42" s="59"/>
      <c r="O42" s="146">
        <f>SUM(O40:O41)</f>
        <v>362847.28797327384</v>
      </c>
      <c r="P42" s="16"/>
    </row>
    <row r="43" spans="1:16" ht="13.5" thickTop="1">
      <c r="A43" s="130"/>
      <c r="B43" s="16"/>
      <c r="C43" s="16"/>
      <c r="D43" s="16"/>
      <c r="E43" s="149"/>
      <c r="F43" s="150"/>
      <c r="G43" s="149"/>
      <c r="H43" s="150"/>
      <c r="I43" s="151"/>
      <c r="J43" s="16"/>
      <c r="K43" s="152"/>
      <c r="L43" s="136"/>
      <c r="M43" s="59"/>
      <c r="N43" s="59"/>
      <c r="O43" s="151"/>
      <c r="P43" s="16"/>
    </row>
    <row r="44" spans="1:16">
      <c r="A44" s="130"/>
      <c r="B44" s="16"/>
      <c r="C44" s="133" t="s">
        <v>152</v>
      </c>
      <c r="D44" s="16"/>
      <c r="E44" s="149"/>
      <c r="F44" s="150"/>
      <c r="G44" s="149"/>
      <c r="H44" s="150"/>
      <c r="I44" s="151"/>
      <c r="J44" s="16"/>
      <c r="K44" s="152"/>
      <c r="L44" s="136"/>
      <c r="M44" s="59"/>
      <c r="N44" s="59"/>
      <c r="O44" s="151"/>
      <c r="P44" s="16"/>
    </row>
    <row r="45" spans="1:16">
      <c r="A45" s="153">
        <v>4</v>
      </c>
      <c r="B45" s="154"/>
      <c r="C45" s="155" t="s">
        <v>153</v>
      </c>
      <c r="D45" s="154"/>
      <c r="E45" s="135">
        <v>0.4</v>
      </c>
      <c r="F45" s="156"/>
      <c r="G45" s="137"/>
      <c r="H45" s="138"/>
      <c r="I45" s="157">
        <f>$I$49*E45</f>
        <v>6412995.5456570154</v>
      </c>
      <c r="J45" s="154"/>
      <c r="K45" s="140">
        <v>8.9800000000000005E-2</v>
      </c>
      <c r="L45" s="156"/>
      <c r="M45" s="137"/>
      <c r="N45" s="138"/>
      <c r="O45" s="157">
        <f>K45*I45</f>
        <v>575887</v>
      </c>
      <c r="P45" s="16"/>
    </row>
    <row r="46" spans="1:16">
      <c r="A46" s="153">
        <v>5</v>
      </c>
      <c r="B46" s="154"/>
      <c r="C46" s="155" t="s">
        <v>154</v>
      </c>
      <c r="D46" s="154"/>
      <c r="E46" s="158">
        <v>0</v>
      </c>
      <c r="F46" s="156"/>
      <c r="G46" s="137"/>
      <c r="H46" s="138"/>
      <c r="I46" s="159">
        <f>$I$49*E46</f>
        <v>0</v>
      </c>
      <c r="J46" s="154"/>
      <c r="K46" s="158"/>
      <c r="L46" s="156"/>
      <c r="M46" s="137"/>
      <c r="N46" s="138"/>
      <c r="O46" s="159">
        <f>K46*I46</f>
        <v>0</v>
      </c>
      <c r="P46" s="16"/>
    </row>
    <row r="47" spans="1:16" ht="13.5" thickBot="1">
      <c r="A47" s="130">
        <v>6</v>
      </c>
      <c r="B47" s="16"/>
      <c r="C47" s="130" t="s">
        <v>155</v>
      </c>
      <c r="D47" s="16"/>
      <c r="E47" s="144">
        <f>SUM(E45:E46)</f>
        <v>0.4</v>
      </c>
      <c r="F47" s="144"/>
      <c r="G47" s="144"/>
      <c r="H47" s="145"/>
      <c r="I47" s="146">
        <f>SUM(I45:I46)</f>
        <v>6412995.5456570154</v>
      </c>
      <c r="J47" s="16"/>
      <c r="K47" s="147">
        <f>IF(E47=0,0,SUMPRODUCT(E45:E46,K45:K46)/E47)</f>
        <v>8.9799999999999991E-2</v>
      </c>
      <c r="L47" s="136"/>
      <c r="M47" s="59"/>
      <c r="N47" s="59"/>
      <c r="O47" s="146">
        <f>SUM(O45:O46)</f>
        <v>575887</v>
      </c>
      <c r="P47" s="16"/>
    </row>
    <row r="48" spans="1:16" ht="13.5" thickTop="1">
      <c r="A48" s="130"/>
      <c r="B48" s="16"/>
      <c r="C48" s="16"/>
      <c r="D48" s="16"/>
      <c r="E48" s="16"/>
      <c r="F48" s="16"/>
      <c r="G48" s="16"/>
      <c r="H48" s="16"/>
      <c r="I48" s="151"/>
      <c r="J48" s="16"/>
      <c r="K48" s="152"/>
      <c r="L48" s="152"/>
      <c r="M48" s="59"/>
      <c r="N48" s="59"/>
      <c r="O48" s="151"/>
      <c r="P48" s="16"/>
    </row>
    <row r="49" spans="1:16" ht="13.5" thickBot="1">
      <c r="A49" s="130">
        <v>7</v>
      </c>
      <c r="B49" s="16"/>
      <c r="C49" s="133" t="s">
        <v>6</v>
      </c>
      <c r="D49" s="16"/>
      <c r="E49" s="160">
        <v>1</v>
      </c>
      <c r="F49" s="160"/>
      <c r="G49" s="161"/>
      <c r="H49" s="161"/>
      <c r="I49" s="162">
        <v>16032488.864142537</v>
      </c>
      <c r="J49" s="16"/>
      <c r="K49" s="163">
        <f>(K42*E42)+(K47*E47)</f>
        <v>5.8552000000000007E-2</v>
      </c>
      <c r="L49" s="152"/>
      <c r="M49" s="16"/>
      <c r="N49" s="16"/>
      <c r="O49" s="164">
        <f>O42+O47</f>
        <v>938734.28797327378</v>
      </c>
      <c r="P49" s="16"/>
    </row>
    <row r="50" spans="1:16" ht="13.5" thickTop="1">
      <c r="A50" s="130"/>
      <c r="B50" s="16"/>
      <c r="C50" s="16"/>
      <c r="D50" s="16"/>
      <c r="E50" s="16"/>
      <c r="F50" s="16"/>
      <c r="G50" s="16"/>
      <c r="H50" s="16"/>
      <c r="I50" s="16"/>
      <c r="J50" s="16"/>
      <c r="K50" s="16"/>
      <c r="L50" s="16"/>
      <c r="M50" s="16"/>
      <c r="N50" s="16"/>
      <c r="O50" s="16"/>
      <c r="P50" s="16"/>
    </row>
    <row r="51" spans="1:16">
      <c r="A51" s="130"/>
      <c r="B51" s="16"/>
      <c r="C51" s="16"/>
      <c r="D51" s="16"/>
      <c r="E51" s="16"/>
      <c r="F51" s="16"/>
      <c r="G51" s="16"/>
      <c r="H51" s="16"/>
      <c r="I51" s="16"/>
      <c r="J51" s="16"/>
      <c r="K51" s="16"/>
      <c r="L51" s="16"/>
      <c r="M51" s="16"/>
      <c r="N51" s="16"/>
      <c r="O51" s="16"/>
      <c r="P51" s="16"/>
    </row>
    <row r="52" spans="1:16">
      <c r="A52" s="648" t="s">
        <v>156</v>
      </c>
      <c r="B52" s="648"/>
      <c r="C52" s="648"/>
      <c r="D52" s="648"/>
      <c r="E52" s="648"/>
      <c r="F52" s="648"/>
      <c r="G52" s="648"/>
      <c r="H52" s="648"/>
      <c r="I52" s="648"/>
      <c r="J52" s="648"/>
      <c r="K52" s="648"/>
      <c r="L52" s="648"/>
      <c r="M52" s="648"/>
      <c r="N52" s="648"/>
      <c r="O52" s="648"/>
    </row>
    <row r="53" spans="1:16" hidden="1">
      <c r="A53" s="165"/>
      <c r="C53" s="646"/>
      <c r="D53" s="646"/>
      <c r="E53" s="646"/>
      <c r="F53" s="646"/>
      <c r="G53" s="646"/>
      <c r="H53" s="646"/>
      <c r="I53" s="646"/>
      <c r="J53" s="646"/>
      <c r="K53" s="646"/>
      <c r="L53" s="646"/>
      <c r="M53" s="646"/>
      <c r="N53" s="646"/>
      <c r="O53" s="646"/>
    </row>
    <row r="54" spans="1:16">
      <c r="A54" s="166"/>
      <c r="C54" s="647" t="s">
        <v>284</v>
      </c>
      <c r="D54" s="647"/>
      <c r="E54" s="647"/>
      <c r="F54" s="647"/>
      <c r="G54" s="647"/>
      <c r="H54" s="647"/>
      <c r="I54" s="647"/>
      <c r="J54" s="647"/>
      <c r="K54" s="647"/>
      <c r="L54" s="647"/>
      <c r="M54" s="647"/>
      <c r="N54" s="647"/>
      <c r="O54" s="647"/>
    </row>
    <row r="55" spans="1:16" ht="18">
      <c r="C55" s="167"/>
    </row>
  </sheetData>
  <sheetProtection sheet="1" objects="1" scenarios="1"/>
  <mergeCells count="14">
    <mergeCell ref="C53:O53"/>
    <mergeCell ref="C54:O54"/>
    <mergeCell ref="A52:O52"/>
    <mergeCell ref="A27:O27"/>
    <mergeCell ref="C28:O28"/>
    <mergeCell ref="C29:O29"/>
    <mergeCell ref="H33:J33"/>
    <mergeCell ref="A35:A36"/>
    <mergeCell ref="E36:I36"/>
    <mergeCell ref="C4:O4"/>
    <mergeCell ref="C5:O5"/>
    <mergeCell ref="H8:J8"/>
    <mergeCell ref="A10:A11"/>
    <mergeCell ref="E11:I11"/>
  </mergeCells>
  <dataValidations count="1">
    <dataValidation allowBlank="1" showInputMessage="1" showErrorMessage="1" promptTitle="Date Format" prompt="E.g:  &quot;August 1, 2011&quot;" sqref="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dataValidations>
  <printOptions horizontalCentered="1"/>
  <pageMargins left="0.7" right="0.7" top="0.75" bottom="0.75" header="0.3" footer="0.3"/>
  <pageSetup fitToHeight="2" orientation="landscape" r:id="rId1"/>
  <rowBreaks count="1" manualBreakCount="1">
    <brk id="30" max="16383"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showGridLines="0" zoomScale="80" zoomScaleNormal="80" workbookViewId="0">
      <selection activeCell="B11" sqref="B11"/>
    </sheetView>
  </sheetViews>
  <sheetFormatPr defaultColWidth="9.42578125" defaultRowHeight="14.25"/>
  <cols>
    <col min="1" max="1" width="53.42578125" style="300" customWidth="1"/>
    <col min="2" max="2" width="63.28515625" style="300" customWidth="1"/>
    <col min="3" max="3" width="66.28515625" style="300" customWidth="1"/>
    <col min="4" max="16384" width="9.42578125" style="300"/>
  </cols>
  <sheetData>
    <row r="1" spans="1:4">
      <c r="B1" s="11"/>
      <c r="C1" s="190" t="str">
        <f>OEBFILE</f>
        <v>EB-2024-0130</v>
      </c>
      <c r="D1" s="12"/>
    </row>
    <row r="2" spans="1:4">
      <c r="A2" s="13"/>
      <c r="B2" s="11"/>
      <c r="C2" s="190" t="s">
        <v>223</v>
      </c>
      <c r="D2" s="12"/>
    </row>
    <row r="3" spans="1:4">
      <c r="B3" s="11"/>
      <c r="C3" s="191">
        <v>45491</v>
      </c>
      <c r="D3" s="12"/>
    </row>
    <row r="4" spans="1:4" ht="18">
      <c r="A4" s="551" t="s">
        <v>215</v>
      </c>
      <c r="B4" s="551"/>
      <c r="C4" s="551"/>
      <c r="D4" s="12"/>
    </row>
    <row r="5" spans="1:4" ht="18">
      <c r="A5" s="551" t="s">
        <v>241</v>
      </c>
      <c r="B5" s="551"/>
      <c r="C5" s="551"/>
      <c r="D5" s="12"/>
    </row>
    <row r="7" spans="1:4" ht="28.5" customHeight="1">
      <c r="A7" s="349" t="s">
        <v>22</v>
      </c>
      <c r="B7" s="350" t="s">
        <v>23</v>
      </c>
      <c r="C7" s="350" t="s">
        <v>24</v>
      </c>
    </row>
    <row r="8" spans="1:4" ht="114">
      <c r="A8" s="351" t="s">
        <v>230</v>
      </c>
      <c r="B8" s="329" t="s">
        <v>421</v>
      </c>
      <c r="C8" s="351" t="s">
        <v>422</v>
      </c>
    </row>
    <row r="9" spans="1:4" ht="28.5">
      <c r="A9" s="351" t="s">
        <v>231</v>
      </c>
      <c r="B9" s="329" t="s">
        <v>232</v>
      </c>
      <c r="C9" s="351" t="s">
        <v>233</v>
      </c>
    </row>
    <row r="10" spans="1:4" ht="71.25">
      <c r="A10" s="351" t="s">
        <v>234</v>
      </c>
      <c r="B10" s="351" t="s">
        <v>235</v>
      </c>
      <c r="C10" s="351" t="s">
        <v>423</v>
      </c>
    </row>
    <row r="11" spans="1:4" ht="42.75">
      <c r="A11" s="351" t="s">
        <v>289</v>
      </c>
      <c r="B11" s="351" t="s">
        <v>290</v>
      </c>
      <c r="C11" s="351" t="s">
        <v>424</v>
      </c>
    </row>
    <row r="12" spans="1:4" ht="71.25">
      <c r="A12" s="351" t="s">
        <v>291</v>
      </c>
      <c r="B12" s="351" t="s">
        <v>425</v>
      </c>
      <c r="C12" s="351" t="s">
        <v>438</v>
      </c>
    </row>
    <row r="13" spans="1:4" ht="85.5">
      <c r="A13" s="351" t="s">
        <v>292</v>
      </c>
      <c r="B13" s="351" t="s">
        <v>426</v>
      </c>
      <c r="C13" s="329" t="s">
        <v>427</v>
      </c>
    </row>
    <row r="14" spans="1:4" ht="42.75">
      <c r="A14" s="351" t="s">
        <v>293</v>
      </c>
      <c r="B14" s="351" t="s">
        <v>428</v>
      </c>
      <c r="C14" s="351" t="s">
        <v>429</v>
      </c>
    </row>
    <row r="15" spans="1:4" ht="28.5">
      <c r="A15" s="351" t="s">
        <v>294</v>
      </c>
      <c r="B15" s="351" t="s">
        <v>430</v>
      </c>
      <c r="C15" s="351" t="s">
        <v>431</v>
      </c>
    </row>
    <row r="16" spans="1:4" ht="42.75">
      <c r="A16" s="351" t="s">
        <v>295</v>
      </c>
      <c r="B16" s="351" t="s">
        <v>432</v>
      </c>
      <c r="C16" s="351" t="s">
        <v>346</v>
      </c>
    </row>
    <row r="17" spans="1:3" ht="42.75">
      <c r="A17" s="351" t="s">
        <v>296</v>
      </c>
      <c r="B17" s="351" t="s">
        <v>433</v>
      </c>
      <c r="C17" s="351" t="s">
        <v>434</v>
      </c>
    </row>
    <row r="18" spans="1:3" ht="85.5">
      <c r="A18" s="351" t="s">
        <v>236</v>
      </c>
      <c r="B18" s="351" t="s">
        <v>345</v>
      </c>
      <c r="C18" s="351" t="s">
        <v>237</v>
      </c>
    </row>
    <row r="19" spans="1:3" ht="57">
      <c r="A19" s="351" t="s">
        <v>238</v>
      </c>
      <c r="B19" s="351" t="s">
        <v>239</v>
      </c>
      <c r="C19" s="351" t="s">
        <v>240</v>
      </c>
    </row>
    <row r="20" spans="1:3" ht="28.5">
      <c r="A20" s="351" t="s">
        <v>224</v>
      </c>
      <c r="B20" s="329" t="s">
        <v>225</v>
      </c>
      <c r="C20" s="351" t="s">
        <v>435</v>
      </c>
    </row>
    <row r="21" spans="1:3" ht="28.5">
      <c r="A21" s="351" t="s">
        <v>227</v>
      </c>
      <c r="B21" s="329" t="s">
        <v>228</v>
      </c>
      <c r="C21" s="351" t="s">
        <v>226</v>
      </c>
    </row>
    <row r="22" spans="1:3" ht="71.25">
      <c r="A22" s="329" t="s">
        <v>229</v>
      </c>
      <c r="B22" s="329" t="s">
        <v>436</v>
      </c>
      <c r="C22" s="351" t="s">
        <v>437</v>
      </c>
    </row>
    <row r="23" spans="1:3">
      <c r="A23" s="330"/>
      <c r="B23" s="330"/>
      <c r="C23" s="330"/>
    </row>
    <row r="24" spans="1:3">
      <c r="A24" s="330"/>
      <c r="B24" s="330"/>
      <c r="C24" s="330"/>
    </row>
    <row r="25" spans="1:3">
      <c r="A25" s="330"/>
      <c r="B25" s="330"/>
      <c r="C25" s="330"/>
    </row>
    <row r="27" spans="1:3">
      <c r="A27" s="2"/>
    </row>
  </sheetData>
  <sheetProtection sheet="1" objects="1" scenarios="1"/>
  <mergeCells count="2">
    <mergeCell ref="A4:C4"/>
    <mergeCell ref="A5:C5"/>
  </mergeCells>
  <pageMargins left="0.7" right="0.7" top="0.75" bottom="0.75" header="0.3" footer="0.3"/>
  <pageSetup scale="66" fitToHeight="2" orientation="landscape"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2"/>
  <sheetViews>
    <sheetView showGridLines="0" zoomScale="90" zoomScaleNormal="90" workbookViewId="0">
      <selection activeCell="Q48" sqref="Q48"/>
    </sheetView>
  </sheetViews>
  <sheetFormatPr defaultColWidth="9.42578125" defaultRowHeight="14.25"/>
  <cols>
    <col min="1" max="1" width="5.5703125" style="195" bestFit="1" customWidth="1"/>
    <col min="2" max="2" width="19.140625" style="195" customWidth="1"/>
    <col min="3" max="3" width="17.42578125" style="195" hidden="1" customWidth="1"/>
    <col min="4" max="4" width="15.42578125" style="195" bestFit="1" customWidth="1"/>
    <col min="5" max="5" width="14" style="195" customWidth="1"/>
    <col min="6" max="6" width="12.42578125" style="195" customWidth="1"/>
    <col min="7" max="7" width="8.42578125" style="195" customWidth="1"/>
    <col min="8" max="8" width="13.42578125" style="195" customWidth="1"/>
    <col min="9" max="9" width="9.5703125" style="195" customWidth="1"/>
    <col min="10" max="10" width="13.5703125" style="195" customWidth="1"/>
    <col min="11" max="11" width="18.42578125" style="195" customWidth="1"/>
    <col min="12" max="16384" width="9.42578125" style="195"/>
  </cols>
  <sheetData>
    <row r="1" spans="1:11">
      <c r="K1" s="190" t="str">
        <f>'2B_Capital Expenditures'!U1</f>
        <v>EB-2024-0130</v>
      </c>
    </row>
    <row r="2" spans="1:11">
      <c r="K2" s="190" t="s">
        <v>281</v>
      </c>
    </row>
    <row r="3" spans="1:11">
      <c r="K3" s="191">
        <f>'2B_Capital Expenditures'!U3</f>
        <v>45491</v>
      </c>
    </row>
    <row r="4" spans="1:11" ht="18">
      <c r="A4" s="611" t="s">
        <v>282</v>
      </c>
      <c r="B4" s="611"/>
      <c r="C4" s="611"/>
      <c r="D4" s="611"/>
      <c r="E4" s="611"/>
      <c r="F4" s="611"/>
      <c r="G4" s="611"/>
      <c r="H4" s="611"/>
      <c r="I4" s="611"/>
      <c r="J4" s="611"/>
      <c r="K4" s="611"/>
    </row>
    <row r="5" spans="1:11" ht="18">
      <c r="A5" s="611" t="s">
        <v>158</v>
      </c>
      <c r="B5" s="611"/>
      <c r="C5" s="611"/>
      <c r="D5" s="611"/>
      <c r="E5" s="611"/>
      <c r="F5" s="611"/>
      <c r="G5" s="611"/>
      <c r="H5" s="611"/>
      <c r="I5" s="611"/>
      <c r="J5" s="611"/>
      <c r="K5" s="611"/>
    </row>
    <row r="6" spans="1:11" ht="9" customHeight="1"/>
    <row r="7" spans="1:11" ht="9" customHeight="1" thickBot="1"/>
    <row r="8" spans="1:11" ht="16.5" thickBot="1">
      <c r="D8" s="168" t="s">
        <v>94</v>
      </c>
      <c r="E8" s="220">
        <f>Summary!E18</f>
        <v>2020</v>
      </c>
    </row>
    <row r="9" spans="1:11" ht="16.5" customHeight="1" thickBot="1"/>
    <row r="10" spans="1:11" ht="42.75">
      <c r="A10" s="169" t="s">
        <v>159</v>
      </c>
      <c r="B10" s="221" t="s">
        <v>95</v>
      </c>
      <c r="C10" s="221" t="s">
        <v>160</v>
      </c>
      <c r="D10" s="222" t="s">
        <v>161</v>
      </c>
      <c r="E10" s="222" t="s">
        <v>162</v>
      </c>
      <c r="F10" s="221" t="s">
        <v>163</v>
      </c>
      <c r="G10" s="170" t="s">
        <v>164</v>
      </c>
      <c r="H10" s="170" t="s">
        <v>165</v>
      </c>
      <c r="I10" s="170" t="s">
        <v>166</v>
      </c>
      <c r="J10" s="170" t="s">
        <v>167</v>
      </c>
      <c r="K10" s="171" t="s">
        <v>168</v>
      </c>
    </row>
    <row r="11" spans="1:11" ht="15" thickBot="1">
      <c r="A11" s="230">
        <v>1</v>
      </c>
      <c r="B11" s="341" t="s">
        <v>342</v>
      </c>
      <c r="C11" s="341" t="s">
        <v>322</v>
      </c>
      <c r="D11" s="342" t="s">
        <v>343</v>
      </c>
      <c r="E11" s="342" t="s">
        <v>344</v>
      </c>
      <c r="F11" s="335">
        <v>43068</v>
      </c>
      <c r="G11" s="341">
        <v>30</v>
      </c>
      <c r="H11" s="291">
        <v>8660000</v>
      </c>
      <c r="I11" s="343">
        <v>3.7199999999999997E-2</v>
      </c>
      <c r="J11" s="344">
        <f>H11*I11</f>
        <v>322152</v>
      </c>
      <c r="K11" s="345"/>
    </row>
    <row r="12" spans="1:11" hidden="1">
      <c r="A12" s="336">
        <v>2</v>
      </c>
      <c r="B12" s="337"/>
      <c r="C12" s="337"/>
      <c r="D12" s="338"/>
      <c r="E12" s="338"/>
      <c r="F12" s="334"/>
      <c r="G12" s="337"/>
      <c r="H12" s="290"/>
      <c r="I12" s="337"/>
      <c r="J12" s="339">
        <f t="shared" ref="J12:J22" si="0">H12*I12</f>
        <v>0</v>
      </c>
      <c r="K12" s="340"/>
    </row>
    <row r="13" spans="1:11" hidden="1">
      <c r="A13" s="223">
        <v>3</v>
      </c>
      <c r="B13" s="224"/>
      <c r="C13" s="224"/>
      <c r="D13" s="225"/>
      <c r="E13" s="225"/>
      <c r="F13" s="226"/>
      <c r="G13" s="224"/>
      <c r="H13" s="227"/>
      <c r="I13" s="224"/>
      <c r="J13" s="228">
        <f t="shared" si="0"/>
        <v>0</v>
      </c>
      <c r="K13" s="229"/>
    </row>
    <row r="14" spans="1:11" hidden="1">
      <c r="A14" s="223">
        <v>4</v>
      </c>
      <c r="B14" s="224"/>
      <c r="C14" s="224"/>
      <c r="D14" s="225"/>
      <c r="E14" s="225"/>
      <c r="F14" s="226"/>
      <c r="G14" s="224"/>
      <c r="H14" s="227"/>
      <c r="I14" s="224"/>
      <c r="J14" s="228">
        <f t="shared" si="0"/>
        <v>0</v>
      </c>
      <c r="K14" s="229"/>
    </row>
    <row r="15" spans="1:11" hidden="1">
      <c r="A15" s="223">
        <v>5</v>
      </c>
      <c r="B15" s="224"/>
      <c r="C15" s="224"/>
      <c r="D15" s="225"/>
      <c r="E15" s="225"/>
      <c r="F15" s="226"/>
      <c r="G15" s="224"/>
      <c r="H15" s="227"/>
      <c r="I15" s="224"/>
      <c r="J15" s="228">
        <f t="shared" si="0"/>
        <v>0</v>
      </c>
      <c r="K15" s="229"/>
    </row>
    <row r="16" spans="1:11" hidden="1">
      <c r="A16" s="223">
        <v>6</v>
      </c>
      <c r="B16" s="224"/>
      <c r="C16" s="224"/>
      <c r="D16" s="225"/>
      <c r="E16" s="225"/>
      <c r="F16" s="226"/>
      <c r="G16" s="224"/>
      <c r="H16" s="227"/>
      <c r="I16" s="224"/>
      <c r="J16" s="228">
        <f>H16*I16</f>
        <v>0</v>
      </c>
      <c r="K16" s="229"/>
    </row>
    <row r="17" spans="1:11" hidden="1">
      <c r="A17" s="223">
        <v>7</v>
      </c>
      <c r="B17" s="224"/>
      <c r="C17" s="224"/>
      <c r="D17" s="225"/>
      <c r="E17" s="225"/>
      <c r="F17" s="226"/>
      <c r="G17" s="224"/>
      <c r="H17" s="227"/>
      <c r="I17" s="224"/>
      <c r="J17" s="228">
        <f t="shared" si="0"/>
        <v>0</v>
      </c>
      <c r="K17" s="229"/>
    </row>
    <row r="18" spans="1:11" hidden="1">
      <c r="A18" s="223">
        <v>8</v>
      </c>
      <c r="B18" s="224"/>
      <c r="C18" s="224"/>
      <c r="D18" s="225"/>
      <c r="E18" s="225"/>
      <c r="F18" s="226"/>
      <c r="G18" s="224"/>
      <c r="H18" s="227"/>
      <c r="I18" s="224"/>
      <c r="J18" s="228">
        <f t="shared" si="0"/>
        <v>0</v>
      </c>
      <c r="K18" s="229"/>
    </row>
    <row r="19" spans="1:11" hidden="1">
      <c r="A19" s="223">
        <v>9</v>
      </c>
      <c r="B19" s="224"/>
      <c r="C19" s="224"/>
      <c r="D19" s="225"/>
      <c r="E19" s="225"/>
      <c r="F19" s="226"/>
      <c r="G19" s="224"/>
      <c r="H19" s="227"/>
      <c r="I19" s="224"/>
      <c r="J19" s="228">
        <f t="shared" si="0"/>
        <v>0</v>
      </c>
      <c r="K19" s="229"/>
    </row>
    <row r="20" spans="1:11" hidden="1">
      <c r="A20" s="223">
        <v>10</v>
      </c>
      <c r="B20" s="224"/>
      <c r="C20" s="224"/>
      <c r="D20" s="225"/>
      <c r="E20" s="225"/>
      <c r="F20" s="226"/>
      <c r="G20" s="224"/>
      <c r="H20" s="227"/>
      <c r="I20" s="224"/>
      <c r="J20" s="228">
        <f t="shared" si="0"/>
        <v>0</v>
      </c>
      <c r="K20" s="229"/>
    </row>
    <row r="21" spans="1:11" hidden="1">
      <c r="A21" s="223">
        <v>11</v>
      </c>
      <c r="B21" s="224"/>
      <c r="C21" s="224"/>
      <c r="D21" s="225"/>
      <c r="E21" s="225"/>
      <c r="F21" s="226"/>
      <c r="G21" s="224"/>
      <c r="H21" s="227"/>
      <c r="I21" s="224"/>
      <c r="J21" s="228">
        <f t="shared" si="0"/>
        <v>0</v>
      </c>
      <c r="K21" s="229"/>
    </row>
    <row r="22" spans="1:11" hidden="1">
      <c r="A22" s="223">
        <v>12</v>
      </c>
      <c r="B22" s="224"/>
      <c r="C22" s="224"/>
      <c r="D22" s="225"/>
      <c r="E22" s="225"/>
      <c r="F22" s="226"/>
      <c r="G22" s="224"/>
      <c r="H22" s="227"/>
      <c r="I22" s="224"/>
      <c r="J22" s="228">
        <f t="shared" si="0"/>
        <v>0</v>
      </c>
      <c r="K22" s="229"/>
    </row>
    <row r="23" spans="1:11" ht="15" hidden="1" thickBot="1">
      <c r="A23" s="230"/>
      <c r="B23" s="231"/>
      <c r="C23" s="232"/>
      <c r="D23" s="232"/>
      <c r="E23" s="232"/>
      <c r="F23" s="231"/>
      <c r="G23" s="232"/>
      <c r="H23" s="232"/>
      <c r="I23" s="232"/>
      <c r="J23" s="231"/>
      <c r="K23" s="229"/>
    </row>
    <row r="24" spans="1:11" ht="15.75" thickTop="1" thickBot="1">
      <c r="A24" s="233" t="s">
        <v>6</v>
      </c>
      <c r="B24" s="234"/>
      <c r="C24" s="235"/>
      <c r="D24" s="235"/>
      <c r="E24" s="235"/>
      <c r="F24" s="234"/>
      <c r="G24" s="235"/>
      <c r="H24" s="236">
        <f>SUM(H11:H22)</f>
        <v>8660000</v>
      </c>
      <c r="I24" s="237">
        <f>IF(H24=0,"",J24/H24)</f>
        <v>3.7199999999999997E-2</v>
      </c>
      <c r="J24" s="238">
        <f>SUM(J11:J22)</f>
        <v>322152</v>
      </c>
      <c r="K24" s="239"/>
    </row>
    <row r="26" spans="1:11" ht="15" thickBot="1"/>
    <row r="27" spans="1:11" ht="16.5" thickBot="1">
      <c r="D27" s="168" t="s">
        <v>94</v>
      </c>
      <c r="E27" s="220">
        <f>E8+1</f>
        <v>2021</v>
      </c>
    </row>
    <row r="28" spans="1:11" ht="16.5" customHeight="1" thickBot="1"/>
    <row r="29" spans="1:11" ht="42.75">
      <c r="A29" s="169" t="s">
        <v>159</v>
      </c>
      <c r="B29" s="221" t="s">
        <v>95</v>
      </c>
      <c r="C29" s="221" t="s">
        <v>160</v>
      </c>
      <c r="D29" s="222" t="s">
        <v>161</v>
      </c>
      <c r="E29" s="222" t="s">
        <v>162</v>
      </c>
      <c r="F29" s="221" t="s">
        <v>163</v>
      </c>
      <c r="G29" s="170" t="s">
        <v>164</v>
      </c>
      <c r="H29" s="170" t="s">
        <v>165</v>
      </c>
      <c r="I29" s="170" t="s">
        <v>166</v>
      </c>
      <c r="J29" s="170" t="s">
        <v>167</v>
      </c>
      <c r="K29" s="171" t="s">
        <v>168</v>
      </c>
    </row>
    <row r="30" spans="1:11" ht="15" thickBot="1">
      <c r="A30" s="230">
        <v>1</v>
      </c>
      <c r="B30" s="341" t="s">
        <v>342</v>
      </c>
      <c r="C30" s="341" t="s">
        <v>322</v>
      </c>
      <c r="D30" s="342" t="s">
        <v>343</v>
      </c>
      <c r="E30" s="342" t="s">
        <v>344</v>
      </c>
      <c r="F30" s="335">
        <v>43068</v>
      </c>
      <c r="G30" s="341">
        <v>30</v>
      </c>
      <c r="H30" s="291">
        <v>8660000</v>
      </c>
      <c r="I30" s="343">
        <v>3.7199999999999997E-2</v>
      </c>
      <c r="J30" s="344">
        <f>H30*I30</f>
        <v>322152</v>
      </c>
      <c r="K30" s="345"/>
    </row>
    <row r="31" spans="1:11" hidden="1">
      <c r="A31" s="336">
        <v>2</v>
      </c>
      <c r="B31" s="337"/>
      <c r="C31" s="337"/>
      <c r="D31" s="338"/>
      <c r="E31" s="338"/>
      <c r="F31" s="334"/>
      <c r="G31" s="337"/>
      <c r="H31" s="290"/>
      <c r="I31" s="346"/>
      <c r="J31" s="339"/>
      <c r="K31" s="340"/>
    </row>
    <row r="32" spans="1:11" hidden="1">
      <c r="A32" s="223">
        <v>3</v>
      </c>
      <c r="B32" s="224"/>
      <c r="C32" s="224"/>
      <c r="D32" s="225"/>
      <c r="E32" s="225"/>
      <c r="F32" s="226"/>
      <c r="G32" s="224"/>
      <c r="H32" s="227"/>
      <c r="I32" s="224"/>
      <c r="J32" s="228">
        <f t="shared" ref="J32:J34" si="1">H32*I32</f>
        <v>0</v>
      </c>
      <c r="K32" s="229"/>
    </row>
    <row r="33" spans="1:11" hidden="1">
      <c r="A33" s="223">
        <v>4</v>
      </c>
      <c r="B33" s="224"/>
      <c r="C33" s="224"/>
      <c r="D33" s="225"/>
      <c r="E33" s="225"/>
      <c r="F33" s="226"/>
      <c r="G33" s="224"/>
      <c r="H33" s="227"/>
      <c r="I33" s="224"/>
      <c r="J33" s="228">
        <f t="shared" si="1"/>
        <v>0</v>
      </c>
      <c r="K33" s="229"/>
    </row>
    <row r="34" spans="1:11" hidden="1">
      <c r="A34" s="223">
        <v>5</v>
      </c>
      <c r="B34" s="224"/>
      <c r="C34" s="224"/>
      <c r="D34" s="225"/>
      <c r="E34" s="225"/>
      <c r="F34" s="226"/>
      <c r="G34" s="224"/>
      <c r="H34" s="227"/>
      <c r="I34" s="224"/>
      <c r="J34" s="228">
        <f t="shared" si="1"/>
        <v>0</v>
      </c>
      <c r="K34" s="229"/>
    </row>
    <row r="35" spans="1:11" hidden="1">
      <c r="A35" s="223">
        <v>6</v>
      </c>
      <c r="B35" s="224"/>
      <c r="C35" s="224"/>
      <c r="D35" s="225"/>
      <c r="E35" s="225"/>
      <c r="F35" s="226"/>
      <c r="G35" s="224"/>
      <c r="H35" s="227"/>
      <c r="I35" s="224"/>
      <c r="J35" s="228">
        <f>H35*I35</f>
        <v>0</v>
      </c>
      <c r="K35" s="229"/>
    </row>
    <row r="36" spans="1:11" hidden="1">
      <c r="A36" s="223">
        <v>7</v>
      </c>
      <c r="B36" s="224"/>
      <c r="C36" s="224"/>
      <c r="D36" s="225"/>
      <c r="E36" s="225"/>
      <c r="F36" s="226"/>
      <c r="G36" s="224"/>
      <c r="H36" s="227"/>
      <c r="I36" s="224"/>
      <c r="J36" s="228">
        <f t="shared" ref="J36:J41" si="2">H36*I36</f>
        <v>0</v>
      </c>
      <c r="K36" s="229"/>
    </row>
    <row r="37" spans="1:11" hidden="1">
      <c r="A37" s="223">
        <v>8</v>
      </c>
      <c r="B37" s="224"/>
      <c r="C37" s="224"/>
      <c r="D37" s="225"/>
      <c r="E37" s="225"/>
      <c r="F37" s="226"/>
      <c r="G37" s="224"/>
      <c r="H37" s="227"/>
      <c r="I37" s="224"/>
      <c r="J37" s="228">
        <f t="shared" si="2"/>
        <v>0</v>
      </c>
      <c r="K37" s="229"/>
    </row>
    <row r="38" spans="1:11" hidden="1">
      <c r="A38" s="223">
        <v>9</v>
      </c>
      <c r="B38" s="224"/>
      <c r="C38" s="224"/>
      <c r="D38" s="225"/>
      <c r="E38" s="225"/>
      <c r="F38" s="226"/>
      <c r="G38" s="224"/>
      <c r="H38" s="227"/>
      <c r="I38" s="224"/>
      <c r="J38" s="228">
        <f t="shared" si="2"/>
        <v>0</v>
      </c>
      <c r="K38" s="229"/>
    </row>
    <row r="39" spans="1:11" hidden="1">
      <c r="A39" s="223">
        <v>10</v>
      </c>
      <c r="B39" s="224"/>
      <c r="C39" s="224"/>
      <c r="D39" s="225"/>
      <c r="E39" s="225"/>
      <c r="F39" s="226"/>
      <c r="G39" s="224"/>
      <c r="H39" s="227"/>
      <c r="I39" s="224"/>
      <c r="J39" s="228">
        <f t="shared" si="2"/>
        <v>0</v>
      </c>
      <c r="K39" s="229"/>
    </row>
    <row r="40" spans="1:11" hidden="1">
      <c r="A40" s="223">
        <v>11</v>
      </c>
      <c r="B40" s="224"/>
      <c r="C40" s="224"/>
      <c r="D40" s="225"/>
      <c r="E40" s="225"/>
      <c r="F40" s="226"/>
      <c r="G40" s="224"/>
      <c r="H40" s="227"/>
      <c r="I40" s="224"/>
      <c r="J40" s="228">
        <f t="shared" si="2"/>
        <v>0</v>
      </c>
      <c r="K40" s="229"/>
    </row>
    <row r="41" spans="1:11" hidden="1">
      <c r="A41" s="223">
        <v>12</v>
      </c>
      <c r="B41" s="224"/>
      <c r="C41" s="224"/>
      <c r="D41" s="225"/>
      <c r="E41" s="225"/>
      <c r="F41" s="226"/>
      <c r="G41" s="224"/>
      <c r="H41" s="227"/>
      <c r="I41" s="224"/>
      <c r="J41" s="228">
        <f t="shared" si="2"/>
        <v>0</v>
      </c>
      <c r="K41" s="229"/>
    </row>
    <row r="42" spans="1:11" ht="15" hidden="1" thickBot="1">
      <c r="A42" s="230"/>
      <c r="B42" s="231"/>
      <c r="C42" s="232"/>
      <c r="D42" s="232"/>
      <c r="E42" s="232"/>
      <c r="F42" s="231"/>
      <c r="G42" s="232"/>
      <c r="H42" s="232"/>
      <c r="I42" s="232"/>
      <c r="J42" s="231"/>
      <c r="K42" s="229"/>
    </row>
    <row r="43" spans="1:11" ht="15.75" thickTop="1" thickBot="1">
      <c r="A43" s="233" t="s">
        <v>6</v>
      </c>
      <c r="B43" s="234"/>
      <c r="C43" s="235"/>
      <c r="D43" s="235"/>
      <c r="E43" s="235"/>
      <c r="F43" s="234"/>
      <c r="G43" s="235"/>
      <c r="H43" s="236">
        <f>SUM(H30:H41)</f>
        <v>8660000</v>
      </c>
      <c r="I43" s="237">
        <f>IF(H43=0,"",J43/H43)</f>
        <v>3.7199999999999997E-2</v>
      </c>
      <c r="J43" s="238">
        <f>SUM(J30:J41)</f>
        <v>322152</v>
      </c>
      <c r="K43" s="239"/>
    </row>
    <row r="45" spans="1:11" ht="15" thickBot="1"/>
    <row r="46" spans="1:11" ht="16.5" thickBot="1">
      <c r="D46" s="168" t="s">
        <v>94</v>
      </c>
      <c r="E46" s="220">
        <f>E27+1</f>
        <v>2022</v>
      </c>
    </row>
    <row r="47" spans="1:11" ht="16.5" customHeight="1" thickBot="1"/>
    <row r="48" spans="1:11" ht="42.75">
      <c r="A48" s="169" t="s">
        <v>159</v>
      </c>
      <c r="B48" s="221" t="s">
        <v>95</v>
      </c>
      <c r="C48" s="221" t="s">
        <v>160</v>
      </c>
      <c r="D48" s="222" t="s">
        <v>161</v>
      </c>
      <c r="E48" s="222" t="s">
        <v>162</v>
      </c>
      <c r="F48" s="221" t="s">
        <v>163</v>
      </c>
      <c r="G48" s="170" t="s">
        <v>164</v>
      </c>
      <c r="H48" s="170" t="s">
        <v>165</v>
      </c>
      <c r="I48" s="170" t="s">
        <v>166</v>
      </c>
      <c r="J48" s="170" t="s">
        <v>167</v>
      </c>
      <c r="K48" s="171" t="s">
        <v>168</v>
      </c>
    </row>
    <row r="49" spans="1:11">
      <c r="A49" s="223">
        <v>1</v>
      </c>
      <c r="B49" s="224" t="s">
        <v>342</v>
      </c>
      <c r="C49" s="224" t="s">
        <v>322</v>
      </c>
      <c r="D49" s="225" t="s">
        <v>343</v>
      </c>
      <c r="E49" s="225" t="s">
        <v>344</v>
      </c>
      <c r="F49" s="226">
        <v>43068</v>
      </c>
      <c r="G49" s="224">
        <v>30</v>
      </c>
      <c r="H49" s="227">
        <v>8660000</v>
      </c>
      <c r="I49" s="333">
        <v>3.7199999999999997E-2</v>
      </c>
      <c r="J49" s="228">
        <f>H49*I49</f>
        <v>322152</v>
      </c>
      <c r="K49" s="229"/>
    </row>
    <row r="50" spans="1:11" ht="15" thickBot="1">
      <c r="A50" s="230">
        <v>2</v>
      </c>
      <c r="B50" s="341" t="s">
        <v>342</v>
      </c>
      <c r="C50" s="341" t="s">
        <v>322</v>
      </c>
      <c r="D50" s="342" t="s">
        <v>343</v>
      </c>
      <c r="E50" s="342" t="s">
        <v>344</v>
      </c>
      <c r="F50" s="335">
        <v>44545</v>
      </c>
      <c r="G50" s="341">
        <v>30</v>
      </c>
      <c r="H50" s="291">
        <v>2500000</v>
      </c>
      <c r="I50" s="343">
        <v>3.4099999999999998E-2</v>
      </c>
      <c r="J50" s="344">
        <f t="shared" ref="J50" si="3">H50*I50</f>
        <v>85250</v>
      </c>
      <c r="K50" s="345"/>
    </row>
    <row r="51" spans="1:11" hidden="1">
      <c r="A51" s="336">
        <v>3</v>
      </c>
      <c r="B51" s="337"/>
      <c r="C51" s="337"/>
      <c r="D51" s="338"/>
      <c r="E51" s="338"/>
      <c r="F51" s="334"/>
      <c r="G51" s="337"/>
      <c r="H51" s="290"/>
      <c r="I51" s="346"/>
      <c r="J51" s="339"/>
      <c r="K51" s="340"/>
    </row>
    <row r="52" spans="1:11" hidden="1">
      <c r="A52" s="223">
        <v>4</v>
      </c>
      <c r="B52" s="224"/>
      <c r="C52" s="224"/>
      <c r="D52" s="225"/>
      <c r="E52" s="225"/>
      <c r="F52" s="226"/>
      <c r="G52" s="224"/>
      <c r="H52" s="227"/>
      <c r="I52" s="224"/>
      <c r="J52" s="228">
        <f t="shared" ref="J52:J53" si="4">H52*I52</f>
        <v>0</v>
      </c>
      <c r="K52" s="229"/>
    </row>
    <row r="53" spans="1:11" hidden="1">
      <c r="A53" s="223">
        <v>5</v>
      </c>
      <c r="B53" s="224"/>
      <c r="C53" s="224"/>
      <c r="D53" s="225"/>
      <c r="E53" s="225"/>
      <c r="F53" s="226"/>
      <c r="G53" s="224"/>
      <c r="H53" s="227"/>
      <c r="I53" s="224"/>
      <c r="J53" s="228">
        <f t="shared" si="4"/>
        <v>0</v>
      </c>
      <c r="K53" s="229"/>
    </row>
    <row r="54" spans="1:11" hidden="1">
      <c r="A54" s="223">
        <v>6</v>
      </c>
      <c r="B54" s="224"/>
      <c r="C54" s="224"/>
      <c r="D54" s="225"/>
      <c r="E54" s="225"/>
      <c r="F54" s="226"/>
      <c r="G54" s="224"/>
      <c r="H54" s="227"/>
      <c r="I54" s="224"/>
      <c r="J54" s="228">
        <f>H54*I54</f>
        <v>0</v>
      </c>
      <c r="K54" s="229"/>
    </row>
    <row r="55" spans="1:11" hidden="1">
      <c r="A55" s="223">
        <v>7</v>
      </c>
      <c r="B55" s="224"/>
      <c r="C55" s="224"/>
      <c r="D55" s="225"/>
      <c r="E55" s="225"/>
      <c r="F55" s="226"/>
      <c r="G55" s="224"/>
      <c r="H55" s="227"/>
      <c r="I55" s="224"/>
      <c r="J55" s="228">
        <f t="shared" ref="J55:J60" si="5">H55*I55</f>
        <v>0</v>
      </c>
      <c r="K55" s="229"/>
    </row>
    <row r="56" spans="1:11" hidden="1">
      <c r="A56" s="223">
        <v>8</v>
      </c>
      <c r="B56" s="224"/>
      <c r="C56" s="224"/>
      <c r="D56" s="225"/>
      <c r="E56" s="225"/>
      <c r="F56" s="226"/>
      <c r="G56" s="224"/>
      <c r="H56" s="227"/>
      <c r="I56" s="224"/>
      <c r="J56" s="228">
        <f t="shared" si="5"/>
        <v>0</v>
      </c>
      <c r="K56" s="229"/>
    </row>
    <row r="57" spans="1:11" hidden="1">
      <c r="A57" s="223">
        <v>9</v>
      </c>
      <c r="B57" s="224"/>
      <c r="C57" s="224"/>
      <c r="D57" s="225"/>
      <c r="E57" s="225"/>
      <c r="F57" s="226"/>
      <c r="G57" s="224"/>
      <c r="H57" s="227"/>
      <c r="I57" s="224"/>
      <c r="J57" s="228">
        <f t="shared" si="5"/>
        <v>0</v>
      </c>
      <c r="K57" s="229"/>
    </row>
    <row r="58" spans="1:11" hidden="1">
      <c r="A58" s="223">
        <v>10</v>
      </c>
      <c r="B58" s="224"/>
      <c r="C58" s="224"/>
      <c r="D58" s="225"/>
      <c r="E58" s="225"/>
      <c r="F58" s="226"/>
      <c r="G58" s="224"/>
      <c r="H58" s="227"/>
      <c r="I58" s="224"/>
      <c r="J58" s="228">
        <f t="shared" si="5"/>
        <v>0</v>
      </c>
      <c r="K58" s="229"/>
    </row>
    <row r="59" spans="1:11" hidden="1">
      <c r="A59" s="223">
        <v>11</v>
      </c>
      <c r="B59" s="224"/>
      <c r="C59" s="224"/>
      <c r="D59" s="225"/>
      <c r="E59" s="225"/>
      <c r="F59" s="226"/>
      <c r="G59" s="224"/>
      <c r="H59" s="227"/>
      <c r="I59" s="224"/>
      <c r="J59" s="228">
        <f t="shared" si="5"/>
        <v>0</v>
      </c>
      <c r="K59" s="229"/>
    </row>
    <row r="60" spans="1:11" hidden="1">
      <c r="A60" s="223">
        <v>12</v>
      </c>
      <c r="B60" s="224"/>
      <c r="C60" s="224"/>
      <c r="D60" s="225"/>
      <c r="E60" s="225"/>
      <c r="F60" s="226"/>
      <c r="G60" s="224"/>
      <c r="H60" s="227"/>
      <c r="I60" s="224"/>
      <c r="J60" s="228">
        <f t="shared" si="5"/>
        <v>0</v>
      </c>
      <c r="K60" s="229"/>
    </row>
    <row r="61" spans="1:11" ht="15" hidden="1" thickBot="1">
      <c r="A61" s="230"/>
      <c r="B61" s="231"/>
      <c r="C61" s="232"/>
      <c r="D61" s="232"/>
      <c r="E61" s="232"/>
      <c r="F61" s="231"/>
      <c r="G61" s="232"/>
      <c r="H61" s="232"/>
      <c r="I61" s="232"/>
      <c r="J61" s="231"/>
      <c r="K61" s="229"/>
    </row>
    <row r="62" spans="1:11" ht="15.75" thickTop="1" thickBot="1">
      <c r="A62" s="233" t="s">
        <v>6</v>
      </c>
      <c r="B62" s="234"/>
      <c r="C62" s="235"/>
      <c r="D62" s="235"/>
      <c r="E62" s="235"/>
      <c r="F62" s="234"/>
      <c r="G62" s="235"/>
      <c r="H62" s="236">
        <f>SUM(H49:H60)</f>
        <v>11160000</v>
      </c>
      <c r="I62" s="237">
        <f>IF(H62=0,"",J62/H62)</f>
        <v>3.6505555555555555E-2</v>
      </c>
      <c r="J62" s="238">
        <f>SUM(J49:J60)</f>
        <v>407402</v>
      </c>
      <c r="K62" s="239"/>
    </row>
    <row r="64" spans="1:11" ht="15" thickBot="1"/>
    <row r="65" spans="1:11" ht="16.5" thickBot="1">
      <c r="D65" s="168" t="s">
        <v>94</v>
      </c>
      <c r="E65" s="220">
        <f>E46+1</f>
        <v>2023</v>
      </c>
    </row>
    <row r="66" spans="1:11" ht="16.5" customHeight="1" thickBot="1"/>
    <row r="67" spans="1:11" ht="42.75">
      <c r="A67" s="169" t="s">
        <v>159</v>
      </c>
      <c r="B67" s="221" t="s">
        <v>95</v>
      </c>
      <c r="C67" s="221" t="s">
        <v>160</v>
      </c>
      <c r="D67" s="222" t="s">
        <v>161</v>
      </c>
      <c r="E67" s="222" t="s">
        <v>162</v>
      </c>
      <c r="F67" s="221" t="s">
        <v>163</v>
      </c>
      <c r="G67" s="170" t="s">
        <v>164</v>
      </c>
      <c r="H67" s="170" t="s">
        <v>165</v>
      </c>
      <c r="I67" s="170" t="s">
        <v>166</v>
      </c>
      <c r="J67" s="170" t="s">
        <v>167</v>
      </c>
      <c r="K67" s="171" t="s">
        <v>168</v>
      </c>
    </row>
    <row r="68" spans="1:11">
      <c r="A68" s="223">
        <v>1</v>
      </c>
      <c r="B68" s="224" t="s">
        <v>342</v>
      </c>
      <c r="C68" s="224" t="s">
        <v>322</v>
      </c>
      <c r="D68" s="225" t="s">
        <v>343</v>
      </c>
      <c r="E68" s="225" t="s">
        <v>344</v>
      </c>
      <c r="F68" s="226">
        <v>43068</v>
      </c>
      <c r="G68" s="224">
        <v>30</v>
      </c>
      <c r="H68" s="227">
        <v>8660000</v>
      </c>
      <c r="I68" s="333">
        <v>3.7199999999999997E-2</v>
      </c>
      <c r="J68" s="228">
        <f>H68*I68</f>
        <v>322152</v>
      </c>
      <c r="K68" s="229"/>
    </row>
    <row r="69" spans="1:11">
      <c r="A69" s="223">
        <v>2</v>
      </c>
      <c r="B69" s="224" t="s">
        <v>342</v>
      </c>
      <c r="C69" s="224" t="s">
        <v>322</v>
      </c>
      <c r="D69" s="225" t="s">
        <v>343</v>
      </c>
      <c r="E69" s="225" t="s">
        <v>344</v>
      </c>
      <c r="F69" s="226">
        <v>44545</v>
      </c>
      <c r="G69" s="224">
        <v>30</v>
      </c>
      <c r="H69" s="227">
        <v>2500000</v>
      </c>
      <c r="I69" s="333">
        <v>3.4099999999999998E-2</v>
      </c>
      <c r="J69" s="228">
        <f t="shared" ref="J69:J70" si="6">H69*I69</f>
        <v>85250</v>
      </c>
      <c r="K69" s="229"/>
    </row>
    <row r="70" spans="1:11" ht="15" thickBot="1">
      <c r="A70" s="230">
        <v>3</v>
      </c>
      <c r="B70" s="341" t="s">
        <v>342</v>
      </c>
      <c r="C70" s="341" t="s">
        <v>322</v>
      </c>
      <c r="D70" s="342" t="s">
        <v>343</v>
      </c>
      <c r="E70" s="342" t="s">
        <v>344</v>
      </c>
      <c r="F70" s="335">
        <v>45264</v>
      </c>
      <c r="G70" s="341">
        <v>30</v>
      </c>
      <c r="H70" s="291">
        <v>1000000</v>
      </c>
      <c r="I70" s="343">
        <v>4.8800000000000003E-2</v>
      </c>
      <c r="J70" s="344">
        <f t="shared" si="6"/>
        <v>48800</v>
      </c>
      <c r="K70" s="345"/>
    </row>
    <row r="71" spans="1:11" ht="15" hidden="1" thickBot="1">
      <c r="A71" s="336"/>
      <c r="B71" s="337"/>
      <c r="C71" s="337"/>
      <c r="D71" s="338"/>
      <c r="E71" s="338"/>
      <c r="F71" s="347"/>
      <c r="G71" s="337"/>
      <c r="H71" s="290"/>
      <c r="I71" s="346"/>
      <c r="J71" s="339"/>
      <c r="K71" s="340"/>
    </row>
    <row r="72" spans="1:11" hidden="1">
      <c r="A72" s="223">
        <v>5</v>
      </c>
      <c r="B72" s="224"/>
      <c r="C72" s="224"/>
      <c r="D72" s="225"/>
      <c r="E72" s="225"/>
      <c r="F72" s="334"/>
      <c r="G72" s="224"/>
      <c r="H72" s="227"/>
      <c r="I72" s="224"/>
      <c r="J72" s="228">
        <f t="shared" ref="J72" si="7">H72*I72</f>
        <v>0</v>
      </c>
      <c r="K72" s="229"/>
    </row>
    <row r="73" spans="1:11" hidden="1">
      <c r="A73" s="223">
        <v>6</v>
      </c>
      <c r="B73" s="224"/>
      <c r="C73" s="224"/>
      <c r="D73" s="225"/>
      <c r="E73" s="225"/>
      <c r="F73" s="226"/>
      <c r="G73" s="224"/>
      <c r="H73" s="227"/>
      <c r="I73" s="224"/>
      <c r="J73" s="228">
        <f>H73*I73</f>
        <v>0</v>
      </c>
      <c r="K73" s="229"/>
    </row>
    <row r="74" spans="1:11" hidden="1">
      <c r="A74" s="223">
        <v>7</v>
      </c>
      <c r="B74" s="224"/>
      <c r="C74" s="224"/>
      <c r="D74" s="225"/>
      <c r="E74" s="225"/>
      <c r="F74" s="226"/>
      <c r="G74" s="224"/>
      <c r="H74" s="227"/>
      <c r="I74" s="224"/>
      <c r="J74" s="228">
        <f t="shared" ref="J74:J79" si="8">H74*I74</f>
        <v>0</v>
      </c>
      <c r="K74" s="229"/>
    </row>
    <row r="75" spans="1:11" hidden="1">
      <c r="A75" s="223">
        <v>8</v>
      </c>
      <c r="B75" s="224"/>
      <c r="C75" s="224"/>
      <c r="D75" s="225"/>
      <c r="E75" s="225"/>
      <c r="F75" s="226"/>
      <c r="G75" s="224"/>
      <c r="H75" s="227"/>
      <c r="I75" s="224"/>
      <c r="J75" s="228">
        <f t="shared" si="8"/>
        <v>0</v>
      </c>
      <c r="K75" s="229"/>
    </row>
    <row r="76" spans="1:11" hidden="1">
      <c r="A76" s="223">
        <v>9</v>
      </c>
      <c r="B76" s="224"/>
      <c r="C76" s="224"/>
      <c r="D76" s="225"/>
      <c r="E76" s="225"/>
      <c r="F76" s="226"/>
      <c r="G76" s="224"/>
      <c r="H76" s="227"/>
      <c r="I76" s="224"/>
      <c r="J76" s="228">
        <f t="shared" si="8"/>
        <v>0</v>
      </c>
      <c r="K76" s="229"/>
    </row>
    <row r="77" spans="1:11" hidden="1">
      <c r="A77" s="223">
        <v>10</v>
      </c>
      <c r="B77" s="224"/>
      <c r="C77" s="224"/>
      <c r="D77" s="225"/>
      <c r="E77" s="225"/>
      <c r="F77" s="226"/>
      <c r="G77" s="224"/>
      <c r="H77" s="227"/>
      <c r="I77" s="224"/>
      <c r="J77" s="228">
        <f t="shared" si="8"/>
        <v>0</v>
      </c>
      <c r="K77" s="229"/>
    </row>
    <row r="78" spans="1:11" hidden="1">
      <c r="A78" s="223">
        <v>11</v>
      </c>
      <c r="B78" s="224"/>
      <c r="C78" s="224"/>
      <c r="D78" s="225"/>
      <c r="E78" s="225"/>
      <c r="F78" s="226"/>
      <c r="G78" s="224"/>
      <c r="H78" s="227"/>
      <c r="I78" s="224"/>
      <c r="J78" s="228">
        <f t="shared" si="8"/>
        <v>0</v>
      </c>
      <c r="K78" s="229"/>
    </row>
    <row r="79" spans="1:11" hidden="1">
      <c r="A79" s="223">
        <v>12</v>
      </c>
      <c r="B79" s="224"/>
      <c r="C79" s="224"/>
      <c r="D79" s="225"/>
      <c r="E79" s="225"/>
      <c r="F79" s="226"/>
      <c r="G79" s="224"/>
      <c r="H79" s="227"/>
      <c r="I79" s="224"/>
      <c r="J79" s="228">
        <f t="shared" si="8"/>
        <v>0</v>
      </c>
      <c r="K79" s="229"/>
    </row>
    <row r="80" spans="1:11" ht="15" hidden="1" thickBot="1">
      <c r="A80" s="230"/>
      <c r="B80" s="231"/>
      <c r="C80" s="232"/>
      <c r="D80" s="232"/>
      <c r="E80" s="232"/>
      <c r="F80" s="231"/>
      <c r="G80" s="232"/>
      <c r="H80" s="232"/>
      <c r="I80" s="232"/>
      <c r="J80" s="231"/>
      <c r="K80" s="229"/>
    </row>
    <row r="81" spans="1:11" ht="15.75" thickTop="1" thickBot="1">
      <c r="A81" s="233" t="s">
        <v>6</v>
      </c>
      <c r="B81" s="234"/>
      <c r="C81" s="235"/>
      <c r="D81" s="235"/>
      <c r="E81" s="235"/>
      <c r="F81" s="234"/>
      <c r="G81" s="235"/>
      <c r="H81" s="236">
        <f>SUM(H68:H79)</f>
        <v>12160000</v>
      </c>
      <c r="I81" s="237">
        <f>IF(H81=0,"",J81/H81)</f>
        <v>3.7516611842105266E-2</v>
      </c>
      <c r="J81" s="238">
        <f>SUM(J68:J79)</f>
        <v>456202</v>
      </c>
      <c r="K81" s="239"/>
    </row>
    <row r="83" spans="1:11" ht="15" thickBot="1"/>
    <row r="84" spans="1:11" ht="16.5" thickBot="1">
      <c r="D84" s="168" t="s">
        <v>94</v>
      </c>
      <c r="E84" s="220" t="str">
        <f>E65+1&amp;"B"</f>
        <v>2024B</v>
      </c>
    </row>
    <row r="85" spans="1:11" ht="16.5" customHeight="1" thickBot="1"/>
    <row r="86" spans="1:11" ht="42.75">
      <c r="A86" s="169" t="s">
        <v>159</v>
      </c>
      <c r="B86" s="221" t="s">
        <v>95</v>
      </c>
      <c r="C86" s="221" t="s">
        <v>160</v>
      </c>
      <c r="D86" s="222" t="s">
        <v>161</v>
      </c>
      <c r="E86" s="222" t="s">
        <v>162</v>
      </c>
      <c r="F86" s="221" t="s">
        <v>163</v>
      </c>
      <c r="G86" s="170" t="s">
        <v>164</v>
      </c>
      <c r="H86" s="170" t="s">
        <v>165</v>
      </c>
      <c r="I86" s="170" t="s">
        <v>166</v>
      </c>
      <c r="J86" s="170" t="s">
        <v>167</v>
      </c>
      <c r="K86" s="171" t="s">
        <v>168</v>
      </c>
    </row>
    <row r="87" spans="1:11">
      <c r="A87" s="223">
        <v>1</v>
      </c>
      <c r="B87" s="224" t="s">
        <v>342</v>
      </c>
      <c r="C87" s="224" t="s">
        <v>322</v>
      </c>
      <c r="D87" s="225" t="s">
        <v>343</v>
      </c>
      <c r="E87" s="225" t="s">
        <v>344</v>
      </c>
      <c r="F87" s="226">
        <v>43068</v>
      </c>
      <c r="G87" s="224">
        <v>30</v>
      </c>
      <c r="H87" s="227">
        <v>8660000</v>
      </c>
      <c r="I87" s="333">
        <v>3.7199999999999997E-2</v>
      </c>
      <c r="J87" s="228">
        <f>H87*I87</f>
        <v>322152</v>
      </c>
      <c r="K87" s="229"/>
    </row>
    <row r="88" spans="1:11">
      <c r="A88" s="223">
        <v>2</v>
      </c>
      <c r="B88" s="224" t="s">
        <v>342</v>
      </c>
      <c r="C88" s="224" t="s">
        <v>322</v>
      </c>
      <c r="D88" s="225" t="s">
        <v>343</v>
      </c>
      <c r="E88" s="225" t="s">
        <v>344</v>
      </c>
      <c r="F88" s="226">
        <v>44545</v>
      </c>
      <c r="G88" s="224">
        <v>30</v>
      </c>
      <c r="H88" s="227">
        <v>2500000</v>
      </c>
      <c r="I88" s="333">
        <v>3.4099999999999998E-2</v>
      </c>
      <c r="J88" s="228">
        <f t="shared" ref="J88:J89" si="9">H88*I88</f>
        <v>85250</v>
      </c>
      <c r="K88" s="229"/>
    </row>
    <row r="89" spans="1:11">
      <c r="A89" s="223">
        <v>3</v>
      </c>
      <c r="B89" s="224" t="s">
        <v>342</v>
      </c>
      <c r="C89" s="224" t="s">
        <v>322</v>
      </c>
      <c r="D89" s="225" t="s">
        <v>343</v>
      </c>
      <c r="E89" s="225" t="s">
        <v>344</v>
      </c>
      <c r="F89" s="226">
        <v>45264</v>
      </c>
      <c r="G89" s="224">
        <v>30</v>
      </c>
      <c r="H89" s="227">
        <v>1000000</v>
      </c>
      <c r="I89" s="333">
        <v>4.8800000000000003E-2</v>
      </c>
      <c r="J89" s="228">
        <f t="shared" si="9"/>
        <v>48800</v>
      </c>
      <c r="K89" s="229"/>
    </row>
    <row r="90" spans="1:11" ht="15" thickBot="1">
      <c r="A90" s="230">
        <v>4</v>
      </c>
      <c r="B90" s="341" t="s">
        <v>342</v>
      </c>
      <c r="C90" s="341" t="s">
        <v>322</v>
      </c>
      <c r="D90" s="342" t="s">
        <v>343</v>
      </c>
      <c r="E90" s="342" t="s">
        <v>344</v>
      </c>
      <c r="F90" s="335">
        <v>45627</v>
      </c>
      <c r="G90" s="341">
        <v>30</v>
      </c>
      <c r="H90" s="291">
        <v>2000000</v>
      </c>
      <c r="I90" s="343">
        <v>4.58E-2</v>
      </c>
      <c r="J90" s="344">
        <f>H90*I90*1</f>
        <v>91600</v>
      </c>
      <c r="K90" s="345"/>
    </row>
    <row r="91" spans="1:11" ht="15" hidden="1" thickTop="1">
      <c r="A91" s="336">
        <v>5</v>
      </c>
      <c r="B91" s="337"/>
      <c r="C91" s="337"/>
      <c r="D91" s="338"/>
      <c r="E91" s="338"/>
      <c r="F91" s="334"/>
      <c r="G91" s="337"/>
      <c r="H91" s="290"/>
      <c r="I91" s="337"/>
      <c r="J91" s="339">
        <f t="shared" ref="J91" si="10">H91*I91</f>
        <v>0</v>
      </c>
      <c r="K91" s="340"/>
    </row>
    <row r="92" spans="1:11" hidden="1">
      <c r="A92" s="223">
        <v>6</v>
      </c>
      <c r="B92" s="224"/>
      <c r="C92" s="224"/>
      <c r="D92" s="225"/>
      <c r="E92" s="225"/>
      <c r="F92" s="226"/>
      <c r="G92" s="224"/>
      <c r="H92" s="227"/>
      <c r="I92" s="224"/>
      <c r="J92" s="228">
        <f>H92*I92</f>
        <v>0</v>
      </c>
      <c r="K92" s="229"/>
    </row>
    <row r="93" spans="1:11" hidden="1">
      <c r="A93" s="223">
        <v>7</v>
      </c>
      <c r="B93" s="224"/>
      <c r="C93" s="224"/>
      <c r="D93" s="225"/>
      <c r="E93" s="225"/>
      <c r="F93" s="226"/>
      <c r="G93" s="224"/>
      <c r="H93" s="227"/>
      <c r="I93" s="224"/>
      <c r="J93" s="228">
        <f t="shared" ref="J93:J98" si="11">H93*I93</f>
        <v>0</v>
      </c>
      <c r="K93" s="229"/>
    </row>
    <row r="94" spans="1:11" hidden="1">
      <c r="A94" s="223">
        <v>8</v>
      </c>
      <c r="B94" s="224"/>
      <c r="C94" s="224"/>
      <c r="D94" s="225"/>
      <c r="E94" s="225"/>
      <c r="F94" s="226"/>
      <c r="G94" s="224"/>
      <c r="H94" s="227"/>
      <c r="I94" s="224"/>
      <c r="J94" s="228">
        <f t="shared" si="11"/>
        <v>0</v>
      </c>
      <c r="K94" s="229"/>
    </row>
    <row r="95" spans="1:11" hidden="1">
      <c r="A95" s="223">
        <v>9</v>
      </c>
      <c r="B95" s="224"/>
      <c r="C95" s="224"/>
      <c r="D95" s="225"/>
      <c r="E95" s="225"/>
      <c r="F95" s="226"/>
      <c r="G95" s="224"/>
      <c r="H95" s="227"/>
      <c r="I95" s="224"/>
      <c r="J95" s="228">
        <f t="shared" si="11"/>
        <v>0</v>
      </c>
      <c r="K95" s="229"/>
    </row>
    <row r="96" spans="1:11" hidden="1">
      <c r="A96" s="223">
        <v>10</v>
      </c>
      <c r="B96" s="224"/>
      <c r="C96" s="224"/>
      <c r="D96" s="225"/>
      <c r="E96" s="225"/>
      <c r="F96" s="226"/>
      <c r="G96" s="224"/>
      <c r="H96" s="227"/>
      <c r="I96" s="224"/>
      <c r="J96" s="228">
        <f t="shared" si="11"/>
        <v>0</v>
      </c>
      <c r="K96" s="229"/>
    </row>
    <row r="97" spans="1:11" hidden="1">
      <c r="A97" s="223">
        <v>11</v>
      </c>
      <c r="B97" s="224"/>
      <c r="C97" s="224"/>
      <c r="D97" s="225"/>
      <c r="E97" s="225"/>
      <c r="F97" s="226"/>
      <c r="G97" s="224"/>
      <c r="H97" s="227"/>
      <c r="I97" s="224"/>
      <c r="J97" s="228">
        <f t="shared" si="11"/>
        <v>0</v>
      </c>
      <c r="K97" s="229"/>
    </row>
    <row r="98" spans="1:11" hidden="1">
      <c r="A98" s="223">
        <v>12</v>
      </c>
      <c r="B98" s="224"/>
      <c r="C98" s="224"/>
      <c r="D98" s="225"/>
      <c r="E98" s="225"/>
      <c r="F98" s="226"/>
      <c r="G98" s="224"/>
      <c r="H98" s="227"/>
      <c r="I98" s="224"/>
      <c r="J98" s="228">
        <f t="shared" si="11"/>
        <v>0</v>
      </c>
      <c r="K98" s="229"/>
    </row>
    <row r="99" spans="1:11" ht="15" hidden="1" thickBot="1">
      <c r="A99" s="230"/>
      <c r="B99" s="231"/>
      <c r="C99" s="232"/>
      <c r="D99" s="232"/>
      <c r="E99" s="232"/>
      <c r="F99" s="231"/>
      <c r="G99" s="232"/>
      <c r="H99" s="232"/>
      <c r="I99" s="232"/>
      <c r="J99" s="231"/>
      <c r="K99" s="229"/>
    </row>
    <row r="100" spans="1:11" ht="15.75" thickTop="1" thickBot="1">
      <c r="A100" s="233" t="s">
        <v>6</v>
      </c>
      <c r="B100" s="234"/>
      <c r="C100" s="235"/>
      <c r="D100" s="235"/>
      <c r="E100" s="235"/>
      <c r="F100" s="234"/>
      <c r="G100" s="235"/>
      <c r="H100" s="236">
        <f>SUM(H87:H98)</f>
        <v>14160000</v>
      </c>
      <c r="I100" s="237">
        <f>IF(H100=0,"",J100/H100)</f>
        <v>3.8686581920903955E-2</v>
      </c>
      <c r="J100" s="238">
        <f>SUM(J87:J98)</f>
        <v>547802</v>
      </c>
      <c r="K100" s="239"/>
    </row>
    <row r="102" spans="1:11" ht="15" thickBot="1"/>
    <row r="103" spans="1:11" ht="16.5" thickBot="1">
      <c r="D103" s="168" t="s">
        <v>94</v>
      </c>
      <c r="E103" s="220" t="str">
        <f>E65+2&amp;"T"</f>
        <v>2025T</v>
      </c>
    </row>
    <row r="104" spans="1:11" ht="16.5" customHeight="1" thickBot="1"/>
    <row r="105" spans="1:11" ht="42.75">
      <c r="A105" s="169" t="s">
        <v>159</v>
      </c>
      <c r="B105" s="221" t="s">
        <v>95</v>
      </c>
      <c r="C105" s="221" t="s">
        <v>160</v>
      </c>
      <c r="D105" s="222" t="s">
        <v>161</v>
      </c>
      <c r="E105" s="222" t="s">
        <v>162</v>
      </c>
      <c r="F105" s="221" t="s">
        <v>163</v>
      </c>
      <c r="G105" s="170" t="s">
        <v>164</v>
      </c>
      <c r="H105" s="170" t="s">
        <v>165</v>
      </c>
      <c r="I105" s="170" t="s">
        <v>166</v>
      </c>
      <c r="J105" s="170" t="s">
        <v>167</v>
      </c>
      <c r="K105" s="171" t="s">
        <v>168</v>
      </c>
    </row>
    <row r="106" spans="1:11">
      <c r="A106" s="223">
        <v>1</v>
      </c>
      <c r="B106" s="224" t="s">
        <v>342</v>
      </c>
      <c r="C106" s="224" t="s">
        <v>322</v>
      </c>
      <c r="D106" s="225" t="s">
        <v>343</v>
      </c>
      <c r="E106" s="225" t="s">
        <v>344</v>
      </c>
      <c r="F106" s="226">
        <v>43068</v>
      </c>
      <c r="G106" s="224">
        <v>30</v>
      </c>
      <c r="H106" s="227">
        <v>8660000</v>
      </c>
      <c r="I106" s="333">
        <v>3.7199999999999997E-2</v>
      </c>
      <c r="J106" s="228">
        <f>H106*I106</f>
        <v>322152</v>
      </c>
      <c r="K106" s="229"/>
    </row>
    <row r="107" spans="1:11">
      <c r="A107" s="223">
        <v>2</v>
      </c>
      <c r="B107" s="224" t="s">
        <v>342</v>
      </c>
      <c r="C107" s="224" t="s">
        <v>322</v>
      </c>
      <c r="D107" s="225" t="s">
        <v>343</v>
      </c>
      <c r="E107" s="225" t="s">
        <v>344</v>
      </c>
      <c r="F107" s="226">
        <v>44545</v>
      </c>
      <c r="G107" s="224">
        <v>30</v>
      </c>
      <c r="H107" s="227">
        <v>2500000</v>
      </c>
      <c r="I107" s="333">
        <v>3.4099999999999998E-2</v>
      </c>
      <c r="J107" s="228">
        <f t="shared" ref="J107:J109" si="12">H107*I107</f>
        <v>85250</v>
      </c>
      <c r="K107" s="229"/>
    </row>
    <row r="108" spans="1:11">
      <c r="A108" s="223">
        <v>3</v>
      </c>
      <c r="B108" s="224" t="s">
        <v>342</v>
      </c>
      <c r="C108" s="224" t="s">
        <v>322</v>
      </c>
      <c r="D108" s="225" t="s">
        <v>343</v>
      </c>
      <c r="E108" s="225" t="s">
        <v>344</v>
      </c>
      <c r="F108" s="226">
        <v>45264</v>
      </c>
      <c r="G108" s="224">
        <v>30</v>
      </c>
      <c r="H108" s="227">
        <v>1000000</v>
      </c>
      <c r="I108" s="333">
        <v>4.8800000000000003E-2</v>
      </c>
      <c r="J108" s="228">
        <f t="shared" si="12"/>
        <v>48800</v>
      </c>
      <c r="K108" s="229"/>
    </row>
    <row r="109" spans="1:11">
      <c r="A109" s="223">
        <v>4</v>
      </c>
      <c r="B109" s="224" t="s">
        <v>342</v>
      </c>
      <c r="C109" s="224" t="s">
        <v>322</v>
      </c>
      <c r="D109" s="225" t="s">
        <v>343</v>
      </c>
      <c r="E109" s="225" t="s">
        <v>344</v>
      </c>
      <c r="F109" s="226">
        <v>45627</v>
      </c>
      <c r="G109" s="224">
        <v>30</v>
      </c>
      <c r="H109" s="227">
        <v>2000000</v>
      </c>
      <c r="I109" s="333">
        <v>4.58E-2</v>
      </c>
      <c r="J109" s="228">
        <f t="shared" si="12"/>
        <v>91600</v>
      </c>
      <c r="K109" s="229"/>
    </row>
    <row r="110" spans="1:11" ht="15" thickBot="1">
      <c r="A110" s="230">
        <v>5</v>
      </c>
      <c r="B110" s="341" t="s">
        <v>342</v>
      </c>
      <c r="C110" s="341" t="s">
        <v>322</v>
      </c>
      <c r="D110" s="342" t="s">
        <v>343</v>
      </c>
      <c r="E110" s="342" t="s">
        <v>344</v>
      </c>
      <c r="F110" s="335">
        <v>45992</v>
      </c>
      <c r="G110" s="341">
        <v>30</v>
      </c>
      <c r="H110" s="291">
        <v>1000000</v>
      </c>
      <c r="I110" s="343">
        <v>4.58E-2</v>
      </c>
      <c r="J110" s="344">
        <f>H110*I110*1/12</f>
        <v>3816.6666666666665</v>
      </c>
      <c r="K110" s="345"/>
    </row>
    <row r="111" spans="1:11" hidden="1">
      <c r="A111" s="336">
        <v>6</v>
      </c>
      <c r="B111" s="337"/>
      <c r="C111" s="337"/>
      <c r="D111" s="338"/>
      <c r="E111" s="338"/>
      <c r="F111" s="334"/>
      <c r="G111" s="337"/>
      <c r="H111" s="290"/>
      <c r="I111" s="346"/>
      <c r="J111" s="339">
        <f>H111*I111</f>
        <v>0</v>
      </c>
      <c r="K111" s="340"/>
    </row>
    <row r="112" spans="1:11" hidden="1">
      <c r="A112" s="223">
        <v>7</v>
      </c>
      <c r="B112" s="224"/>
      <c r="C112" s="224"/>
      <c r="D112" s="225"/>
      <c r="E112" s="225"/>
      <c r="F112" s="226"/>
      <c r="G112" s="224"/>
      <c r="H112" s="227"/>
      <c r="I112" s="224"/>
      <c r="J112" s="228">
        <f t="shared" ref="J112:J117" si="13">H112*I112</f>
        <v>0</v>
      </c>
      <c r="K112" s="229"/>
    </row>
    <row r="113" spans="1:11" hidden="1">
      <c r="A113" s="223">
        <v>8</v>
      </c>
      <c r="B113" s="224"/>
      <c r="C113" s="224"/>
      <c r="D113" s="225"/>
      <c r="E113" s="225"/>
      <c r="F113" s="226"/>
      <c r="G113" s="224"/>
      <c r="H113" s="227"/>
      <c r="I113" s="224"/>
      <c r="J113" s="228">
        <f t="shared" si="13"/>
        <v>0</v>
      </c>
      <c r="K113" s="229"/>
    </row>
    <row r="114" spans="1:11" hidden="1">
      <c r="A114" s="223">
        <v>9</v>
      </c>
      <c r="B114" s="224"/>
      <c r="C114" s="224"/>
      <c r="D114" s="225"/>
      <c r="E114" s="225"/>
      <c r="F114" s="226"/>
      <c r="G114" s="224"/>
      <c r="H114" s="227"/>
      <c r="I114" s="224"/>
      <c r="J114" s="228">
        <f t="shared" si="13"/>
        <v>0</v>
      </c>
      <c r="K114" s="229"/>
    </row>
    <row r="115" spans="1:11" hidden="1">
      <c r="A115" s="223">
        <v>10</v>
      </c>
      <c r="B115" s="224"/>
      <c r="C115" s="224"/>
      <c r="D115" s="225"/>
      <c r="E115" s="225"/>
      <c r="F115" s="226"/>
      <c r="G115" s="224"/>
      <c r="H115" s="227"/>
      <c r="I115" s="224"/>
      <c r="J115" s="228">
        <f t="shared" si="13"/>
        <v>0</v>
      </c>
      <c r="K115" s="229"/>
    </row>
    <row r="116" spans="1:11" hidden="1">
      <c r="A116" s="223">
        <v>11</v>
      </c>
      <c r="B116" s="224"/>
      <c r="C116" s="224"/>
      <c r="D116" s="225"/>
      <c r="E116" s="225"/>
      <c r="F116" s="226"/>
      <c r="G116" s="224"/>
      <c r="H116" s="227"/>
      <c r="I116" s="224"/>
      <c r="J116" s="228">
        <f t="shared" si="13"/>
        <v>0</v>
      </c>
      <c r="K116" s="229"/>
    </row>
    <row r="117" spans="1:11" hidden="1">
      <c r="A117" s="223">
        <v>12</v>
      </c>
      <c r="B117" s="224"/>
      <c r="C117" s="224"/>
      <c r="D117" s="225"/>
      <c r="E117" s="225"/>
      <c r="F117" s="226"/>
      <c r="G117" s="224"/>
      <c r="H117" s="227"/>
      <c r="I117" s="224"/>
      <c r="J117" s="228">
        <f t="shared" si="13"/>
        <v>0</v>
      </c>
      <c r="K117" s="229"/>
    </row>
    <row r="118" spans="1:11" ht="15" hidden="1" thickBot="1">
      <c r="A118" s="230"/>
      <c r="B118" s="231"/>
      <c r="C118" s="232"/>
      <c r="D118" s="232"/>
      <c r="E118" s="232"/>
      <c r="F118" s="231"/>
      <c r="G118" s="232"/>
      <c r="H118" s="232"/>
      <c r="I118" s="232"/>
      <c r="J118" s="231"/>
      <c r="K118" s="229"/>
    </row>
    <row r="119" spans="1:11" ht="15.75" thickTop="1" thickBot="1">
      <c r="A119" s="233" t="s">
        <v>6</v>
      </c>
      <c r="B119" s="234"/>
      <c r="C119" s="235"/>
      <c r="D119" s="235"/>
      <c r="E119" s="235"/>
      <c r="F119" s="234"/>
      <c r="G119" s="235"/>
      <c r="H119" s="236">
        <f>SUM(H106:H117)</f>
        <v>15160000</v>
      </c>
      <c r="I119" s="237">
        <f>IF(H119=0,"",J119/H119)</f>
        <v>3.6386455584872468E-2</v>
      </c>
      <c r="J119" s="238">
        <f>SUM(J106:J117)</f>
        <v>551618.66666666663</v>
      </c>
      <c r="K119" s="239"/>
    </row>
    <row r="121" spans="1:11" s="348" customFormat="1" ht="15" thickBot="1">
      <c r="G121" s="353" t="s">
        <v>349</v>
      </c>
      <c r="H121" s="354">
        <f>H110*-11/12</f>
        <v>-916666.66666666663</v>
      </c>
      <c r="I121" s="355"/>
      <c r="J121" s="356"/>
      <c r="K121" s="357" t="s">
        <v>347</v>
      </c>
    </row>
    <row r="122" spans="1:11" ht="15.75" thickTop="1">
      <c r="G122" s="352" t="s">
        <v>348</v>
      </c>
      <c r="H122" s="358">
        <f>SUM(H119:H121)</f>
        <v>14243333.333333334</v>
      </c>
      <c r="I122" s="359">
        <f>J122/H122</f>
        <v>3.8728200327638657E-2</v>
      </c>
      <c r="J122" s="360">
        <f>J119</f>
        <v>551618.66666666663</v>
      </c>
      <c r="K122" s="357"/>
    </row>
  </sheetData>
  <sheetProtection sheet="1" objects="1" scenarios="1"/>
  <mergeCells count="2">
    <mergeCell ref="A4:K4"/>
    <mergeCell ref="A5:K5"/>
  </mergeCells>
  <dataValidations count="2">
    <dataValidation type="list" allowBlank="1" showInputMessage="1" showErrorMessage="1" sqref="D11:D22 D30:D41 D87:D98 D49:D60 D68:D79 D106:D117">
      <formula1>"Affiliated, Third-Party"</formula1>
    </dataValidation>
    <dataValidation type="list" allowBlank="1" showInputMessage="1" showErrorMessage="1" sqref="E11:E22 E30:E41 E87:E98 E49:E60 E68:E79 E106:E117">
      <formula1>"Fixed Rate, Variable Rate"</formula1>
    </dataValidation>
  </dataValidations>
  <pageMargins left="0.7" right="0.7" top="0.75" bottom="0.75" header="0.3" footer="0.3"/>
  <pageSetup scale="87" fitToHeight="2" orientation="landscape" r:id="rId1"/>
  <rowBreaks count="1" manualBreakCount="1">
    <brk id="64" max="16383"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showGridLines="0" workbookViewId="0">
      <selection activeCell="C29" sqref="C29"/>
    </sheetView>
  </sheetViews>
  <sheetFormatPr defaultColWidth="8.5703125" defaultRowHeight="14.25"/>
  <cols>
    <col min="1" max="1" width="36.5703125" style="244" bestFit="1" customWidth="1"/>
    <col min="2" max="2" width="20.28515625" style="244" customWidth="1"/>
    <col min="3" max="3" width="10" style="244" bestFit="1" customWidth="1"/>
    <col min="4" max="6" width="10.5703125" style="244" bestFit="1" customWidth="1"/>
    <col min="7" max="7" width="10.5703125" style="244" customWidth="1"/>
    <col min="8" max="8" width="9.5703125" style="244" bestFit="1" customWidth="1"/>
    <col min="9" max="9" width="12.7109375" style="244" bestFit="1" customWidth="1"/>
    <col min="10" max="10" width="10.5703125" style="244" bestFit="1" customWidth="1"/>
    <col min="11" max="11" width="4.5703125" style="244" bestFit="1" customWidth="1"/>
    <col min="12" max="12" width="13.28515625" style="244" bestFit="1" customWidth="1"/>
    <col min="13" max="14" width="8.5703125" style="244"/>
    <col min="15" max="15" width="12.7109375" style="244" bestFit="1" customWidth="1"/>
    <col min="16" max="16384" width="8.5703125" style="244"/>
  </cols>
  <sheetData>
    <row r="1" spans="1:12" s="243" customFormat="1">
      <c r="A1" s="19"/>
      <c r="B1" s="19"/>
      <c r="C1" s="19"/>
      <c r="D1" s="19"/>
      <c r="E1" s="19"/>
      <c r="F1" s="19"/>
      <c r="G1" s="190" t="str">
        <f>'1A_Customer Engagement'!C1</f>
        <v>EB-2024-0130</v>
      </c>
    </row>
    <row r="2" spans="1:12" s="243" customFormat="1">
      <c r="A2" s="19"/>
      <c r="B2" s="19"/>
      <c r="C2" s="19"/>
      <c r="D2" s="19"/>
      <c r="E2" s="19"/>
      <c r="F2" s="19"/>
      <c r="G2" s="190" t="str">
        <f>'1A_Customer Engagement'!C2</f>
        <v>Exhibit 1</v>
      </c>
    </row>
    <row r="3" spans="1:12" s="243" customFormat="1">
      <c r="A3" s="19"/>
      <c r="B3" s="19"/>
      <c r="C3" s="19"/>
      <c r="D3" s="19"/>
      <c r="E3" s="19"/>
      <c r="F3" s="19"/>
      <c r="G3" s="191">
        <f>'1A_Customer Engagement'!C3</f>
        <v>45491</v>
      </c>
    </row>
    <row r="4" spans="1:12" s="243" customFormat="1" ht="18">
      <c r="A4" s="552" t="s">
        <v>216</v>
      </c>
      <c r="B4" s="552"/>
      <c r="C4" s="552"/>
      <c r="D4" s="552"/>
      <c r="E4" s="552"/>
      <c r="F4" s="552"/>
      <c r="G4" s="552"/>
      <c r="H4" s="111"/>
      <c r="I4" s="111"/>
      <c r="J4" s="111"/>
      <c r="K4" s="111"/>
      <c r="L4" s="111"/>
    </row>
    <row r="5" spans="1:12" s="243" customFormat="1" ht="18">
      <c r="A5" s="552" t="s">
        <v>116</v>
      </c>
      <c r="B5" s="552"/>
      <c r="C5" s="552"/>
      <c r="D5" s="552"/>
      <c r="E5" s="552"/>
      <c r="F5" s="552"/>
      <c r="G5" s="552"/>
      <c r="H5" s="111"/>
      <c r="I5" s="111"/>
      <c r="J5" s="111"/>
      <c r="K5" s="111"/>
      <c r="L5" s="111"/>
    </row>
    <row r="6" spans="1:12" s="243" customFormat="1"/>
    <row r="7" spans="1:12" ht="30">
      <c r="A7" s="193" t="s">
        <v>117</v>
      </c>
      <c r="B7" s="194" t="s">
        <v>118</v>
      </c>
      <c r="C7" s="192">
        <f>Summary!E18</f>
        <v>2020</v>
      </c>
      <c r="D7" s="192">
        <f>C7+1</f>
        <v>2021</v>
      </c>
      <c r="E7" s="192">
        <f t="shared" ref="E7:G7" si="0">D7+1</f>
        <v>2022</v>
      </c>
      <c r="F7" s="192">
        <f t="shared" si="0"/>
        <v>2023</v>
      </c>
      <c r="G7" s="192">
        <f t="shared" si="0"/>
        <v>2024</v>
      </c>
    </row>
    <row r="8" spans="1:12" ht="20.25" customHeight="1">
      <c r="A8" s="245" t="s">
        <v>242</v>
      </c>
      <c r="B8" s="246" t="s">
        <v>243</v>
      </c>
      <c r="C8" s="247">
        <v>0.98499999999999999</v>
      </c>
      <c r="D8" s="247">
        <v>0.96</v>
      </c>
      <c r="E8" s="247">
        <v>0.89300000000000002</v>
      </c>
      <c r="F8" s="247">
        <v>0.89400000000000002</v>
      </c>
      <c r="G8" s="247">
        <v>0.91900000000000004</v>
      </c>
    </row>
    <row r="9" spans="1:12" ht="20.25" customHeight="1">
      <c r="A9" s="245" t="s">
        <v>244</v>
      </c>
      <c r="B9" s="246" t="s">
        <v>245</v>
      </c>
      <c r="C9" s="247">
        <v>1.4999999999999999E-2</v>
      </c>
      <c r="D9" s="247">
        <v>0.04</v>
      </c>
      <c r="E9" s="247">
        <v>4.0999999999999995E-2</v>
      </c>
      <c r="F9" s="247">
        <v>3.1E-2</v>
      </c>
      <c r="G9" s="247">
        <v>2.3E-2</v>
      </c>
    </row>
    <row r="10" spans="1:12" ht="20.25" customHeight="1">
      <c r="A10" s="245" t="s">
        <v>246</v>
      </c>
      <c r="B10" s="246" t="s">
        <v>247</v>
      </c>
      <c r="C10" s="247">
        <v>0</v>
      </c>
      <c r="D10" s="247">
        <v>0</v>
      </c>
      <c r="E10" s="247">
        <v>0</v>
      </c>
      <c r="F10" s="247">
        <v>1E-4</v>
      </c>
      <c r="G10" s="247">
        <v>2.0000000000000002E-5</v>
      </c>
    </row>
    <row r="11" spans="1:12" ht="20.25" customHeight="1">
      <c r="A11" s="245" t="s">
        <v>119</v>
      </c>
      <c r="B11" s="246" t="s">
        <v>248</v>
      </c>
      <c r="C11" s="247">
        <v>0.998</v>
      </c>
      <c r="D11" s="247">
        <v>0.995</v>
      </c>
      <c r="E11" s="247">
        <v>0.998</v>
      </c>
      <c r="F11" s="247">
        <v>0.99900000000000011</v>
      </c>
      <c r="G11" s="247">
        <v>0.98</v>
      </c>
    </row>
    <row r="12" spans="1:12" ht="20.25" customHeight="1">
      <c r="A12" s="245" t="s">
        <v>249</v>
      </c>
      <c r="B12" s="246">
        <v>1</v>
      </c>
      <c r="C12" s="247">
        <v>1</v>
      </c>
      <c r="D12" s="247">
        <v>1</v>
      </c>
      <c r="E12" s="247">
        <v>1</v>
      </c>
      <c r="F12" s="247">
        <v>1</v>
      </c>
      <c r="G12" s="247">
        <v>1</v>
      </c>
    </row>
    <row r="13" spans="1:12" ht="20.25" customHeight="1">
      <c r="A13" s="245" t="s">
        <v>250</v>
      </c>
      <c r="B13" s="246" t="s">
        <v>251</v>
      </c>
      <c r="C13" s="247">
        <v>0.98799999999999999</v>
      </c>
      <c r="D13" s="247">
        <v>0.97499999999999998</v>
      </c>
      <c r="E13" s="247">
        <v>0.97599999999999998</v>
      </c>
      <c r="F13" s="247">
        <v>0.98499999999999999</v>
      </c>
      <c r="G13" s="247">
        <v>0.97900000000000009</v>
      </c>
    </row>
    <row r="14" spans="1:12" ht="20.25" customHeight="1">
      <c r="A14" s="245" t="s">
        <v>252</v>
      </c>
      <c r="B14" s="246" t="s">
        <v>253</v>
      </c>
      <c r="C14" s="247">
        <v>1</v>
      </c>
      <c r="D14" s="247">
        <v>1</v>
      </c>
      <c r="E14" s="247">
        <v>1</v>
      </c>
      <c r="F14" s="247">
        <v>1</v>
      </c>
      <c r="G14" s="247">
        <v>1</v>
      </c>
    </row>
    <row r="15" spans="1:12" ht="20.25" customHeight="1">
      <c r="A15" s="245" t="s">
        <v>254</v>
      </c>
      <c r="B15" s="246" t="s">
        <v>248</v>
      </c>
      <c r="C15" s="247">
        <v>1</v>
      </c>
      <c r="D15" s="247">
        <v>1</v>
      </c>
      <c r="E15" s="247">
        <v>1</v>
      </c>
      <c r="F15" s="247">
        <v>0.95700000000000007</v>
      </c>
      <c r="G15" s="247">
        <v>1</v>
      </c>
    </row>
    <row r="23" spans="4:4">
      <c r="D23" s="190"/>
    </row>
    <row r="24" spans="4:4">
      <c r="D24" s="190"/>
    </row>
    <row r="25" spans="4:4">
      <c r="D25" s="191"/>
    </row>
  </sheetData>
  <sheetProtection sheet="1" objects="1" scenarios="1"/>
  <mergeCells count="2">
    <mergeCell ref="A4:G4"/>
    <mergeCell ref="A5:G5"/>
  </mergeCells>
  <printOptions horizontalCentered="1"/>
  <pageMargins left="0.7" right="0.7" top="0.75" bottom="0.75" header="0.3" footer="0.3"/>
  <pageSetup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zoomScale="80" zoomScaleNormal="80" workbookViewId="0">
      <selection activeCell="A42" sqref="A42"/>
    </sheetView>
  </sheetViews>
  <sheetFormatPr defaultColWidth="9.42578125" defaultRowHeight="12.75"/>
  <cols>
    <col min="1" max="1" width="42.7109375" style="240" customWidth="1"/>
    <col min="2" max="10" width="13.5703125" style="240" customWidth="1"/>
    <col min="11" max="11" width="13.5703125" style="240" bestFit="1" customWidth="1"/>
    <col min="12" max="13" width="12.42578125" style="240" bestFit="1" customWidth="1"/>
    <col min="14" max="222" width="9.42578125" style="240" customWidth="1"/>
    <col min="223" max="16384" width="9.42578125" style="240"/>
  </cols>
  <sheetData>
    <row r="1" spans="1:13" s="195" customFormat="1" ht="14.25">
      <c r="B1" s="259"/>
      <c r="C1" s="259"/>
      <c r="M1" s="190" t="str">
        <f>'1B_SQI'!G1</f>
        <v>EB-2024-0130</v>
      </c>
    </row>
    <row r="2" spans="1:13" s="195" customFormat="1" ht="14.25">
      <c r="B2" s="259"/>
      <c r="C2" s="259"/>
      <c r="M2" s="190" t="s">
        <v>255</v>
      </c>
    </row>
    <row r="3" spans="1:13" s="195" customFormat="1" ht="14.25">
      <c r="B3" s="259"/>
      <c r="C3" s="259"/>
      <c r="M3" s="191">
        <f>'1B_SQI'!G3</f>
        <v>45491</v>
      </c>
    </row>
    <row r="4" spans="1:13" s="195" customFormat="1" ht="18">
      <c r="A4" s="553" t="s">
        <v>217</v>
      </c>
      <c r="B4" s="553"/>
      <c r="C4" s="553"/>
      <c r="D4" s="553"/>
      <c r="E4" s="553"/>
      <c r="F4" s="553"/>
      <c r="G4" s="553"/>
      <c r="H4" s="553"/>
      <c r="I4" s="553"/>
      <c r="J4" s="553"/>
      <c r="K4" s="553"/>
      <c r="L4" s="553"/>
      <c r="M4" s="553"/>
    </row>
    <row r="5" spans="1:13" s="195" customFormat="1" ht="18">
      <c r="A5" s="554" t="s">
        <v>420</v>
      </c>
      <c r="B5" s="554"/>
      <c r="C5" s="554"/>
      <c r="D5" s="554"/>
      <c r="E5" s="554"/>
      <c r="F5" s="554"/>
      <c r="G5" s="554"/>
      <c r="H5" s="554"/>
      <c r="I5" s="554"/>
      <c r="J5" s="554"/>
      <c r="K5" s="554"/>
      <c r="L5" s="554"/>
      <c r="M5" s="554"/>
    </row>
    <row r="6" spans="1:13" s="195" customFormat="1" ht="18">
      <c r="A6" s="442"/>
      <c r="B6" s="442"/>
      <c r="C6" s="442"/>
      <c r="D6" s="442"/>
      <c r="E6" s="442"/>
      <c r="F6" s="442" t="s">
        <v>562</v>
      </c>
      <c r="G6" s="442"/>
      <c r="H6" s="442"/>
      <c r="I6" s="442"/>
      <c r="J6" s="442"/>
      <c r="K6" s="442"/>
      <c r="L6" s="442"/>
      <c r="M6" s="442"/>
    </row>
    <row r="7" spans="1:13" s="195" customFormat="1" ht="14.25">
      <c r="A7" s="4"/>
      <c r="B7" s="259"/>
      <c r="C7" s="259"/>
    </row>
    <row r="8" spans="1:13" s="198" customFormat="1">
      <c r="A8" s="197"/>
      <c r="B8" s="258"/>
      <c r="C8" s="241" t="s">
        <v>309</v>
      </c>
      <c r="D8" s="555" t="s">
        <v>257</v>
      </c>
      <c r="E8" s="555"/>
      <c r="F8" s="555"/>
      <c r="G8" s="555"/>
      <c r="H8" s="189" t="s">
        <v>106</v>
      </c>
      <c r="I8" s="189" t="s">
        <v>107</v>
      </c>
      <c r="J8" s="555" t="s">
        <v>256</v>
      </c>
      <c r="K8" s="555"/>
      <c r="L8" s="555"/>
      <c r="M8" s="555"/>
    </row>
    <row r="9" spans="1:13" s="196" customFormat="1" ht="14.25">
      <c r="A9" s="202"/>
      <c r="B9" s="242"/>
      <c r="C9" s="242" t="s">
        <v>308</v>
      </c>
      <c r="D9" s="189">
        <f t="shared" ref="D9:F9" si="0">E9-1</f>
        <v>2020</v>
      </c>
      <c r="E9" s="189">
        <f t="shared" si="0"/>
        <v>2021</v>
      </c>
      <c r="F9" s="189">
        <f t="shared" si="0"/>
        <v>2022</v>
      </c>
      <c r="G9" s="189">
        <v>2023</v>
      </c>
      <c r="H9" s="189">
        <f>BRIDGEYEAR</f>
        <v>2024</v>
      </c>
      <c r="I9" s="189">
        <f>TESTYEAR</f>
        <v>2025</v>
      </c>
      <c r="J9" s="199">
        <f>G9+3</f>
        <v>2026</v>
      </c>
      <c r="K9" s="199">
        <f t="shared" ref="K9:M9" si="1">J9+1</f>
        <v>2027</v>
      </c>
      <c r="L9" s="199">
        <f t="shared" si="1"/>
        <v>2028</v>
      </c>
      <c r="M9" s="199">
        <f t="shared" si="1"/>
        <v>2029</v>
      </c>
    </row>
    <row r="10" spans="1:13" s="195" customFormat="1" ht="14.25" hidden="1">
      <c r="A10" s="200" t="s">
        <v>0</v>
      </c>
      <c r="B10" s="5"/>
      <c r="C10" s="5"/>
      <c r="D10" s="5" t="s">
        <v>93</v>
      </c>
      <c r="E10" s="5" t="s">
        <v>93</v>
      </c>
      <c r="F10" s="5" t="s">
        <v>93</v>
      </c>
      <c r="G10" s="5" t="s">
        <v>93</v>
      </c>
      <c r="H10" s="5" t="s">
        <v>93</v>
      </c>
      <c r="I10" s="5" t="s">
        <v>93</v>
      </c>
      <c r="J10" s="5" t="s">
        <v>93</v>
      </c>
      <c r="K10" s="5" t="s">
        <v>93</v>
      </c>
      <c r="L10" s="5" t="s">
        <v>93</v>
      </c>
      <c r="M10" s="5" t="s">
        <v>93</v>
      </c>
    </row>
    <row r="11" spans="1:13" s="195" customFormat="1" ht="14.25">
      <c r="A11" s="200" t="s">
        <v>285</v>
      </c>
      <c r="B11" s="260"/>
      <c r="C11" s="260"/>
      <c r="D11" s="203"/>
      <c r="E11" s="203"/>
      <c r="F11" s="203"/>
      <c r="G11" s="203"/>
      <c r="H11" s="203"/>
      <c r="I11" s="203"/>
      <c r="J11" s="203"/>
      <c r="K11" s="203"/>
      <c r="L11" s="203"/>
      <c r="M11" s="204"/>
    </row>
    <row r="12" spans="1:13" s="195" customFormat="1" ht="14.25">
      <c r="A12" s="274" t="s">
        <v>268</v>
      </c>
      <c r="B12" s="261">
        <v>478</v>
      </c>
      <c r="C12" s="266">
        <v>262.3</v>
      </c>
      <c r="D12" s="266">
        <v>82.219830000000002</v>
      </c>
      <c r="E12" s="266">
        <v>130.44767999999999</v>
      </c>
      <c r="F12" s="266">
        <v>82.130479999999991</v>
      </c>
      <c r="G12" s="266">
        <v>5.7746700000000004</v>
      </c>
      <c r="H12" s="266">
        <v>160</v>
      </c>
      <c r="I12" s="266">
        <v>157</v>
      </c>
      <c r="J12" s="266">
        <v>153.63855832592358</v>
      </c>
      <c r="K12" s="266">
        <v>99.000048721665308</v>
      </c>
      <c r="L12" s="266">
        <v>97.66970365047078</v>
      </c>
      <c r="M12" s="266">
        <v>45.42890900010962</v>
      </c>
    </row>
    <row r="13" spans="1:13" s="195" customFormat="1" ht="14.25">
      <c r="A13" s="274" t="s">
        <v>297</v>
      </c>
      <c r="B13" s="261">
        <v>478</v>
      </c>
      <c r="C13" s="266">
        <v>125.7</v>
      </c>
      <c r="D13" s="266">
        <v>180.93257999999997</v>
      </c>
      <c r="E13" s="266">
        <v>60.744</v>
      </c>
      <c r="F13" s="266">
        <v>341.69299000000001</v>
      </c>
      <c r="G13" s="266">
        <v>457.94144</v>
      </c>
      <c r="H13" s="266">
        <v>824.64</v>
      </c>
      <c r="I13" s="266">
        <v>820.86</v>
      </c>
      <c r="J13" s="266">
        <v>830.13144167407631</v>
      </c>
      <c r="K13" s="266">
        <v>549.03995127833468</v>
      </c>
      <c r="L13" s="266">
        <v>544.99029634952922</v>
      </c>
      <c r="M13" s="266">
        <v>264.91109099989035</v>
      </c>
    </row>
    <row r="14" spans="1:13" s="195" customFormat="1" ht="14.25">
      <c r="A14" s="274" t="s">
        <v>298</v>
      </c>
      <c r="B14" s="261">
        <v>478</v>
      </c>
      <c r="C14" s="266">
        <v>0</v>
      </c>
      <c r="D14" s="266">
        <v>0</v>
      </c>
      <c r="E14" s="266">
        <v>0</v>
      </c>
      <c r="F14" s="266">
        <v>0</v>
      </c>
      <c r="G14" s="266">
        <v>0</v>
      </c>
      <c r="H14" s="266">
        <v>0</v>
      </c>
      <c r="I14" s="266">
        <v>0</v>
      </c>
      <c r="J14" s="266">
        <v>0</v>
      </c>
      <c r="K14" s="266">
        <v>0</v>
      </c>
      <c r="L14" s="266">
        <v>0</v>
      </c>
      <c r="M14" s="266">
        <v>0</v>
      </c>
    </row>
    <row r="15" spans="1:13" s="195" customFormat="1" ht="14.25">
      <c r="A15" s="274" t="s">
        <v>270</v>
      </c>
      <c r="B15" s="261">
        <v>474</v>
      </c>
      <c r="C15" s="266">
        <v>73</v>
      </c>
      <c r="D15" s="266">
        <v>27.242000000000001</v>
      </c>
      <c r="E15" s="266">
        <v>75.197369999999992</v>
      </c>
      <c r="F15" s="266">
        <v>72.839219999999997</v>
      </c>
      <c r="G15" s="266">
        <v>68.482230000000015</v>
      </c>
      <c r="H15" s="266">
        <v>305.75</v>
      </c>
      <c r="I15" s="266">
        <v>255.74</v>
      </c>
      <c r="J15" s="266">
        <v>295.42</v>
      </c>
      <c r="K15" s="266">
        <v>291.70999999999998</v>
      </c>
      <c r="L15" s="266">
        <v>314.73</v>
      </c>
      <c r="M15" s="266">
        <v>301.86</v>
      </c>
    </row>
    <row r="16" spans="1:13" s="195" customFormat="1" ht="14.25">
      <c r="A16" s="274" t="s">
        <v>299</v>
      </c>
      <c r="B16" s="261">
        <v>477</v>
      </c>
      <c r="C16" s="266">
        <v>75</v>
      </c>
      <c r="D16" s="266">
        <v>656.13225</v>
      </c>
      <c r="E16" s="266">
        <v>38.743229999999997</v>
      </c>
      <c r="F16" s="266">
        <v>88.922229999999999</v>
      </c>
      <c r="G16" s="266">
        <v>266.02012999999999</v>
      </c>
      <c r="H16" s="266">
        <v>342.43</v>
      </c>
      <c r="I16" s="266">
        <v>97.94</v>
      </c>
      <c r="J16" s="266">
        <v>194.27</v>
      </c>
      <c r="K16" s="266">
        <v>211.25</v>
      </c>
      <c r="L16" s="266">
        <v>212.26</v>
      </c>
      <c r="M16" s="266">
        <v>209.18</v>
      </c>
    </row>
    <row r="17" spans="1:13" s="195" customFormat="1" ht="14.25">
      <c r="A17" s="274" t="s">
        <v>300</v>
      </c>
      <c r="B17" s="261">
        <v>475</v>
      </c>
      <c r="C17" s="266">
        <v>0</v>
      </c>
      <c r="D17" s="266">
        <v>0</v>
      </c>
      <c r="E17" s="266">
        <v>0</v>
      </c>
      <c r="F17" s="266">
        <v>0</v>
      </c>
      <c r="G17" s="266">
        <v>0</v>
      </c>
      <c r="H17" s="266">
        <v>0</v>
      </c>
      <c r="I17" s="266">
        <v>0</v>
      </c>
      <c r="J17" s="266">
        <v>0</v>
      </c>
      <c r="K17" s="266">
        <v>0</v>
      </c>
      <c r="L17" s="266">
        <v>0</v>
      </c>
      <c r="M17" s="266">
        <v>0</v>
      </c>
    </row>
    <row r="18" spans="1:13" s="195" customFormat="1" ht="14.25">
      <c r="A18" s="274" t="s">
        <v>301</v>
      </c>
      <c r="B18" s="261">
        <v>475</v>
      </c>
      <c r="C18" s="266">
        <v>0</v>
      </c>
      <c r="D18" s="266">
        <v>-41.189500000000002</v>
      </c>
      <c r="E18" s="266">
        <v>0</v>
      </c>
      <c r="F18" s="266">
        <v>248</v>
      </c>
      <c r="G18" s="266">
        <v>0</v>
      </c>
      <c r="H18" s="266">
        <v>300</v>
      </c>
      <c r="I18" s="266">
        <v>300</v>
      </c>
      <c r="J18" s="266">
        <v>300</v>
      </c>
      <c r="K18" s="266">
        <v>0</v>
      </c>
      <c r="L18" s="266">
        <v>0</v>
      </c>
      <c r="M18" s="266">
        <v>0</v>
      </c>
    </row>
    <row r="19" spans="1:13" s="195" customFormat="1" ht="14.25">
      <c r="A19" s="274" t="s">
        <v>302</v>
      </c>
      <c r="B19" s="261">
        <v>475</v>
      </c>
      <c r="C19" s="266">
        <v>574</v>
      </c>
      <c r="D19" s="266">
        <v>1214.8196299999997</v>
      </c>
      <c r="E19" s="266">
        <v>697.17246</v>
      </c>
      <c r="F19" s="266">
        <v>283.5605900000001</v>
      </c>
      <c r="G19" s="266">
        <v>1204.7934500000001</v>
      </c>
      <c r="H19" s="266">
        <v>2155.5500000000002</v>
      </c>
      <c r="I19" s="266">
        <v>1356.35</v>
      </c>
      <c r="J19" s="266">
        <v>1223.135</v>
      </c>
      <c r="K19" s="266">
        <v>873.74</v>
      </c>
      <c r="L19" s="266">
        <v>905.64</v>
      </c>
      <c r="M19" s="266">
        <v>567.14</v>
      </c>
    </row>
    <row r="20" spans="1:13" customFormat="1" ht="15">
      <c r="A20" s="274" t="s">
        <v>303</v>
      </c>
      <c r="B20" s="261">
        <v>473</v>
      </c>
      <c r="C20" s="266">
        <v>100</v>
      </c>
      <c r="D20" s="266">
        <v>470.60622000000001</v>
      </c>
      <c r="E20" s="266">
        <v>482.35418000000004</v>
      </c>
      <c r="F20" s="266">
        <v>450.24464</v>
      </c>
      <c r="G20" s="266">
        <v>574.40978999999993</v>
      </c>
      <c r="H20" s="266">
        <v>784.31</v>
      </c>
      <c r="I20" s="266">
        <v>768.91</v>
      </c>
      <c r="J20" s="266">
        <v>824.49</v>
      </c>
      <c r="K20" s="266">
        <v>838.96</v>
      </c>
      <c r="L20" s="266">
        <v>887.96</v>
      </c>
      <c r="M20" s="266">
        <v>925.38</v>
      </c>
    </row>
    <row r="21" spans="1:13" s="195" customFormat="1" ht="15">
      <c r="A21" s="201" t="s">
        <v>286</v>
      </c>
      <c r="B21" s="262"/>
      <c r="C21" s="267">
        <f t="shared" ref="C21:M21" si="2">SUM(C12:C20)</f>
        <v>1210</v>
      </c>
      <c r="D21" s="267">
        <f t="shared" si="2"/>
        <v>2590.7630100000001</v>
      </c>
      <c r="E21" s="267">
        <f t="shared" si="2"/>
        <v>1484.6589200000001</v>
      </c>
      <c r="F21" s="267">
        <f t="shared" si="2"/>
        <v>1567.3901500000002</v>
      </c>
      <c r="G21" s="267">
        <f t="shared" si="2"/>
        <v>2577.4217100000001</v>
      </c>
      <c r="H21" s="267">
        <f t="shared" si="2"/>
        <v>4872.68</v>
      </c>
      <c r="I21" s="267">
        <f t="shared" si="2"/>
        <v>3756.7999999999997</v>
      </c>
      <c r="J21" s="267">
        <f t="shared" si="2"/>
        <v>3821.085</v>
      </c>
      <c r="K21" s="267">
        <f t="shared" si="2"/>
        <v>2863.7</v>
      </c>
      <c r="L21" s="267">
        <f t="shared" si="2"/>
        <v>2963.25</v>
      </c>
      <c r="M21" s="267">
        <f t="shared" si="2"/>
        <v>2313.9</v>
      </c>
    </row>
    <row r="22" spans="1:13" s="195" customFormat="1" ht="14.25">
      <c r="A22" s="263"/>
      <c r="B22" s="264"/>
      <c r="C22" s="268"/>
      <c r="D22" s="268"/>
      <c r="E22" s="268"/>
      <c r="F22" s="268"/>
      <c r="G22" s="268"/>
      <c r="H22" s="268"/>
      <c r="I22" s="268"/>
      <c r="J22" s="268"/>
      <c r="K22" s="268"/>
      <c r="L22" s="268"/>
      <c r="M22" s="269"/>
    </row>
    <row r="23" spans="1:13" s="195" customFormat="1" ht="14.25">
      <c r="A23" s="265" t="s">
        <v>287</v>
      </c>
      <c r="B23" s="260"/>
      <c r="C23" s="270"/>
      <c r="D23" s="270"/>
      <c r="E23" s="270"/>
      <c r="F23" s="270"/>
      <c r="G23" s="270"/>
      <c r="H23" s="270"/>
      <c r="I23" s="270"/>
      <c r="J23" s="270"/>
      <c r="K23" s="270"/>
      <c r="L23" s="270"/>
      <c r="M23" s="271"/>
    </row>
    <row r="24" spans="1:13" s="195" customFormat="1" ht="14.25">
      <c r="A24" s="274" t="s">
        <v>44</v>
      </c>
      <c r="B24" s="261">
        <v>480</v>
      </c>
      <c r="C24" s="266">
        <v>0</v>
      </c>
      <c r="D24" s="266">
        <v>0</v>
      </c>
      <c r="E24" s="266">
        <v>10.952809999999999</v>
      </c>
      <c r="F24" s="266">
        <v>0</v>
      </c>
      <c r="G24" s="266">
        <v>0</v>
      </c>
      <c r="H24" s="266">
        <v>0</v>
      </c>
      <c r="I24" s="266">
        <v>0</v>
      </c>
      <c r="J24" s="266">
        <v>0</v>
      </c>
      <c r="K24" s="266">
        <v>0</v>
      </c>
      <c r="L24" s="266">
        <v>0</v>
      </c>
      <c r="M24" s="266">
        <v>0</v>
      </c>
    </row>
    <row r="25" spans="1:13" s="195" customFormat="1" ht="14.25">
      <c r="A25" s="274" t="s">
        <v>304</v>
      </c>
      <c r="B25" s="261">
        <v>482</v>
      </c>
      <c r="C25" s="266">
        <v>31</v>
      </c>
      <c r="D25" s="266">
        <v>0</v>
      </c>
      <c r="E25" s="266">
        <v>0</v>
      </c>
      <c r="F25" s="266">
        <v>0</v>
      </c>
      <c r="G25" s="266">
        <v>82.928740000000005</v>
      </c>
      <c r="H25" s="266">
        <v>0</v>
      </c>
      <c r="I25" s="266">
        <v>123.53</v>
      </c>
      <c r="J25" s="266">
        <v>0</v>
      </c>
      <c r="K25" s="266">
        <v>0</v>
      </c>
      <c r="L25" s="266">
        <v>0</v>
      </c>
      <c r="M25" s="266">
        <v>0</v>
      </c>
    </row>
    <row r="26" spans="1:13" s="195" customFormat="1" ht="14.25">
      <c r="A26" s="274" t="s">
        <v>260</v>
      </c>
      <c r="B26" s="261">
        <v>483</v>
      </c>
      <c r="C26" s="266">
        <v>0</v>
      </c>
      <c r="D26" s="266">
        <v>37.790959999999998</v>
      </c>
      <c r="E26" s="266">
        <v>50.393160000000002</v>
      </c>
      <c r="F26" s="266">
        <v>0</v>
      </c>
      <c r="G26" s="266">
        <v>0</v>
      </c>
      <c r="H26" s="266">
        <v>0</v>
      </c>
      <c r="I26" s="266">
        <v>0</v>
      </c>
      <c r="J26" s="266">
        <v>0</v>
      </c>
      <c r="K26" s="266">
        <v>0</v>
      </c>
      <c r="L26" s="266">
        <v>0</v>
      </c>
      <c r="M26" s="266">
        <v>0</v>
      </c>
    </row>
    <row r="27" spans="1:13" s="195" customFormat="1" ht="14.25">
      <c r="A27" s="274" t="s">
        <v>261</v>
      </c>
      <c r="B27" s="261">
        <v>490</v>
      </c>
      <c r="C27" s="266">
        <v>10</v>
      </c>
      <c r="D27" s="266">
        <v>29.668200000000002</v>
      </c>
      <c r="E27" s="266">
        <v>74.281480000000002</v>
      </c>
      <c r="F27" s="266">
        <v>53.352979999999995</v>
      </c>
      <c r="G27" s="266">
        <v>13.830240000000002</v>
      </c>
      <c r="H27" s="266">
        <v>27.53</v>
      </c>
      <c r="I27" s="266">
        <v>57.524999999999999</v>
      </c>
      <c r="J27" s="266">
        <v>79.95</v>
      </c>
      <c r="K27" s="266">
        <v>83.03</v>
      </c>
      <c r="L27" s="266">
        <v>86.54</v>
      </c>
      <c r="M27" s="266">
        <v>90.05</v>
      </c>
    </row>
    <row r="28" spans="1:13" s="195" customFormat="1" ht="14.25">
      <c r="A28" s="274" t="s">
        <v>262</v>
      </c>
      <c r="B28" s="261">
        <v>491</v>
      </c>
      <c r="C28" s="266">
        <v>26</v>
      </c>
      <c r="D28" s="266">
        <v>91.364990000000006</v>
      </c>
      <c r="E28" s="266">
        <v>0.97499999999999998</v>
      </c>
      <c r="F28" s="266">
        <v>55.763059999999996</v>
      </c>
      <c r="G28" s="266">
        <v>37.487749999999998</v>
      </c>
      <c r="H28" s="266">
        <v>6.4</v>
      </c>
      <c r="I28" s="266">
        <v>10</v>
      </c>
      <c r="J28" s="266">
        <v>10</v>
      </c>
      <c r="K28" s="266">
        <v>10</v>
      </c>
      <c r="L28" s="266">
        <v>10</v>
      </c>
      <c r="M28" s="266">
        <v>10</v>
      </c>
    </row>
    <row r="29" spans="1:13" s="195" customFormat="1" ht="14.25">
      <c r="A29" s="274" t="s">
        <v>263</v>
      </c>
      <c r="B29" s="261">
        <v>486</v>
      </c>
      <c r="C29" s="266">
        <v>16</v>
      </c>
      <c r="D29" s="266">
        <v>0</v>
      </c>
      <c r="E29" s="266">
        <v>15.639659999999999</v>
      </c>
      <c r="F29" s="266">
        <v>70.392420000000001</v>
      </c>
      <c r="G29" s="266">
        <v>53.272419999999997</v>
      </c>
      <c r="H29" s="266">
        <v>23.4</v>
      </c>
      <c r="I29" s="266">
        <v>23.03</v>
      </c>
      <c r="J29" s="266">
        <v>22</v>
      </c>
      <c r="K29" s="266">
        <v>22.3</v>
      </c>
      <c r="L29" s="266">
        <v>22.51</v>
      </c>
      <c r="M29" s="266">
        <v>22.7</v>
      </c>
    </row>
    <row r="30" spans="1:13" customFormat="1" ht="15">
      <c r="A30" s="274" t="s">
        <v>264</v>
      </c>
      <c r="B30" s="261">
        <v>488</v>
      </c>
      <c r="C30" s="266">
        <v>0</v>
      </c>
      <c r="D30" s="266">
        <v>47.389139999999998</v>
      </c>
      <c r="E30" s="266">
        <v>65.110160000000008</v>
      </c>
      <c r="F30" s="266">
        <v>0</v>
      </c>
      <c r="G30" s="266">
        <v>1.8140000000000001</v>
      </c>
      <c r="H30" s="266">
        <v>12.53</v>
      </c>
      <c r="I30" s="266">
        <v>17.524999999999999</v>
      </c>
      <c r="J30" s="266">
        <v>0</v>
      </c>
      <c r="K30" s="266">
        <v>0</v>
      </c>
      <c r="L30" s="266">
        <v>0</v>
      </c>
      <c r="M30" s="266">
        <v>0</v>
      </c>
    </row>
    <row r="31" spans="1:13" s="195" customFormat="1" ht="14.25">
      <c r="A31" s="274" t="s">
        <v>305</v>
      </c>
      <c r="B31" s="261">
        <v>484</v>
      </c>
      <c r="C31" s="266">
        <v>47</v>
      </c>
      <c r="D31" s="266">
        <v>63.89396</v>
      </c>
      <c r="E31" s="266">
        <v>38.552500000000002</v>
      </c>
      <c r="F31" s="266">
        <v>180.86554999999998</v>
      </c>
      <c r="G31" s="266">
        <v>74.198579999999993</v>
      </c>
      <c r="H31" s="266">
        <v>102.4</v>
      </c>
      <c r="I31" s="266">
        <v>75.52</v>
      </c>
      <c r="J31" s="266">
        <v>80</v>
      </c>
      <c r="K31" s="266">
        <v>87.3</v>
      </c>
      <c r="L31" s="266">
        <v>91.51</v>
      </c>
      <c r="M31" s="266">
        <v>95.7</v>
      </c>
    </row>
    <row r="32" spans="1:13" s="195" customFormat="1" ht="14.25">
      <c r="A32" s="274" t="s">
        <v>306</v>
      </c>
      <c r="B32" s="261">
        <v>485</v>
      </c>
      <c r="C32" s="266">
        <v>0</v>
      </c>
      <c r="D32" s="266">
        <v>0</v>
      </c>
      <c r="E32" s="266">
        <v>0</v>
      </c>
      <c r="F32" s="266">
        <v>0</v>
      </c>
      <c r="G32" s="266"/>
      <c r="H32" s="266"/>
      <c r="I32" s="266"/>
      <c r="J32" s="266">
        <v>0</v>
      </c>
      <c r="K32" s="266">
        <v>0</v>
      </c>
      <c r="L32" s="266">
        <v>0</v>
      </c>
      <c r="M32" s="266">
        <v>0</v>
      </c>
    </row>
    <row r="33" spans="1:13" s="195" customFormat="1" ht="15">
      <c r="A33" s="201" t="s">
        <v>286</v>
      </c>
      <c r="B33" s="262"/>
      <c r="C33" s="267">
        <f t="shared" ref="C33:M33" si="3">SUM(C24:C32)</f>
        <v>130</v>
      </c>
      <c r="D33" s="267">
        <f t="shared" si="3"/>
        <v>270.10725000000002</v>
      </c>
      <c r="E33" s="267">
        <f t="shared" si="3"/>
        <v>255.90477000000001</v>
      </c>
      <c r="F33" s="267">
        <f t="shared" si="3"/>
        <v>360.37401</v>
      </c>
      <c r="G33" s="267">
        <f t="shared" si="3"/>
        <v>263.53173000000004</v>
      </c>
      <c r="H33" s="267">
        <f t="shared" si="3"/>
        <v>172.26</v>
      </c>
      <c r="I33" s="267">
        <f t="shared" si="3"/>
        <v>307.13</v>
      </c>
      <c r="J33" s="267">
        <f t="shared" si="3"/>
        <v>191.95</v>
      </c>
      <c r="K33" s="267">
        <f t="shared" si="3"/>
        <v>202.63</v>
      </c>
      <c r="L33" s="267">
        <f t="shared" si="3"/>
        <v>210.56</v>
      </c>
      <c r="M33" s="267">
        <f t="shared" si="3"/>
        <v>218.45</v>
      </c>
    </row>
    <row r="34" spans="1:13" s="195" customFormat="1" ht="14.25">
      <c r="A34" s="263"/>
      <c r="B34" s="264"/>
      <c r="C34" s="268"/>
      <c r="D34" s="268"/>
      <c r="E34" s="268"/>
      <c r="F34" s="268"/>
      <c r="G34" s="268"/>
      <c r="H34" s="268"/>
      <c r="I34" s="268"/>
      <c r="J34" s="268"/>
      <c r="K34" s="268"/>
      <c r="L34" s="268"/>
      <c r="M34" s="269"/>
    </row>
    <row r="35" spans="1:13" s="195" customFormat="1" ht="14.25">
      <c r="A35" s="265" t="s">
        <v>288</v>
      </c>
      <c r="B35" s="260"/>
      <c r="C35" s="270"/>
      <c r="D35" s="270"/>
      <c r="E35" s="270"/>
      <c r="F35" s="270"/>
      <c r="G35" s="270"/>
      <c r="H35" s="270"/>
      <c r="I35" s="270"/>
      <c r="J35" s="270"/>
      <c r="K35" s="270"/>
      <c r="L35" s="270"/>
      <c r="M35" s="271"/>
    </row>
    <row r="36" spans="1:13" s="195" customFormat="1" ht="14.25">
      <c r="A36" s="274" t="s">
        <v>307</v>
      </c>
      <c r="B36" s="261">
        <v>401</v>
      </c>
      <c r="C36" s="266">
        <v>0</v>
      </c>
      <c r="D36" s="266">
        <v>2.5363200000000004</v>
      </c>
      <c r="E36" s="266">
        <v>0</v>
      </c>
      <c r="F36" s="266">
        <v>0</v>
      </c>
      <c r="G36" s="266">
        <v>72.267959999999988</v>
      </c>
      <c r="H36" s="266">
        <v>0</v>
      </c>
      <c r="I36" s="266">
        <v>0</v>
      </c>
      <c r="J36" s="266">
        <v>0</v>
      </c>
      <c r="K36" s="266">
        <v>0</v>
      </c>
      <c r="L36" s="266">
        <v>0</v>
      </c>
      <c r="M36" s="266">
        <v>0</v>
      </c>
    </row>
    <row r="37" spans="1:13" s="195" customFormat="1" ht="15">
      <c r="A37" s="201" t="s">
        <v>286</v>
      </c>
      <c r="B37" s="262"/>
      <c r="C37" s="267">
        <f t="shared" ref="C37:M37" si="4">SUM(C36:C36)</f>
        <v>0</v>
      </c>
      <c r="D37" s="267">
        <f t="shared" si="4"/>
        <v>2.5363200000000004</v>
      </c>
      <c r="E37" s="267">
        <f t="shared" si="4"/>
        <v>0</v>
      </c>
      <c r="F37" s="267">
        <f t="shared" si="4"/>
        <v>0</v>
      </c>
      <c r="G37" s="267">
        <f t="shared" si="4"/>
        <v>72.267959999999988</v>
      </c>
      <c r="H37" s="267">
        <f t="shared" si="4"/>
        <v>0</v>
      </c>
      <c r="I37" s="267">
        <f t="shared" si="4"/>
        <v>0</v>
      </c>
      <c r="J37" s="267">
        <f t="shared" si="4"/>
        <v>0</v>
      </c>
      <c r="K37" s="267">
        <f t="shared" si="4"/>
        <v>0</v>
      </c>
      <c r="L37" s="267">
        <f t="shared" si="4"/>
        <v>0</v>
      </c>
      <c r="M37" s="267">
        <f t="shared" si="4"/>
        <v>0</v>
      </c>
    </row>
    <row r="38" spans="1:13" ht="14.25">
      <c r="A38" s="263"/>
      <c r="B38" s="264"/>
      <c r="C38" s="268"/>
      <c r="D38" s="268"/>
      <c r="E38" s="268"/>
      <c r="F38" s="268"/>
      <c r="G38" s="268"/>
      <c r="H38" s="268"/>
      <c r="I38" s="268"/>
      <c r="J38" s="268"/>
      <c r="K38" s="268"/>
      <c r="L38" s="268"/>
      <c r="M38" s="269"/>
    </row>
    <row r="39" spans="1:13" ht="15">
      <c r="A39" s="201" t="s">
        <v>6</v>
      </c>
      <c r="B39" s="272"/>
      <c r="C39" s="273">
        <f t="shared" ref="C39:M39" si="5">C37+C33+C21</f>
        <v>1340</v>
      </c>
      <c r="D39" s="273">
        <f t="shared" si="5"/>
        <v>2863.4065800000003</v>
      </c>
      <c r="E39" s="273">
        <f t="shared" si="5"/>
        <v>1740.5636900000002</v>
      </c>
      <c r="F39" s="273">
        <f t="shared" si="5"/>
        <v>1927.7641600000002</v>
      </c>
      <c r="G39" s="273">
        <f t="shared" si="5"/>
        <v>2913.2214000000004</v>
      </c>
      <c r="H39" s="273">
        <f t="shared" si="5"/>
        <v>5044.9400000000005</v>
      </c>
      <c r="I39" s="273">
        <f t="shared" si="5"/>
        <v>4063.93</v>
      </c>
      <c r="J39" s="273">
        <f t="shared" si="5"/>
        <v>4013.0349999999999</v>
      </c>
      <c r="K39" s="273">
        <f t="shared" si="5"/>
        <v>3066.33</v>
      </c>
      <c r="L39" s="273">
        <f t="shared" si="5"/>
        <v>3173.81</v>
      </c>
      <c r="M39" s="273">
        <f t="shared" si="5"/>
        <v>2532.35</v>
      </c>
    </row>
    <row r="40" spans="1:13" ht="27" customHeight="1"/>
    <row r="41" spans="1:13" ht="14.25" customHeight="1"/>
    <row r="42" spans="1:13" ht="14.25" customHeight="1"/>
    <row r="43" spans="1:13" ht="14.25" customHeight="1"/>
    <row r="44" spans="1:13" ht="14.25" customHeight="1"/>
    <row r="45" spans="1:13" ht="14.25" customHeight="1"/>
    <row r="46" spans="1:13" ht="14.25" customHeight="1"/>
    <row r="47" spans="1:13" ht="14.25" customHeight="1"/>
    <row r="48" spans="1:13"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sheetData>
  <sheetProtection sheet="1" objects="1" scenarios="1"/>
  <mergeCells count="4">
    <mergeCell ref="A4:M4"/>
    <mergeCell ref="A5:M5"/>
    <mergeCell ref="J8:M8"/>
    <mergeCell ref="D8:G8"/>
  </mergeCells>
  <dataValidations disablePrompts="1" count="1">
    <dataValidation type="list" allowBlank="1" showInputMessage="1" showErrorMessage="1" sqref="B10:M10">
      <formula1>"CGAAP, MIFRS, USGAAP, ASPE"</formula1>
    </dataValidation>
  </dataValidations>
  <printOptions horizontalCentered="1"/>
  <pageMargins left="0.7" right="0.7" top="0.75" bottom="0.75" header="0.3" footer="0.3"/>
  <pageSetup scale="60"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showGridLines="0" zoomScale="80" zoomScaleNormal="80" workbookViewId="0">
      <selection activeCell="B41" sqref="B41"/>
    </sheetView>
  </sheetViews>
  <sheetFormatPr defaultColWidth="9.42578125" defaultRowHeight="15"/>
  <cols>
    <col min="1" max="1" width="40.7109375" style="7" customWidth="1"/>
    <col min="2" max="2" width="12.85546875" style="7" customWidth="1"/>
    <col min="3" max="3" width="11.28515625" style="7" customWidth="1"/>
    <col min="4" max="5" width="9.42578125" style="7" customWidth="1"/>
    <col min="6" max="6" width="11.28515625" style="7" customWidth="1"/>
    <col min="7" max="7" width="12.5703125" style="7" customWidth="1"/>
    <col min="8" max="8" width="13.42578125" style="7" customWidth="1"/>
    <col min="9" max="9" width="11.28515625" style="7" customWidth="1"/>
    <col min="10" max="11" width="9.42578125" style="7" customWidth="1"/>
    <col min="12" max="12" width="11.28515625" style="7" customWidth="1"/>
    <col min="13" max="20" width="9.42578125" style="7" customWidth="1"/>
    <col min="21" max="21" width="11.7109375" style="7" customWidth="1"/>
    <col min="22" max="16384" width="9.42578125" style="7"/>
  </cols>
  <sheetData>
    <row r="1" spans="1:22">
      <c r="U1" s="190" t="str">
        <f>'2A_Capital Projects'!M1</f>
        <v>EB-2024-0130</v>
      </c>
    </row>
    <row r="2" spans="1:22">
      <c r="U2" s="190" t="str">
        <f>'2A_Capital Projects'!M2</f>
        <v>Exhibit 2</v>
      </c>
    </row>
    <row r="3" spans="1:22">
      <c r="U3" s="191">
        <f>'2A_Capital Projects'!M3</f>
        <v>45491</v>
      </c>
    </row>
    <row r="4" spans="1:22" ht="18">
      <c r="A4" s="554" t="s">
        <v>218</v>
      </c>
      <c r="B4" s="554"/>
      <c r="C4" s="554"/>
      <c r="D4" s="554"/>
      <c r="E4" s="554"/>
      <c r="F4" s="554"/>
      <c r="G4" s="554"/>
      <c r="H4" s="554"/>
      <c r="I4" s="554"/>
      <c r="J4" s="554"/>
      <c r="K4" s="554"/>
      <c r="L4" s="554"/>
      <c r="M4" s="554"/>
      <c r="N4" s="554"/>
      <c r="O4" s="554"/>
      <c r="P4" s="554"/>
      <c r="Q4" s="554"/>
      <c r="R4" s="554"/>
      <c r="S4" s="554"/>
      <c r="T4" s="554"/>
      <c r="U4" s="554"/>
    </row>
    <row r="5" spans="1:22" ht="18">
      <c r="A5" s="556" t="s">
        <v>563</v>
      </c>
      <c r="B5" s="556"/>
      <c r="C5" s="556"/>
      <c r="D5" s="556"/>
      <c r="E5" s="556"/>
      <c r="F5" s="556"/>
      <c r="G5" s="556"/>
      <c r="H5" s="556"/>
      <c r="I5" s="556"/>
      <c r="J5" s="556"/>
      <c r="K5" s="556"/>
      <c r="L5" s="556"/>
      <c r="M5" s="556"/>
      <c r="N5" s="556"/>
      <c r="O5" s="556"/>
      <c r="P5" s="556"/>
      <c r="Q5" s="556"/>
      <c r="R5" s="556"/>
      <c r="S5" s="556"/>
      <c r="T5" s="556"/>
      <c r="U5" s="556"/>
    </row>
    <row r="6" spans="1:22" ht="18">
      <c r="A6" s="556" t="s">
        <v>562</v>
      </c>
      <c r="B6" s="556"/>
      <c r="C6" s="556"/>
      <c r="D6" s="556"/>
      <c r="E6" s="556"/>
      <c r="F6" s="556"/>
      <c r="G6" s="556"/>
      <c r="H6" s="556"/>
      <c r="I6" s="556"/>
      <c r="J6" s="556"/>
      <c r="K6" s="556"/>
      <c r="L6" s="556"/>
      <c r="M6" s="556"/>
      <c r="N6" s="556"/>
      <c r="O6" s="556"/>
      <c r="P6" s="556"/>
      <c r="Q6" s="556"/>
      <c r="R6" s="556"/>
      <c r="S6" s="556"/>
      <c r="T6" s="556"/>
      <c r="U6" s="556"/>
    </row>
    <row r="7" spans="1:22" ht="15.75">
      <c r="A7" s="9"/>
    </row>
    <row r="8" spans="1:22" s="8" customFormat="1" ht="12.75">
      <c r="A8" s="557" t="s">
        <v>7</v>
      </c>
      <c r="B8" s="559"/>
      <c r="C8" s="559"/>
      <c r="D8" s="559"/>
      <c r="E8" s="559"/>
      <c r="F8" s="559"/>
      <c r="G8" s="559"/>
      <c r="H8" s="559"/>
      <c r="I8" s="559"/>
      <c r="J8" s="559"/>
      <c r="K8" s="559"/>
      <c r="L8" s="559"/>
      <c r="M8" s="559"/>
      <c r="N8" s="559"/>
      <c r="O8" s="559"/>
      <c r="P8" s="559"/>
      <c r="Q8" s="559" t="s">
        <v>8</v>
      </c>
      <c r="R8" s="559"/>
      <c r="S8" s="559"/>
      <c r="T8" s="559"/>
      <c r="U8" s="559"/>
    </row>
    <row r="9" spans="1:22" s="8" customFormat="1" ht="12.75">
      <c r="A9" s="557"/>
      <c r="B9" s="559">
        <f>'2A_Capital Projects'!D9</f>
        <v>2020</v>
      </c>
      <c r="C9" s="559"/>
      <c r="D9" s="559"/>
      <c r="E9" s="559">
        <f>B9+1</f>
        <v>2021</v>
      </c>
      <c r="F9" s="559"/>
      <c r="G9" s="559"/>
      <c r="H9" s="559">
        <f>E9+1</f>
        <v>2022</v>
      </c>
      <c r="I9" s="559"/>
      <c r="J9" s="559"/>
      <c r="K9" s="559">
        <f>H9+1</f>
        <v>2023</v>
      </c>
      <c r="L9" s="559"/>
      <c r="M9" s="559"/>
      <c r="N9" s="559" t="str">
        <f>K9+1&amp;" Bridge"</f>
        <v>2024 Bridge</v>
      </c>
      <c r="O9" s="559"/>
      <c r="P9" s="559"/>
      <c r="Q9" s="562">
        <f>TESTYEAR</f>
        <v>2025</v>
      </c>
      <c r="R9" s="562">
        <f>Q9+1</f>
        <v>2026</v>
      </c>
      <c r="S9" s="562">
        <f>R9+1</f>
        <v>2027</v>
      </c>
      <c r="T9" s="562">
        <f>S9+1</f>
        <v>2028</v>
      </c>
      <c r="U9" s="562">
        <f>T9+1</f>
        <v>2029</v>
      </c>
    </row>
    <row r="10" spans="1:22" s="8" customFormat="1" ht="14.25">
      <c r="A10" s="557"/>
      <c r="B10" s="184" t="s">
        <v>9</v>
      </c>
      <c r="C10" s="184" t="s">
        <v>10</v>
      </c>
      <c r="D10" s="184" t="s">
        <v>11</v>
      </c>
      <c r="E10" s="184" t="s">
        <v>9</v>
      </c>
      <c r="F10" s="184" t="s">
        <v>10</v>
      </c>
      <c r="G10" s="184" t="s">
        <v>11</v>
      </c>
      <c r="H10" s="184" t="s">
        <v>9</v>
      </c>
      <c r="I10" s="184" t="s">
        <v>10</v>
      </c>
      <c r="J10" s="184" t="s">
        <v>11</v>
      </c>
      <c r="K10" s="184" t="s">
        <v>9</v>
      </c>
      <c r="L10" s="184" t="s">
        <v>10</v>
      </c>
      <c r="M10" s="184" t="s">
        <v>11</v>
      </c>
      <c r="N10" s="184" t="s">
        <v>9</v>
      </c>
      <c r="O10" s="184" t="s">
        <v>12</v>
      </c>
      <c r="P10" s="184" t="s">
        <v>11</v>
      </c>
      <c r="Q10" s="562"/>
      <c r="R10" s="562"/>
      <c r="S10" s="562"/>
      <c r="T10" s="562"/>
      <c r="U10" s="562"/>
    </row>
    <row r="11" spans="1:22" s="8" customFormat="1" ht="12.75">
      <c r="A11" s="558"/>
      <c r="B11" s="560" t="s">
        <v>13</v>
      </c>
      <c r="C11" s="561"/>
      <c r="D11" s="185" t="s">
        <v>14</v>
      </c>
      <c r="E11" s="560" t="s">
        <v>13</v>
      </c>
      <c r="F11" s="561"/>
      <c r="G11" s="185" t="s">
        <v>14</v>
      </c>
      <c r="H11" s="560" t="s">
        <v>13</v>
      </c>
      <c r="I11" s="561"/>
      <c r="J11" s="185" t="s">
        <v>14</v>
      </c>
      <c r="K11" s="560" t="s">
        <v>13</v>
      </c>
      <c r="L11" s="561"/>
      <c r="M11" s="185" t="s">
        <v>14</v>
      </c>
      <c r="N11" s="560" t="s">
        <v>13</v>
      </c>
      <c r="O11" s="561"/>
      <c r="P11" s="185" t="s">
        <v>14</v>
      </c>
      <c r="Q11" s="560" t="s">
        <v>13</v>
      </c>
      <c r="R11" s="560"/>
      <c r="S11" s="560"/>
      <c r="T11" s="560"/>
      <c r="U11" s="560"/>
    </row>
    <row r="12" spans="1:22" s="8" customFormat="1">
      <c r="A12" s="206" t="s">
        <v>1</v>
      </c>
      <c r="B12" s="186">
        <v>523</v>
      </c>
      <c r="C12" s="186">
        <v>1717.5771999999997</v>
      </c>
      <c r="D12" s="187">
        <f>IF(ISERROR((C12-B12)/B12),"--",(C12-B12)/B12)</f>
        <v>2.2840864244741867</v>
      </c>
      <c r="E12" s="186">
        <v>515.5</v>
      </c>
      <c r="F12" s="186">
        <v>1905.5227200000004</v>
      </c>
      <c r="G12" s="187">
        <f>IF(ISERROR((F12-E12)/E12),"--",(F12-E12)/E12)</f>
        <v>2.696455324927256</v>
      </c>
      <c r="H12" s="186">
        <v>527</v>
      </c>
      <c r="I12" s="186">
        <v>1735.9683900000002</v>
      </c>
      <c r="J12" s="187">
        <f>IF(ISERROR((I12-H12)/H12),"--",(I12-H12)/H12)</f>
        <v>2.2940576660341558</v>
      </c>
      <c r="K12" s="186">
        <v>536</v>
      </c>
      <c r="L12" s="186">
        <v>1535.8295099999993</v>
      </c>
      <c r="M12" s="187">
        <f>IF(ISERROR((L12-K12)/K12),"--",(L12-K12)/K12)</f>
        <v>1.8653535634328346</v>
      </c>
      <c r="N12" s="186">
        <v>548</v>
      </c>
      <c r="O12" s="186">
        <f>3292150/1000</f>
        <v>3292.15</v>
      </c>
      <c r="P12" s="187">
        <f>IF(ISERROR((O12-N12)/N12),"--",(O12-N12)/N12)</f>
        <v>5.0075729927007302</v>
      </c>
      <c r="Q12" s="186">
        <f>1954400/1000</f>
        <v>1954.4</v>
      </c>
      <c r="R12" s="186">
        <v>2730.92</v>
      </c>
      <c r="S12" s="186">
        <v>1664.93</v>
      </c>
      <c r="T12" s="186">
        <v>1750.395</v>
      </c>
      <c r="U12" s="186">
        <v>1829.7750000000001</v>
      </c>
      <c r="V12" s="394"/>
    </row>
    <row r="13" spans="1:22" s="8" customFormat="1">
      <c r="A13" s="206" t="s">
        <v>3</v>
      </c>
      <c r="B13" s="186">
        <v>490</v>
      </c>
      <c r="C13" s="186">
        <v>22.583500000000001</v>
      </c>
      <c r="D13" s="187">
        <f t="shared" ref="D13:D18" si="0">IF(ISERROR((C13-B13)/B13),"--",(C13-B13)/B13)</f>
        <v>-0.95391122448979593</v>
      </c>
      <c r="E13" s="186">
        <v>500.5</v>
      </c>
      <c r="F13" s="186">
        <v>39.812529999999995</v>
      </c>
      <c r="G13" s="187">
        <f t="shared" ref="G13:G18" si="1">IF(ISERROR((F13-E13)/E13),"--",(F13-E13)/E13)</f>
        <v>-0.9204544855144855</v>
      </c>
      <c r="H13" s="186">
        <v>512</v>
      </c>
      <c r="I13" s="186">
        <v>383.39229000000006</v>
      </c>
      <c r="J13" s="187">
        <f t="shared" ref="J13:J18" si="2">IF(ISERROR((I13-H13)/H13),"--",(I13-H13)/H13)</f>
        <v>-0.25118693359374988</v>
      </c>
      <c r="K13" s="186">
        <v>520.5</v>
      </c>
      <c r="L13" s="186">
        <v>673.22115999999994</v>
      </c>
      <c r="M13" s="187">
        <f t="shared" ref="M13:M18" si="3">IF(ISERROR((L13-K13)/K13),"--",(L13-K13)/K13)</f>
        <v>0.29341241114313149</v>
      </c>
      <c r="N13" s="186">
        <v>532</v>
      </c>
      <c r="O13" s="186">
        <f>1652780/1000</f>
        <v>1652.78</v>
      </c>
      <c r="P13" s="187">
        <f t="shared" ref="P13:P18" si="4">IF(ISERROR((O13-N13)/N13),"--",(O13-N13)/N13)</f>
        <v>2.1067293233082705</v>
      </c>
      <c r="Q13" s="186">
        <f>1459650/1000</f>
        <v>1459.65</v>
      </c>
      <c r="R13" s="186">
        <v>1567.12</v>
      </c>
      <c r="S13" s="186">
        <v>912.02</v>
      </c>
      <c r="T13" s="186">
        <v>929.69</v>
      </c>
      <c r="U13" s="186">
        <v>566.79</v>
      </c>
    </row>
    <row r="14" spans="1:22" s="8" customFormat="1">
      <c r="A14" s="206" t="s">
        <v>4</v>
      </c>
      <c r="B14" s="186">
        <v>269</v>
      </c>
      <c r="C14" s="186">
        <v>603.92305999999985</v>
      </c>
      <c r="D14" s="187">
        <f t="shared" si="0"/>
        <v>1.2450671375464679</v>
      </c>
      <c r="E14" s="186">
        <v>187</v>
      </c>
      <c r="F14" s="186">
        <v>142.57958000000002</v>
      </c>
      <c r="G14" s="187">
        <f t="shared" si="1"/>
        <v>-0.23754235294117634</v>
      </c>
      <c r="H14" s="186">
        <v>190</v>
      </c>
      <c r="I14" s="186">
        <v>98.649930000000012</v>
      </c>
      <c r="J14" s="187">
        <f t="shared" si="2"/>
        <v>-0.4807898421052631</v>
      </c>
      <c r="K14" s="186">
        <v>194</v>
      </c>
      <c r="L14" s="186">
        <v>80.175200000000004</v>
      </c>
      <c r="M14" s="187">
        <f t="shared" si="3"/>
        <v>-0.58672577319587627</v>
      </c>
      <c r="N14" s="186">
        <v>198</v>
      </c>
      <c r="O14" s="186">
        <v>25.06</v>
      </c>
      <c r="P14" s="187">
        <f t="shared" si="4"/>
        <v>-0.87343434343434345</v>
      </c>
      <c r="Q14" s="186">
        <f>450050/1000</f>
        <v>450.05</v>
      </c>
      <c r="R14" s="186">
        <v>39.950000000000003</v>
      </c>
      <c r="S14" s="186">
        <v>405.03</v>
      </c>
      <c r="T14" s="186">
        <v>408.54</v>
      </c>
      <c r="U14" s="186">
        <v>50.05</v>
      </c>
    </row>
    <row r="15" spans="1:22" s="8" customFormat="1">
      <c r="A15" s="206" t="s">
        <v>5</v>
      </c>
      <c r="B15" s="186">
        <v>130</v>
      </c>
      <c r="C15" s="186">
        <v>120.44994</v>
      </c>
      <c r="D15" s="187">
        <f t="shared" si="0"/>
        <v>-7.3462000000000013E-2</v>
      </c>
      <c r="E15" s="186">
        <v>319</v>
      </c>
      <c r="F15" s="186">
        <v>135.21849</v>
      </c>
      <c r="G15" s="187">
        <f t="shared" si="1"/>
        <v>-0.57611758620689657</v>
      </c>
      <c r="H15" s="186">
        <v>76</v>
      </c>
      <c r="I15" s="186">
        <v>290.8974</v>
      </c>
      <c r="J15" s="187">
        <f t="shared" si="2"/>
        <v>2.8275973684210527</v>
      </c>
      <c r="K15" s="186">
        <v>78</v>
      </c>
      <c r="L15" s="186">
        <v>250.11329999999998</v>
      </c>
      <c r="M15" s="187">
        <f t="shared" si="3"/>
        <v>2.2065807692307691</v>
      </c>
      <c r="N15" s="186">
        <v>79</v>
      </c>
      <c r="O15" s="186">
        <v>147.19999999999999</v>
      </c>
      <c r="P15" s="187">
        <f t="shared" si="4"/>
        <v>0.86329113924050616</v>
      </c>
      <c r="Q15" s="186">
        <f>272080/1000</f>
        <v>272.08</v>
      </c>
      <c r="R15" s="186">
        <v>152</v>
      </c>
      <c r="S15" s="186">
        <v>159.6</v>
      </c>
      <c r="T15" s="186">
        <v>164.02</v>
      </c>
      <c r="U15" s="186">
        <v>168.4</v>
      </c>
    </row>
    <row r="16" spans="1:22" s="8" customFormat="1" ht="15.75">
      <c r="A16" s="205" t="s">
        <v>15</v>
      </c>
      <c r="B16" s="188">
        <f>SUM(B12:B15)</f>
        <v>1412</v>
      </c>
      <c r="C16" s="188">
        <f t="shared" ref="C16:T16" si="5">SUM(C12:C15)</f>
        <v>2464.5336999999995</v>
      </c>
      <c r="D16" s="187">
        <f t="shared" si="0"/>
        <v>0.745420467422096</v>
      </c>
      <c r="E16" s="188">
        <f t="shared" ref="E16:F16" si="6">SUM(E12:E15)</f>
        <v>1522</v>
      </c>
      <c r="F16" s="188">
        <f t="shared" si="6"/>
        <v>2223.1333200000004</v>
      </c>
      <c r="G16" s="187">
        <f t="shared" si="1"/>
        <v>0.46066578186596607</v>
      </c>
      <c r="H16" s="188">
        <f t="shared" si="5"/>
        <v>1305</v>
      </c>
      <c r="I16" s="188">
        <f t="shared" si="5"/>
        <v>2508.9080100000001</v>
      </c>
      <c r="J16" s="187">
        <f t="shared" si="2"/>
        <v>0.9225348735632185</v>
      </c>
      <c r="K16" s="188">
        <f t="shared" si="5"/>
        <v>1328.5</v>
      </c>
      <c r="L16" s="188">
        <f t="shared" si="5"/>
        <v>2539.3391699999993</v>
      </c>
      <c r="M16" s="187">
        <f t="shared" si="3"/>
        <v>0.91143332329695093</v>
      </c>
      <c r="N16" s="188">
        <f t="shared" si="5"/>
        <v>1357</v>
      </c>
      <c r="O16" s="188">
        <f t="shared" si="5"/>
        <v>5117.1900000000005</v>
      </c>
      <c r="P16" s="187">
        <f t="shared" si="4"/>
        <v>2.7709579955784824</v>
      </c>
      <c r="Q16" s="188">
        <f t="shared" si="5"/>
        <v>4136.18</v>
      </c>
      <c r="R16" s="188">
        <f t="shared" si="5"/>
        <v>4489.99</v>
      </c>
      <c r="S16" s="188">
        <f t="shared" si="5"/>
        <v>3141.5799999999995</v>
      </c>
      <c r="T16" s="188">
        <f t="shared" si="5"/>
        <v>3252.645</v>
      </c>
      <c r="U16" s="188">
        <f>SUM(U12:U15)</f>
        <v>2615.0150000000003</v>
      </c>
    </row>
    <row r="17" spans="1:21" s="8" customFormat="1">
      <c r="A17" s="206" t="s">
        <v>16</v>
      </c>
      <c r="B17" s="186">
        <v>72</v>
      </c>
      <c r="C17" s="186">
        <v>131.33283000000003</v>
      </c>
      <c r="D17" s="187">
        <f t="shared" si="0"/>
        <v>0.82406708333333378</v>
      </c>
      <c r="E17" s="186">
        <v>65</v>
      </c>
      <c r="F17" s="186">
        <v>223.917</v>
      </c>
      <c r="G17" s="187">
        <f t="shared" si="1"/>
        <v>2.4448769230769232</v>
      </c>
      <c r="H17" s="186">
        <v>66</v>
      </c>
      <c r="I17" s="186">
        <v>90.631</v>
      </c>
      <c r="J17" s="187">
        <f t="shared" si="2"/>
        <v>0.37319696969696969</v>
      </c>
      <c r="K17" s="186">
        <v>68</v>
      </c>
      <c r="L17" s="186">
        <v>173.27063000000001</v>
      </c>
      <c r="M17" s="187">
        <f t="shared" si="3"/>
        <v>1.5480975000000001</v>
      </c>
      <c r="N17" s="186">
        <v>69</v>
      </c>
      <c r="O17" s="186">
        <f>72250/1000</f>
        <v>72.25</v>
      </c>
      <c r="P17" s="187">
        <f t="shared" si="4"/>
        <v>4.710144927536232E-2</v>
      </c>
      <c r="Q17" s="186">
        <v>72.25</v>
      </c>
      <c r="R17" s="186">
        <v>476.95499999999998</v>
      </c>
      <c r="S17" s="186">
        <v>75.25</v>
      </c>
      <c r="T17" s="186">
        <v>78.834999999999994</v>
      </c>
      <c r="U17" s="186">
        <v>82.665000000000006</v>
      </c>
    </row>
    <row r="18" spans="1:21" s="8" customFormat="1" ht="15.75">
      <c r="A18" s="205" t="s">
        <v>17</v>
      </c>
      <c r="B18" s="331">
        <f>B16-B17</f>
        <v>1340</v>
      </c>
      <c r="C18" s="331">
        <f>C16-C17</f>
        <v>2333.2008699999997</v>
      </c>
      <c r="D18" s="332">
        <f t="shared" si="0"/>
        <v>0.74119467910447734</v>
      </c>
      <c r="E18" s="331">
        <f t="shared" ref="E18:F18" si="7">E16-E17</f>
        <v>1457</v>
      </c>
      <c r="F18" s="331">
        <f t="shared" si="7"/>
        <v>1999.2163200000005</v>
      </c>
      <c r="G18" s="332">
        <f t="shared" si="1"/>
        <v>0.37214572409059743</v>
      </c>
      <c r="H18" s="331">
        <f>H16-H17</f>
        <v>1239</v>
      </c>
      <c r="I18" s="331">
        <f>I16-I17</f>
        <v>2418.2770100000002</v>
      </c>
      <c r="J18" s="332">
        <f t="shared" si="2"/>
        <v>0.95179742534301881</v>
      </c>
      <c r="K18" s="331">
        <f>K16-K17</f>
        <v>1260.5</v>
      </c>
      <c r="L18" s="331">
        <f>L16-L17</f>
        <v>2366.0685399999993</v>
      </c>
      <c r="M18" s="332">
        <f t="shared" si="3"/>
        <v>0.87708729869099511</v>
      </c>
      <c r="N18" s="331">
        <f>N16-N17</f>
        <v>1288</v>
      </c>
      <c r="O18" s="331">
        <f>O16-O17</f>
        <v>5044.9400000000005</v>
      </c>
      <c r="P18" s="332">
        <f t="shared" si="4"/>
        <v>2.9168788819875782</v>
      </c>
      <c r="Q18" s="331">
        <v>4063.9300000000003</v>
      </c>
      <c r="R18" s="331">
        <v>4013.0349999999999</v>
      </c>
      <c r="S18" s="331">
        <v>3066.3299999999995</v>
      </c>
      <c r="T18" s="331">
        <v>3173.81</v>
      </c>
      <c r="U18" s="331">
        <v>2532.3500000000004</v>
      </c>
    </row>
    <row r="19" spans="1:21" s="10" customFormat="1" ht="12.75">
      <c r="C19" s="10">
        <f>IF(B9=2013,5,IF(B9=2014,6,IF(B9=2015,7,IF(B9=2016,8,IF(B9=2017,9,IF(B9=2018,10,IF(B9=2019,11,IF(B9=2020,12))))))))</f>
        <v>12</v>
      </c>
      <c r="F19" s="10" t="b">
        <f>IF(E9=2013,5,IF(E9=2014,6,IF(E9=2015,7,IF(E9=2016,8,IF(E9=2017,9,IF(E9=2018,10,IF(E9=2019,11,IF(E9=2020,12))))))))</f>
        <v>0</v>
      </c>
      <c r="I19" s="10" t="b">
        <f>IF(H9=2013,5,IF(H9=2014,6,IF(H9=2015,7,IF(H9=2016,8,IF(H9=2017,9,IF(H9=2018,10,IF(H9=2019,11,IF(H9=2020,12,IF(H9=2021,13)))))))))</f>
        <v>0</v>
      </c>
      <c r="L19" s="10" t="b">
        <f>IF(K9=2013,5,IF(K9=2014,6,IF(K9=2015,7,IF(K9=2016,8,IF(K9=2017,9,IF(K9=2018,10,IF(K9=2019,11,IF(K9=2020,12,IF(K9=2021,13,IF(K9=2022,14))))))))))</f>
        <v>0</v>
      </c>
    </row>
    <row r="21" spans="1:21" ht="18.75" hidden="1">
      <c r="A21" s="572" t="s">
        <v>18</v>
      </c>
      <c r="B21" s="573"/>
      <c r="C21" s="573"/>
      <c r="D21" s="573"/>
      <c r="E21" s="573"/>
      <c r="F21" s="573"/>
      <c r="G21" s="573"/>
      <c r="H21" s="573"/>
      <c r="I21" s="573"/>
      <c r="J21" s="573"/>
      <c r="K21" s="573"/>
      <c r="L21" s="573"/>
      <c r="M21" s="573"/>
      <c r="N21" s="573"/>
      <c r="O21" s="573"/>
      <c r="P21" s="573"/>
      <c r="Q21" s="573"/>
      <c r="R21" s="573"/>
      <c r="S21" s="573"/>
      <c r="T21" s="573"/>
      <c r="U21" s="574"/>
    </row>
    <row r="22" spans="1:21" hidden="1">
      <c r="A22" s="563" t="s">
        <v>19</v>
      </c>
      <c r="B22" s="564"/>
      <c r="C22" s="564"/>
      <c r="D22" s="564"/>
      <c r="E22" s="564"/>
      <c r="F22" s="564"/>
      <c r="G22" s="564"/>
      <c r="H22" s="564"/>
      <c r="I22" s="564"/>
      <c r="J22" s="564"/>
      <c r="K22" s="564"/>
      <c r="L22" s="564"/>
      <c r="M22" s="564"/>
      <c r="N22" s="564"/>
      <c r="O22" s="564"/>
      <c r="P22" s="564"/>
      <c r="Q22" s="564"/>
      <c r="R22" s="564"/>
      <c r="S22" s="564"/>
      <c r="T22" s="564"/>
      <c r="U22" s="565"/>
    </row>
    <row r="23" spans="1:21" hidden="1">
      <c r="A23" s="575" t="s">
        <v>341</v>
      </c>
      <c r="B23" s="576"/>
      <c r="C23" s="576"/>
      <c r="D23" s="576"/>
      <c r="E23" s="576"/>
      <c r="F23" s="576"/>
      <c r="G23" s="576"/>
      <c r="H23" s="576"/>
      <c r="I23" s="576"/>
      <c r="J23" s="576"/>
      <c r="K23" s="576"/>
      <c r="L23" s="576"/>
      <c r="M23" s="576"/>
      <c r="N23" s="576"/>
      <c r="O23" s="576"/>
      <c r="P23" s="576"/>
      <c r="Q23" s="576"/>
      <c r="R23" s="576"/>
      <c r="S23" s="576"/>
      <c r="T23" s="576"/>
      <c r="U23" s="577"/>
    </row>
    <row r="24" spans="1:21" hidden="1">
      <c r="A24" s="578"/>
      <c r="B24" s="579"/>
      <c r="C24" s="579"/>
      <c r="D24" s="579"/>
      <c r="E24" s="579"/>
      <c r="F24" s="579"/>
      <c r="G24" s="579"/>
      <c r="H24" s="579"/>
      <c r="I24" s="579"/>
      <c r="J24" s="579"/>
      <c r="K24" s="579"/>
      <c r="L24" s="579"/>
      <c r="M24" s="579"/>
      <c r="N24" s="579"/>
      <c r="O24" s="579"/>
      <c r="P24" s="579"/>
      <c r="Q24" s="579"/>
      <c r="R24" s="579"/>
      <c r="S24" s="579"/>
      <c r="T24" s="579"/>
      <c r="U24" s="580"/>
    </row>
    <row r="25" spans="1:21" hidden="1">
      <c r="A25" s="563" t="s">
        <v>20</v>
      </c>
      <c r="B25" s="564"/>
      <c r="C25" s="564"/>
      <c r="D25" s="564"/>
      <c r="E25" s="564"/>
      <c r="F25" s="564"/>
      <c r="G25" s="564"/>
      <c r="H25" s="564"/>
      <c r="I25" s="564"/>
      <c r="J25" s="564"/>
      <c r="K25" s="564"/>
      <c r="L25" s="564"/>
      <c r="M25" s="564"/>
      <c r="N25" s="564"/>
      <c r="O25" s="564"/>
      <c r="P25" s="564"/>
      <c r="Q25" s="564"/>
      <c r="R25" s="564"/>
      <c r="S25" s="564"/>
      <c r="T25" s="564"/>
      <c r="U25" s="565"/>
    </row>
    <row r="26" spans="1:21" hidden="1">
      <c r="A26" s="566"/>
      <c r="B26" s="567"/>
      <c r="C26" s="567"/>
      <c r="D26" s="567"/>
      <c r="E26" s="567"/>
      <c r="F26" s="567"/>
      <c r="G26" s="567"/>
      <c r="H26" s="567"/>
      <c r="I26" s="567"/>
      <c r="J26" s="567"/>
      <c r="K26" s="567"/>
      <c r="L26" s="567"/>
      <c r="M26" s="567"/>
      <c r="N26" s="567"/>
      <c r="O26" s="567"/>
      <c r="P26" s="567"/>
      <c r="Q26" s="567"/>
      <c r="R26" s="567"/>
      <c r="S26" s="567"/>
      <c r="T26" s="567"/>
      <c r="U26" s="568"/>
    </row>
    <row r="27" spans="1:21" hidden="1">
      <c r="A27" s="569"/>
      <c r="B27" s="570"/>
      <c r="C27" s="570"/>
      <c r="D27" s="570"/>
      <c r="E27" s="570"/>
      <c r="F27" s="570"/>
      <c r="G27" s="570"/>
      <c r="H27" s="570"/>
      <c r="I27" s="570"/>
      <c r="J27" s="570"/>
      <c r="K27" s="570"/>
      <c r="L27" s="570"/>
      <c r="M27" s="570"/>
      <c r="N27" s="570"/>
      <c r="O27" s="570"/>
      <c r="P27" s="570"/>
      <c r="Q27" s="570"/>
      <c r="R27" s="570"/>
      <c r="S27" s="570"/>
      <c r="T27" s="570"/>
      <c r="U27" s="571"/>
    </row>
    <row r="28" spans="1:21" hidden="1">
      <c r="A28" s="563" t="s">
        <v>21</v>
      </c>
      <c r="B28" s="564"/>
      <c r="C28" s="564"/>
      <c r="D28" s="564"/>
      <c r="E28" s="564"/>
      <c r="F28" s="564"/>
      <c r="G28" s="564"/>
      <c r="H28" s="564"/>
      <c r="I28" s="564"/>
      <c r="J28" s="564"/>
      <c r="K28" s="564"/>
      <c r="L28" s="564"/>
      <c r="M28" s="564"/>
      <c r="N28" s="564"/>
      <c r="O28" s="564"/>
      <c r="P28" s="564"/>
      <c r="Q28" s="564"/>
      <c r="R28" s="564"/>
      <c r="S28" s="564"/>
      <c r="T28" s="564"/>
      <c r="U28" s="565"/>
    </row>
    <row r="29" spans="1:21" hidden="1">
      <c r="A29" s="566"/>
      <c r="B29" s="567"/>
      <c r="C29" s="567"/>
      <c r="D29" s="567"/>
      <c r="E29" s="567"/>
      <c r="F29" s="567"/>
      <c r="G29" s="567"/>
      <c r="H29" s="567"/>
      <c r="I29" s="567"/>
      <c r="J29" s="567"/>
      <c r="K29" s="567"/>
      <c r="L29" s="567"/>
      <c r="M29" s="567"/>
      <c r="N29" s="567"/>
      <c r="O29" s="567"/>
      <c r="P29" s="567"/>
      <c r="Q29" s="567"/>
      <c r="R29" s="567"/>
      <c r="S29" s="567"/>
      <c r="T29" s="567"/>
      <c r="U29" s="568"/>
    </row>
    <row r="30" spans="1:21" hidden="1">
      <c r="A30" s="569"/>
      <c r="B30" s="570"/>
      <c r="C30" s="570"/>
      <c r="D30" s="570"/>
      <c r="E30" s="570"/>
      <c r="F30" s="570"/>
      <c r="G30" s="570"/>
      <c r="H30" s="570"/>
      <c r="I30" s="570"/>
      <c r="J30" s="570"/>
      <c r="K30" s="570"/>
      <c r="L30" s="570"/>
      <c r="M30" s="570"/>
      <c r="N30" s="570"/>
      <c r="O30" s="570"/>
      <c r="P30" s="570"/>
      <c r="Q30" s="570"/>
      <c r="R30" s="570"/>
      <c r="S30" s="570"/>
      <c r="T30" s="570"/>
      <c r="U30" s="571"/>
    </row>
  </sheetData>
  <sheetProtection sheet="1" objects="1" scenarios="1"/>
  <mergeCells count="29">
    <mergeCell ref="R9:R10"/>
    <mergeCell ref="A28:U28"/>
    <mergeCell ref="A29:U30"/>
    <mergeCell ref="A21:U21"/>
    <mergeCell ref="A22:U22"/>
    <mergeCell ref="A23:U24"/>
    <mergeCell ref="A25:U25"/>
    <mergeCell ref="A26:U27"/>
    <mergeCell ref="E9:G9"/>
    <mergeCell ref="H9:J9"/>
    <mergeCell ref="K9:M9"/>
    <mergeCell ref="N9:P9"/>
    <mergeCell ref="Q9:Q10"/>
    <mergeCell ref="A6:U6"/>
    <mergeCell ref="A4:U4"/>
    <mergeCell ref="A5:U5"/>
    <mergeCell ref="A8:A11"/>
    <mergeCell ref="B8:P8"/>
    <mergeCell ref="Q8:U8"/>
    <mergeCell ref="B9:D9"/>
    <mergeCell ref="K11:L11"/>
    <mergeCell ref="N11:O11"/>
    <mergeCell ref="Q11:U11"/>
    <mergeCell ref="S9:S10"/>
    <mergeCell ref="T9:T10"/>
    <mergeCell ref="U9:U10"/>
    <mergeCell ref="B11:C11"/>
    <mergeCell ref="E11:F11"/>
    <mergeCell ref="H11:I11"/>
  </mergeCells>
  <pageMargins left="0.7" right="0.7" top="0.75" bottom="0.75" header="0.3" footer="0.3"/>
  <pageSetup scale="49"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70"/>
  <sheetViews>
    <sheetView showGridLines="0" zoomScale="85" zoomScaleNormal="85" workbookViewId="0">
      <selection activeCell="A287" sqref="A287:XFD287"/>
    </sheetView>
  </sheetViews>
  <sheetFormatPr defaultColWidth="9.42578125" defaultRowHeight="12.75" zeroHeight="1"/>
  <cols>
    <col min="1" max="1" width="7.5703125" style="14" customWidth="1"/>
    <col min="2" max="2" width="10.42578125" style="14" customWidth="1"/>
    <col min="3" max="3" width="37.5703125" style="15" customWidth="1"/>
    <col min="4" max="4" width="19.28515625" style="15" bestFit="1" customWidth="1"/>
    <col min="5" max="5" width="23.85546875" style="15" bestFit="1" customWidth="1"/>
    <col min="6" max="6" width="14.5703125" style="15" customWidth="1"/>
    <col min="7" max="7" width="18.85546875" style="15" bestFit="1" customWidth="1"/>
    <col min="8" max="8" width="1.5703125" style="16" customWidth="1"/>
    <col min="9" max="9" width="14.42578125" style="15" customWidth="1"/>
    <col min="10" max="10" width="13.42578125" style="15" customWidth="1"/>
    <col min="11" max="11" width="11.5703125" style="15" customWidth="1"/>
    <col min="12" max="12" width="18.85546875" style="15" bestFit="1" customWidth="1"/>
    <col min="13" max="13" width="18.28515625" style="15" bestFit="1" customWidth="1"/>
    <col min="14" max="14" width="10.42578125" style="15" bestFit="1" customWidth="1"/>
    <col min="15" max="16" width="9.42578125" style="15"/>
    <col min="17" max="17" width="0" style="15" hidden="1" customWidth="1"/>
    <col min="18" max="16384" width="9.42578125" style="15"/>
  </cols>
  <sheetData>
    <row r="1" spans="1:17">
      <c r="M1" s="190" t="str">
        <f>'2B_Capital Expenditures'!U1</f>
        <v>EB-2024-0130</v>
      </c>
    </row>
    <row r="2" spans="1:17">
      <c r="M2" s="190" t="str">
        <f>'2B_Capital Expenditures'!U2</f>
        <v>Exhibit 2</v>
      </c>
    </row>
    <row r="3" spans="1:17">
      <c r="M3" s="191">
        <f>'2B_Capital Expenditures'!U3</f>
        <v>45491</v>
      </c>
    </row>
    <row r="4" spans="1:17" ht="20.25" customHeight="1">
      <c r="A4" s="584" t="s">
        <v>221</v>
      </c>
      <c r="B4" s="584"/>
      <c r="C4" s="584"/>
      <c r="D4" s="584"/>
      <c r="E4" s="584"/>
      <c r="F4" s="584"/>
      <c r="G4" s="584"/>
      <c r="H4" s="584"/>
      <c r="I4" s="584"/>
      <c r="J4" s="584"/>
      <c r="K4" s="584"/>
      <c r="L4" s="584"/>
      <c r="M4" s="584"/>
    </row>
    <row r="5" spans="1:17" ht="18">
      <c r="A5" s="584" t="s">
        <v>564</v>
      </c>
      <c r="B5" s="584"/>
      <c r="C5" s="584"/>
      <c r="D5" s="584"/>
      <c r="E5" s="584"/>
      <c r="F5" s="584"/>
      <c r="G5" s="584"/>
      <c r="H5" s="584"/>
      <c r="I5" s="584"/>
      <c r="J5" s="584"/>
      <c r="K5" s="584"/>
      <c r="L5" s="584"/>
      <c r="M5" s="584"/>
    </row>
    <row r="6" spans="1:17" ht="13.5" thickBot="1"/>
    <row r="7" spans="1:17" ht="15.75" hidden="1" thickBot="1">
      <c r="E7" s="11" t="s">
        <v>25</v>
      </c>
      <c r="F7" s="21" t="s">
        <v>93</v>
      </c>
      <c r="H7" s="15"/>
    </row>
    <row r="8" spans="1:17" ht="15.75" thickBot="1">
      <c r="C8" s="19"/>
      <c r="E8" s="11" t="s">
        <v>27</v>
      </c>
      <c r="F8" s="22">
        <v>2020</v>
      </c>
      <c r="G8" s="23"/>
    </row>
    <row r="9" spans="1:17"/>
    <row r="10" spans="1:17" ht="15" customHeight="1">
      <c r="D10" s="581" t="s">
        <v>28</v>
      </c>
      <c r="E10" s="582"/>
      <c r="F10" s="582"/>
      <c r="G10" s="583"/>
      <c r="I10" s="581" t="s">
        <v>483</v>
      </c>
      <c r="J10" s="582"/>
      <c r="K10" s="582"/>
      <c r="L10" s="583"/>
      <c r="M10" s="16"/>
    </row>
    <row r="11" spans="1:17" ht="30" customHeight="1">
      <c r="A11" s="27" t="s">
        <v>30</v>
      </c>
      <c r="B11" s="27" t="s">
        <v>31</v>
      </c>
      <c r="C11" s="28" t="s">
        <v>32</v>
      </c>
      <c r="D11" s="27" t="s">
        <v>33</v>
      </c>
      <c r="E11" s="29" t="s">
        <v>34</v>
      </c>
      <c r="F11" s="29" t="s">
        <v>35</v>
      </c>
      <c r="G11" s="27" t="s">
        <v>36</v>
      </c>
      <c r="H11" s="30"/>
      <c r="I11" s="27" t="s">
        <v>33</v>
      </c>
      <c r="J11" s="31" t="s">
        <v>37</v>
      </c>
      <c r="K11" s="31" t="s">
        <v>35</v>
      </c>
      <c r="L11" s="32" t="s">
        <v>36</v>
      </c>
      <c r="M11" s="27" t="s">
        <v>38</v>
      </c>
    </row>
    <row r="12" spans="1:17" ht="25.5" customHeight="1">
      <c r="A12" s="40">
        <v>50</v>
      </c>
      <c r="B12" s="33">
        <v>488</v>
      </c>
      <c r="C12" s="34" t="s">
        <v>264</v>
      </c>
      <c r="D12" s="35">
        <v>198690.16</v>
      </c>
      <c r="E12" s="35">
        <v>47389.14</v>
      </c>
      <c r="F12" s="35"/>
      <c r="G12" s="36">
        <f>D12+E12+F12</f>
        <v>246079.3</v>
      </c>
      <c r="H12" s="30"/>
      <c r="I12" s="37">
        <v>-166940.88</v>
      </c>
      <c r="J12" s="35">
        <v>-4930.55</v>
      </c>
      <c r="K12" s="35"/>
      <c r="L12" s="36">
        <f>I12+J12+K12</f>
        <v>-171871.43</v>
      </c>
      <c r="M12" s="38">
        <f t="shared" ref="M12:M52" si="0">G12+L12</f>
        <v>74207.87</v>
      </c>
      <c r="Q12" s="39" t="s">
        <v>170</v>
      </c>
    </row>
    <row r="13" spans="1:17" ht="15">
      <c r="A13" s="40">
        <v>50</v>
      </c>
      <c r="B13" s="33">
        <v>490</v>
      </c>
      <c r="C13" s="34" t="s">
        <v>261</v>
      </c>
      <c r="D13" s="35">
        <v>409967.6</v>
      </c>
      <c r="E13" s="35">
        <v>29668.2</v>
      </c>
      <c r="F13" s="35"/>
      <c r="G13" s="36">
        <f>D13+E13+F13</f>
        <v>439635.8</v>
      </c>
      <c r="H13" s="41"/>
      <c r="I13" s="37">
        <v>-325531.71000000002</v>
      </c>
      <c r="J13" s="35">
        <v>-57723.38</v>
      </c>
      <c r="K13" s="35"/>
      <c r="L13" s="36">
        <f>I13+J13+K13</f>
        <v>-383255.09</v>
      </c>
      <c r="M13" s="38">
        <f t="shared" si="0"/>
        <v>56380.709999999963</v>
      </c>
      <c r="Q13" s="39" t="s">
        <v>171</v>
      </c>
    </row>
    <row r="14" spans="1:17" ht="15">
      <c r="A14" s="40">
        <v>51</v>
      </c>
      <c r="B14" s="33">
        <v>499</v>
      </c>
      <c r="C14" s="34" t="s">
        <v>350</v>
      </c>
      <c r="D14" s="35">
        <v>-334480.94</v>
      </c>
      <c r="E14" s="35">
        <v>-41807</v>
      </c>
      <c r="F14" s="35"/>
      <c r="G14" s="36">
        <f>D14+E14+F14</f>
        <v>-376287.94</v>
      </c>
      <c r="H14" s="41"/>
      <c r="I14" s="37">
        <v>14944.96</v>
      </c>
      <c r="J14" s="35">
        <v>3876.83</v>
      </c>
      <c r="K14" s="35"/>
      <c r="L14" s="36">
        <f>I14+J14+K14</f>
        <v>18821.79</v>
      </c>
      <c r="M14" s="38">
        <f t="shared" si="0"/>
        <v>-357466.15</v>
      </c>
      <c r="Q14" s="39" t="s">
        <v>172</v>
      </c>
    </row>
    <row r="15" spans="1:17" ht="15">
      <c r="A15" s="40">
        <v>51</v>
      </c>
      <c r="B15" s="40">
        <v>499</v>
      </c>
      <c r="C15" s="42" t="s">
        <v>351</v>
      </c>
      <c r="D15" s="35">
        <v>-67088.25</v>
      </c>
      <c r="E15" s="35">
        <v>-25101.02</v>
      </c>
      <c r="F15" s="35"/>
      <c r="G15" s="36">
        <f>D15+E15+F15</f>
        <v>-92189.27</v>
      </c>
      <c r="H15" s="41"/>
      <c r="I15" s="37">
        <v>1086.82</v>
      </c>
      <c r="J15" s="35">
        <v>1813.9</v>
      </c>
      <c r="K15" s="35"/>
      <c r="L15" s="36">
        <f>I15+J15+K15</f>
        <v>2900.7200000000003</v>
      </c>
      <c r="M15" s="38">
        <f t="shared" si="0"/>
        <v>-89288.55</v>
      </c>
      <c r="Q15" s="39" t="s">
        <v>173</v>
      </c>
    </row>
    <row r="16" spans="1:17" ht="15">
      <c r="A16" s="40">
        <v>51</v>
      </c>
      <c r="B16" s="40">
        <v>499</v>
      </c>
      <c r="C16" s="43" t="s">
        <v>352</v>
      </c>
      <c r="D16" s="35">
        <v>-13207.81</v>
      </c>
      <c r="E16" s="35">
        <v>0</v>
      </c>
      <c r="F16" s="35"/>
      <c r="G16" s="36">
        <f t="shared" ref="G16:G52" si="1">D16+E16+F16</f>
        <v>-13207.81</v>
      </c>
      <c r="H16" s="41"/>
      <c r="I16" s="37">
        <v>953.02</v>
      </c>
      <c r="J16" s="35">
        <v>331.57</v>
      </c>
      <c r="K16" s="35"/>
      <c r="L16" s="36">
        <f t="shared" ref="L16:L52" si="2">I16+J16+K16</f>
        <v>1284.5899999999999</v>
      </c>
      <c r="M16" s="38">
        <f t="shared" si="0"/>
        <v>-11923.22</v>
      </c>
      <c r="Q16" s="39" t="s">
        <v>174</v>
      </c>
    </row>
    <row r="17" spans="1:22" ht="15">
      <c r="A17" s="40">
        <v>51</v>
      </c>
      <c r="B17" s="40">
        <v>499</v>
      </c>
      <c r="C17" s="43" t="s">
        <v>353</v>
      </c>
      <c r="D17" s="35">
        <v>-116753.42</v>
      </c>
      <c r="E17" s="35">
        <v>-64424.81</v>
      </c>
      <c r="F17" s="35"/>
      <c r="G17" s="36">
        <f t="shared" si="1"/>
        <v>-181178.22999999998</v>
      </c>
      <c r="H17" s="41"/>
      <c r="I17" s="37">
        <v>3497.16</v>
      </c>
      <c r="J17" s="35">
        <v>3735.3500000000004</v>
      </c>
      <c r="K17" s="35"/>
      <c r="L17" s="36">
        <f t="shared" si="2"/>
        <v>7232.51</v>
      </c>
      <c r="M17" s="38">
        <f t="shared" si="0"/>
        <v>-173945.71999999997</v>
      </c>
      <c r="Q17" s="39" t="s">
        <v>175</v>
      </c>
    </row>
    <row r="18" spans="1:22" ht="15">
      <c r="A18" s="40"/>
      <c r="B18" s="40">
        <v>401</v>
      </c>
      <c r="C18" s="43" t="s">
        <v>354</v>
      </c>
      <c r="D18" s="35">
        <v>767862.46</v>
      </c>
      <c r="E18" s="35">
        <v>2536.3200000000002</v>
      </c>
      <c r="F18" s="35"/>
      <c r="G18" s="36">
        <f t="shared" si="1"/>
        <v>770398.77999999991</v>
      </c>
      <c r="H18" s="41"/>
      <c r="I18" s="37">
        <v>-381015.78</v>
      </c>
      <c r="J18" s="35">
        <v>-31492.48</v>
      </c>
      <c r="K18" s="35"/>
      <c r="L18" s="36">
        <f t="shared" si="2"/>
        <v>-412508.26</v>
      </c>
      <c r="M18" s="38">
        <f t="shared" si="0"/>
        <v>357890.5199999999</v>
      </c>
      <c r="Q18" s="39" t="s">
        <v>176</v>
      </c>
    </row>
    <row r="19" spans="1:22" ht="15">
      <c r="A19" s="40"/>
      <c r="B19" s="40">
        <v>483</v>
      </c>
      <c r="C19" s="34" t="s">
        <v>260</v>
      </c>
      <c r="D19" s="35">
        <v>112535.84</v>
      </c>
      <c r="E19" s="35">
        <v>37790.959999999999</v>
      </c>
      <c r="F19" s="35"/>
      <c r="G19" s="36">
        <f t="shared" si="1"/>
        <v>150326.79999999999</v>
      </c>
      <c r="H19" s="41"/>
      <c r="I19" s="37">
        <v>-95194.98</v>
      </c>
      <c r="J19" s="35">
        <v>-3008.37</v>
      </c>
      <c r="K19" s="35"/>
      <c r="L19" s="36">
        <f t="shared" si="2"/>
        <v>-98203.349999999991</v>
      </c>
      <c r="M19" s="38">
        <f t="shared" si="0"/>
        <v>52123.45</v>
      </c>
      <c r="Q19" s="39" t="s">
        <v>177</v>
      </c>
    </row>
    <row r="20" spans="1:22" ht="15">
      <c r="A20" s="40"/>
      <c r="B20" s="40">
        <v>480</v>
      </c>
      <c r="C20" s="43" t="s">
        <v>44</v>
      </c>
      <c r="D20" s="35">
        <v>71700.429999999993</v>
      </c>
      <c r="E20" s="35">
        <v>0</v>
      </c>
      <c r="F20" s="35"/>
      <c r="G20" s="36">
        <f t="shared" si="1"/>
        <v>71700.429999999993</v>
      </c>
      <c r="H20" s="41"/>
      <c r="I20" s="37">
        <v>0</v>
      </c>
      <c r="J20" s="35">
        <v>0</v>
      </c>
      <c r="K20" s="35"/>
      <c r="L20" s="36">
        <f t="shared" si="2"/>
        <v>0</v>
      </c>
      <c r="M20" s="38">
        <f t="shared" si="0"/>
        <v>71700.429999999993</v>
      </c>
      <c r="Q20" s="39" t="s">
        <v>178</v>
      </c>
    </row>
    <row r="21" spans="1:22" ht="15">
      <c r="A21" s="40">
        <v>51</v>
      </c>
      <c r="B21" s="40">
        <v>475</v>
      </c>
      <c r="C21" s="43" t="s">
        <v>300</v>
      </c>
      <c r="D21" s="35">
        <v>0</v>
      </c>
      <c r="E21" s="35">
        <v>0</v>
      </c>
      <c r="F21" s="35"/>
      <c r="G21" s="36">
        <f t="shared" si="1"/>
        <v>0</v>
      </c>
      <c r="H21" s="41"/>
      <c r="I21" s="37">
        <v>0</v>
      </c>
      <c r="J21" s="35">
        <v>0</v>
      </c>
      <c r="K21" s="35"/>
      <c r="L21" s="36">
        <f t="shared" si="2"/>
        <v>0</v>
      </c>
      <c r="M21" s="38">
        <f t="shared" si="0"/>
        <v>0</v>
      </c>
      <c r="Q21" s="39" t="s">
        <v>179</v>
      </c>
    </row>
    <row r="22" spans="1:22" ht="15">
      <c r="A22" s="40">
        <v>51</v>
      </c>
      <c r="B22" s="40">
        <v>475</v>
      </c>
      <c r="C22" s="43" t="s">
        <v>301</v>
      </c>
      <c r="D22" s="35">
        <v>5982226.6399999997</v>
      </c>
      <c r="E22" s="35">
        <v>617.5</v>
      </c>
      <c r="F22" s="35"/>
      <c r="G22" s="36">
        <f t="shared" si="1"/>
        <v>5982844.1399999997</v>
      </c>
      <c r="H22" s="41"/>
      <c r="I22" s="37">
        <v>-2948414.62</v>
      </c>
      <c r="J22" s="35">
        <v>-69946.510000000009</v>
      </c>
      <c r="K22" s="35"/>
      <c r="L22" s="36">
        <f t="shared" si="2"/>
        <v>-3018361.13</v>
      </c>
      <c r="M22" s="38">
        <f t="shared" si="0"/>
        <v>2964483.01</v>
      </c>
      <c r="Q22" s="39" t="s">
        <v>180</v>
      </c>
    </row>
    <row r="23" spans="1:22" ht="15">
      <c r="A23" s="40">
        <v>51</v>
      </c>
      <c r="B23" s="40">
        <v>475</v>
      </c>
      <c r="C23" s="43" t="s">
        <v>302</v>
      </c>
      <c r="D23" s="35">
        <v>12527481.769999998</v>
      </c>
      <c r="E23" s="35">
        <v>1239920.6499999999</v>
      </c>
      <c r="F23" s="35"/>
      <c r="G23" s="36">
        <f t="shared" si="1"/>
        <v>13767402.419999998</v>
      </c>
      <c r="H23" s="41"/>
      <c r="I23" s="37">
        <v>-5918625.0500000007</v>
      </c>
      <c r="J23" s="35">
        <v>-252941.53</v>
      </c>
      <c r="K23" s="35"/>
      <c r="L23" s="36">
        <f t="shared" si="2"/>
        <v>-6171566.580000001</v>
      </c>
      <c r="M23" s="38">
        <f t="shared" si="0"/>
        <v>7595835.8399999971</v>
      </c>
      <c r="Q23" s="39" t="s">
        <v>181</v>
      </c>
    </row>
    <row r="24" spans="1:22" ht="15">
      <c r="A24" s="40">
        <v>8</v>
      </c>
      <c r="B24" s="40">
        <v>477</v>
      </c>
      <c r="C24" s="43" t="s">
        <v>299</v>
      </c>
      <c r="D24" s="35">
        <v>1048911.1599999999</v>
      </c>
      <c r="E24" s="35">
        <v>656132.25</v>
      </c>
      <c r="F24" s="35"/>
      <c r="G24" s="36">
        <f t="shared" si="1"/>
        <v>1705043.41</v>
      </c>
      <c r="H24" s="41"/>
      <c r="I24" s="37">
        <v>-890619.6</v>
      </c>
      <c r="J24" s="35">
        <v>-28038.63</v>
      </c>
      <c r="K24" s="35"/>
      <c r="L24" s="36">
        <f t="shared" si="2"/>
        <v>-918658.23</v>
      </c>
      <c r="M24" s="38">
        <f t="shared" si="0"/>
        <v>786385.17999999993</v>
      </c>
      <c r="Q24" s="39" t="s">
        <v>182</v>
      </c>
    </row>
    <row r="25" spans="1:22" ht="15">
      <c r="A25" s="40">
        <v>8</v>
      </c>
      <c r="B25" s="40">
        <v>477</v>
      </c>
      <c r="C25" s="43" t="s">
        <v>355</v>
      </c>
      <c r="D25" s="35">
        <v>576367.02</v>
      </c>
      <c r="E25" s="35">
        <v>0</v>
      </c>
      <c r="F25" s="35"/>
      <c r="G25" s="36">
        <f t="shared" si="1"/>
        <v>576367.02</v>
      </c>
      <c r="H25" s="41"/>
      <c r="I25" s="37">
        <v>-40456.11</v>
      </c>
      <c r="J25" s="35">
        <v>-21086.59</v>
      </c>
      <c r="K25" s="35"/>
      <c r="L25" s="36">
        <f t="shared" si="2"/>
        <v>-61542.7</v>
      </c>
      <c r="M25" s="38">
        <f t="shared" si="0"/>
        <v>514824.32</v>
      </c>
      <c r="N25" s="388"/>
      <c r="O25" s="388"/>
      <c r="P25" s="388"/>
      <c r="Q25" s="389" t="s">
        <v>183</v>
      </c>
      <c r="R25" s="388"/>
      <c r="S25" s="388"/>
      <c r="T25" s="388"/>
      <c r="U25" s="390"/>
      <c r="V25" s="390"/>
    </row>
    <row r="26" spans="1:22" ht="15">
      <c r="A26" s="40">
        <v>51</v>
      </c>
      <c r="B26" s="40">
        <v>478</v>
      </c>
      <c r="C26" s="43" t="s">
        <v>268</v>
      </c>
      <c r="D26" s="35">
        <v>1625676.81</v>
      </c>
      <c r="E26" s="35">
        <v>82219.83</v>
      </c>
      <c r="F26" s="35"/>
      <c r="G26" s="36">
        <f t="shared" si="1"/>
        <v>1707896.6400000001</v>
      </c>
      <c r="H26" s="41"/>
      <c r="I26" s="37">
        <v>-770455.39</v>
      </c>
      <c r="J26" s="35">
        <v>-63773.08</v>
      </c>
      <c r="K26" s="35"/>
      <c r="L26" s="36">
        <f t="shared" si="2"/>
        <v>-834228.47</v>
      </c>
      <c r="M26" s="38">
        <f t="shared" si="0"/>
        <v>873668.17000000016</v>
      </c>
      <c r="Q26" s="39" t="s">
        <v>184</v>
      </c>
    </row>
    <row r="27" spans="1:22" ht="15">
      <c r="A27" s="40">
        <v>51</v>
      </c>
      <c r="B27" s="40">
        <v>478</v>
      </c>
      <c r="C27" s="43" t="s">
        <v>298</v>
      </c>
      <c r="D27" s="35">
        <v>14139.4</v>
      </c>
      <c r="E27" s="35">
        <v>0</v>
      </c>
      <c r="F27" s="35"/>
      <c r="G27" s="36">
        <f t="shared" si="1"/>
        <v>14139.4</v>
      </c>
      <c r="H27" s="41"/>
      <c r="I27" s="37">
        <v>-6060.56</v>
      </c>
      <c r="J27" s="35">
        <v>-8078.84</v>
      </c>
      <c r="K27" s="35"/>
      <c r="L27" s="36">
        <f t="shared" si="2"/>
        <v>-14139.400000000001</v>
      </c>
      <c r="M27" s="38">
        <f t="shared" si="0"/>
        <v>0</v>
      </c>
      <c r="Q27" s="39" t="s">
        <v>185</v>
      </c>
    </row>
    <row r="28" spans="1:22" ht="15">
      <c r="A28" s="40">
        <v>51</v>
      </c>
      <c r="B28" s="40">
        <v>478</v>
      </c>
      <c r="C28" s="42" t="s">
        <v>297</v>
      </c>
      <c r="D28" s="35">
        <v>1581802.19</v>
      </c>
      <c r="E28" s="35">
        <v>180932.58</v>
      </c>
      <c r="F28" s="35"/>
      <c r="G28" s="36">
        <f t="shared" si="1"/>
        <v>1762734.77</v>
      </c>
      <c r="H28" s="41"/>
      <c r="I28" s="37">
        <v>-749101.18</v>
      </c>
      <c r="J28" s="35">
        <v>-283218.64</v>
      </c>
      <c r="K28" s="35"/>
      <c r="L28" s="36">
        <f t="shared" si="2"/>
        <v>-1032319.8200000001</v>
      </c>
      <c r="M28" s="38">
        <f t="shared" si="0"/>
        <v>730414.95</v>
      </c>
      <c r="Q28" s="39" t="s">
        <v>185</v>
      </c>
    </row>
    <row r="29" spans="1:22" ht="15">
      <c r="A29" s="40">
        <v>8</v>
      </c>
      <c r="B29" s="40">
        <v>474</v>
      </c>
      <c r="C29" s="42" t="s">
        <v>270</v>
      </c>
      <c r="D29" s="35">
        <v>563984.75</v>
      </c>
      <c r="E29" s="35">
        <v>27242</v>
      </c>
      <c r="F29" s="35"/>
      <c r="G29" s="36">
        <f t="shared" si="1"/>
        <v>591226.75</v>
      </c>
      <c r="H29" s="41"/>
      <c r="I29" s="37">
        <v>-381232.97</v>
      </c>
      <c r="J29" s="35">
        <v>-11650.61</v>
      </c>
      <c r="K29" s="35"/>
      <c r="L29" s="36">
        <f t="shared" si="2"/>
        <v>-392883.57999999996</v>
      </c>
      <c r="M29" s="38">
        <f t="shared" si="0"/>
        <v>198343.17000000004</v>
      </c>
      <c r="Q29" s="39" t="s">
        <v>186</v>
      </c>
    </row>
    <row r="30" spans="1:22" ht="15">
      <c r="A30" s="40">
        <v>51</v>
      </c>
      <c r="B30" s="40">
        <v>473</v>
      </c>
      <c r="C30" s="43" t="s">
        <v>303</v>
      </c>
      <c r="D30" s="35">
        <v>4296941.1800000006</v>
      </c>
      <c r="E30" s="35">
        <v>535031.03</v>
      </c>
      <c r="F30" s="35"/>
      <c r="G30" s="36">
        <f t="shared" si="1"/>
        <v>4831972.2100000009</v>
      </c>
      <c r="H30" s="41"/>
      <c r="I30" s="37">
        <v>-2870316.5</v>
      </c>
      <c r="J30" s="35">
        <v>-47548</v>
      </c>
      <c r="K30" s="35"/>
      <c r="L30" s="36">
        <f t="shared" si="2"/>
        <v>-2917864.5</v>
      </c>
      <c r="M30" s="38">
        <f t="shared" si="0"/>
        <v>1914107.7100000009</v>
      </c>
      <c r="Q30" s="39" t="s">
        <v>187</v>
      </c>
    </row>
    <row r="31" spans="1:22" ht="15">
      <c r="A31" s="40">
        <v>12</v>
      </c>
      <c r="B31" s="40">
        <v>491</v>
      </c>
      <c r="C31" s="43" t="s">
        <v>262</v>
      </c>
      <c r="D31" s="35">
        <v>562695.86</v>
      </c>
      <c r="E31" s="35">
        <v>91364.989999999991</v>
      </c>
      <c r="F31" s="35"/>
      <c r="G31" s="36">
        <f t="shared" si="1"/>
        <v>654060.85</v>
      </c>
      <c r="H31" s="41"/>
      <c r="I31" s="37">
        <v>-403757.13</v>
      </c>
      <c r="J31" s="35">
        <v>-28647.25</v>
      </c>
      <c r="K31" s="35"/>
      <c r="L31" s="36">
        <f t="shared" si="2"/>
        <v>-432404.38</v>
      </c>
      <c r="M31" s="38">
        <f t="shared" si="0"/>
        <v>221656.46999999997</v>
      </c>
      <c r="Q31" s="39" t="s">
        <v>188</v>
      </c>
    </row>
    <row r="32" spans="1:22" ht="15">
      <c r="A32" s="40">
        <v>1</v>
      </c>
      <c r="B32" s="40">
        <v>482</v>
      </c>
      <c r="C32" s="43" t="s">
        <v>304</v>
      </c>
      <c r="D32" s="35">
        <v>699632.78</v>
      </c>
      <c r="E32" s="35">
        <v>0</v>
      </c>
      <c r="F32" s="35"/>
      <c r="G32" s="36">
        <f t="shared" si="1"/>
        <v>699632.78</v>
      </c>
      <c r="H32" s="41"/>
      <c r="I32" s="37">
        <v>-294134.32</v>
      </c>
      <c r="J32" s="35">
        <v>-11304.21</v>
      </c>
      <c r="K32" s="35"/>
      <c r="L32" s="36">
        <f t="shared" si="2"/>
        <v>-305438.53000000003</v>
      </c>
      <c r="M32" s="38">
        <f t="shared" si="0"/>
        <v>394194.25</v>
      </c>
      <c r="Q32" s="39" t="s">
        <v>189</v>
      </c>
    </row>
    <row r="33" spans="1:17" ht="15">
      <c r="A33" s="40">
        <v>8</v>
      </c>
      <c r="B33" s="40">
        <v>486</v>
      </c>
      <c r="C33" s="43" t="s">
        <v>263</v>
      </c>
      <c r="D33" s="35">
        <v>754974.06</v>
      </c>
      <c r="E33" s="35">
        <v>0</v>
      </c>
      <c r="F33" s="35"/>
      <c r="G33" s="36">
        <f t="shared" si="1"/>
        <v>754974.06</v>
      </c>
      <c r="H33" s="41"/>
      <c r="I33" s="37">
        <v>-567555.99</v>
      </c>
      <c r="J33" s="35">
        <v>-17212.78</v>
      </c>
      <c r="K33" s="35"/>
      <c r="L33" s="36">
        <f t="shared" si="2"/>
        <v>-584768.77</v>
      </c>
      <c r="M33" s="38">
        <f t="shared" si="0"/>
        <v>170205.29000000004</v>
      </c>
      <c r="Q33" s="39" t="s">
        <v>189</v>
      </c>
    </row>
    <row r="34" spans="1:17" ht="15">
      <c r="A34" s="40">
        <v>10</v>
      </c>
      <c r="B34" s="40">
        <v>485</v>
      </c>
      <c r="C34" s="43" t="s">
        <v>306</v>
      </c>
      <c r="D34" s="35">
        <v>33032.959999999999</v>
      </c>
      <c r="E34" s="35">
        <v>0</v>
      </c>
      <c r="F34" s="35"/>
      <c r="G34" s="36">
        <f t="shared" si="1"/>
        <v>33032.959999999999</v>
      </c>
      <c r="H34" s="41"/>
      <c r="I34" s="37">
        <v>-2752.74</v>
      </c>
      <c r="J34" s="35">
        <v>-2291.3000000000002</v>
      </c>
      <c r="K34" s="35"/>
      <c r="L34" s="36">
        <f t="shared" si="2"/>
        <v>-5044.04</v>
      </c>
      <c r="M34" s="38">
        <f t="shared" si="0"/>
        <v>27988.92</v>
      </c>
      <c r="Q34" s="39" t="s">
        <v>190</v>
      </c>
    </row>
    <row r="35" spans="1:17" ht="15">
      <c r="A35" s="40">
        <v>10</v>
      </c>
      <c r="B35" s="44">
        <v>484</v>
      </c>
      <c r="C35" s="34" t="s">
        <v>305</v>
      </c>
      <c r="D35" s="35">
        <v>413582.80999999994</v>
      </c>
      <c r="E35" s="35">
        <v>63893.96</v>
      </c>
      <c r="F35" s="35"/>
      <c r="G35" s="36">
        <f t="shared" si="1"/>
        <v>477476.76999999996</v>
      </c>
      <c r="H35" s="41"/>
      <c r="I35" s="37">
        <v>-221117.77000000002</v>
      </c>
      <c r="J35" s="35">
        <v>-47658.689999999995</v>
      </c>
      <c r="K35" s="35"/>
      <c r="L35" s="36">
        <f t="shared" si="2"/>
        <v>-268776.46000000002</v>
      </c>
      <c r="M35" s="38">
        <f t="shared" si="0"/>
        <v>208700.30999999994</v>
      </c>
      <c r="Q35" s="39" t="s">
        <v>190</v>
      </c>
    </row>
    <row r="36" spans="1:17" ht="15" hidden="1">
      <c r="A36" s="40"/>
      <c r="B36" s="44"/>
      <c r="C36" s="34"/>
      <c r="D36" s="35"/>
      <c r="E36" s="35"/>
      <c r="F36" s="35"/>
      <c r="G36" s="36">
        <f t="shared" si="1"/>
        <v>0</v>
      </c>
      <c r="H36" s="41"/>
      <c r="I36" s="37"/>
      <c r="J36" s="35"/>
      <c r="K36" s="35"/>
      <c r="L36" s="36">
        <f t="shared" si="2"/>
        <v>0</v>
      </c>
      <c r="M36" s="38">
        <f t="shared" si="0"/>
        <v>0</v>
      </c>
      <c r="Q36" s="39" t="s">
        <v>190</v>
      </c>
    </row>
    <row r="37" spans="1:17" ht="15" hidden="1">
      <c r="A37" s="40"/>
      <c r="B37" s="33"/>
      <c r="C37" s="43"/>
      <c r="D37" s="35"/>
      <c r="E37" s="35"/>
      <c r="F37" s="35"/>
      <c r="G37" s="36">
        <f t="shared" si="1"/>
        <v>0</v>
      </c>
      <c r="H37" s="41"/>
      <c r="I37" s="37"/>
      <c r="J37" s="35"/>
      <c r="K37" s="35"/>
      <c r="L37" s="36">
        <f t="shared" si="2"/>
        <v>0</v>
      </c>
      <c r="M37" s="38">
        <f t="shared" si="0"/>
        <v>0</v>
      </c>
      <c r="Q37" s="39" t="s">
        <v>191</v>
      </c>
    </row>
    <row r="38" spans="1:17" ht="15" hidden="1">
      <c r="A38" s="40"/>
      <c r="B38" s="33"/>
      <c r="C38" s="43"/>
      <c r="D38" s="35"/>
      <c r="E38" s="35"/>
      <c r="F38" s="35"/>
      <c r="G38" s="36">
        <f t="shared" si="1"/>
        <v>0</v>
      </c>
      <c r="H38" s="41"/>
      <c r="I38" s="37"/>
      <c r="J38" s="35"/>
      <c r="K38" s="35"/>
      <c r="L38" s="36">
        <f t="shared" si="2"/>
        <v>0</v>
      </c>
      <c r="M38" s="38">
        <f t="shared" si="0"/>
        <v>0</v>
      </c>
      <c r="Q38" s="39" t="s">
        <v>192</v>
      </c>
    </row>
    <row r="39" spans="1:17" ht="15" hidden="1">
      <c r="A39" s="40"/>
      <c r="B39" s="33"/>
      <c r="C39" s="43"/>
      <c r="D39" s="35"/>
      <c r="E39" s="35"/>
      <c r="F39" s="35"/>
      <c r="G39" s="36">
        <f t="shared" si="1"/>
        <v>0</v>
      </c>
      <c r="H39" s="41"/>
      <c r="I39" s="37"/>
      <c r="J39" s="35"/>
      <c r="K39" s="35"/>
      <c r="L39" s="36">
        <f t="shared" si="2"/>
        <v>0</v>
      </c>
      <c r="M39" s="38">
        <f t="shared" si="0"/>
        <v>0</v>
      </c>
      <c r="Q39" s="39" t="s">
        <v>193</v>
      </c>
    </row>
    <row r="40" spans="1:17" ht="15" hidden="1">
      <c r="A40" s="40"/>
      <c r="B40" s="33"/>
      <c r="C40" s="43"/>
      <c r="D40" s="35"/>
      <c r="E40" s="35"/>
      <c r="F40" s="35"/>
      <c r="G40" s="36">
        <f t="shared" si="1"/>
        <v>0</v>
      </c>
      <c r="H40" s="41"/>
      <c r="I40" s="37"/>
      <c r="J40" s="35"/>
      <c r="K40" s="35"/>
      <c r="L40" s="36">
        <f t="shared" si="2"/>
        <v>0</v>
      </c>
      <c r="M40" s="38">
        <f t="shared" si="0"/>
        <v>0</v>
      </c>
      <c r="Q40" s="39" t="s">
        <v>194</v>
      </c>
    </row>
    <row r="41" spans="1:17" ht="15" hidden="1">
      <c r="A41" s="40"/>
      <c r="B41" s="33"/>
      <c r="C41" s="43"/>
      <c r="D41" s="35"/>
      <c r="E41" s="35"/>
      <c r="F41" s="35"/>
      <c r="G41" s="36">
        <f t="shared" si="1"/>
        <v>0</v>
      </c>
      <c r="H41" s="41"/>
      <c r="I41" s="45"/>
      <c r="J41" s="35"/>
      <c r="K41" s="35"/>
      <c r="L41" s="36">
        <f t="shared" si="2"/>
        <v>0</v>
      </c>
      <c r="M41" s="38">
        <f t="shared" si="0"/>
        <v>0</v>
      </c>
      <c r="Q41" s="39" t="s">
        <v>195</v>
      </c>
    </row>
    <row r="42" spans="1:17" ht="15" hidden="1">
      <c r="A42" s="40"/>
      <c r="B42" s="33"/>
      <c r="C42" s="43"/>
      <c r="D42" s="35"/>
      <c r="E42" s="35"/>
      <c r="F42" s="35"/>
      <c r="G42" s="36">
        <f t="shared" si="1"/>
        <v>0</v>
      </c>
      <c r="H42" s="41"/>
      <c r="I42" s="37"/>
      <c r="J42" s="35"/>
      <c r="K42" s="35"/>
      <c r="L42" s="36">
        <f t="shared" si="2"/>
        <v>0</v>
      </c>
      <c r="M42" s="38">
        <f t="shared" si="0"/>
        <v>0</v>
      </c>
      <c r="Q42" s="39" t="s">
        <v>196</v>
      </c>
    </row>
    <row r="43" spans="1:17" ht="15" hidden="1">
      <c r="A43" s="44"/>
      <c r="B43" s="44"/>
      <c r="C43" s="46"/>
      <c r="D43" s="35"/>
      <c r="E43" s="35"/>
      <c r="F43" s="35"/>
      <c r="G43" s="36">
        <f t="shared" si="1"/>
        <v>0</v>
      </c>
      <c r="H43" s="41"/>
      <c r="I43" s="37"/>
      <c r="J43" s="35"/>
      <c r="K43" s="35"/>
      <c r="L43" s="36">
        <f t="shared" si="2"/>
        <v>0</v>
      </c>
      <c r="M43" s="38">
        <f t="shared" si="0"/>
        <v>0</v>
      </c>
      <c r="Q43" s="39" t="s">
        <v>196</v>
      </c>
    </row>
    <row r="44" spans="1:17" ht="15" hidden="1">
      <c r="A44" s="44"/>
      <c r="B44" s="47"/>
      <c r="C44" s="34"/>
      <c r="D44" s="35"/>
      <c r="E44" s="35"/>
      <c r="F44" s="35"/>
      <c r="G44" s="36">
        <f t="shared" si="1"/>
        <v>0</v>
      </c>
      <c r="H44" s="41"/>
      <c r="I44" s="37"/>
      <c r="J44" s="35"/>
      <c r="K44" s="35"/>
      <c r="L44" s="36">
        <f t="shared" si="2"/>
        <v>0</v>
      </c>
      <c r="M44" s="38">
        <f t="shared" si="0"/>
        <v>0</v>
      </c>
      <c r="Q44" s="39" t="s">
        <v>197</v>
      </c>
    </row>
    <row r="45" spans="1:17" ht="15" hidden="1">
      <c r="A45" s="48"/>
      <c r="B45" s="47"/>
      <c r="C45" s="43"/>
      <c r="D45" s="35"/>
      <c r="E45" s="35"/>
      <c r="F45" s="35"/>
      <c r="G45" s="36">
        <f t="shared" si="1"/>
        <v>0</v>
      </c>
      <c r="H45" s="41"/>
      <c r="I45" s="37"/>
      <c r="J45" s="35"/>
      <c r="K45" s="35"/>
      <c r="L45" s="36">
        <f t="shared" si="2"/>
        <v>0</v>
      </c>
      <c r="M45" s="38">
        <f t="shared" si="0"/>
        <v>0</v>
      </c>
      <c r="Q45" s="39" t="s">
        <v>198</v>
      </c>
    </row>
    <row r="46" spans="1:17" ht="15" hidden="1">
      <c r="A46" s="40"/>
      <c r="B46" s="33"/>
      <c r="C46" s="43"/>
      <c r="D46" s="35"/>
      <c r="E46" s="35"/>
      <c r="F46" s="35"/>
      <c r="G46" s="36">
        <f t="shared" si="1"/>
        <v>0</v>
      </c>
      <c r="H46" s="41"/>
      <c r="I46" s="37"/>
      <c r="J46" s="35"/>
      <c r="K46" s="35"/>
      <c r="L46" s="36">
        <f t="shared" si="2"/>
        <v>0</v>
      </c>
      <c r="M46" s="38">
        <f t="shared" si="0"/>
        <v>0</v>
      </c>
      <c r="Q46" s="39" t="s">
        <v>199</v>
      </c>
    </row>
    <row r="47" spans="1:17" ht="15" hidden="1">
      <c r="A47" s="40"/>
      <c r="B47" s="33"/>
      <c r="C47" s="43"/>
      <c r="D47" s="35"/>
      <c r="E47" s="35"/>
      <c r="F47" s="35"/>
      <c r="G47" s="36">
        <f t="shared" si="1"/>
        <v>0</v>
      </c>
      <c r="H47" s="41"/>
      <c r="I47" s="37"/>
      <c r="J47" s="35"/>
      <c r="K47" s="35"/>
      <c r="L47" s="36">
        <f t="shared" si="2"/>
        <v>0</v>
      </c>
      <c r="M47" s="38">
        <f t="shared" si="0"/>
        <v>0</v>
      </c>
      <c r="Q47" s="39" t="s">
        <v>200</v>
      </c>
    </row>
    <row r="48" spans="1:17" ht="15" hidden="1">
      <c r="A48" s="40"/>
      <c r="B48" s="33"/>
      <c r="C48" s="43"/>
      <c r="D48" s="35"/>
      <c r="E48" s="35"/>
      <c r="F48" s="35"/>
      <c r="G48" s="36">
        <f t="shared" si="1"/>
        <v>0</v>
      </c>
      <c r="H48" s="41"/>
      <c r="I48" s="37"/>
      <c r="J48" s="35"/>
      <c r="K48" s="35"/>
      <c r="L48" s="36">
        <f t="shared" si="2"/>
        <v>0</v>
      </c>
      <c r="M48" s="38">
        <f t="shared" si="0"/>
        <v>0</v>
      </c>
      <c r="Q48" s="39" t="s">
        <v>201</v>
      </c>
    </row>
    <row r="49" spans="1:17" ht="15" hidden="1">
      <c r="A49" s="48"/>
      <c r="B49" s="33"/>
      <c r="C49" s="49"/>
      <c r="D49" s="35"/>
      <c r="E49" s="35"/>
      <c r="F49" s="35"/>
      <c r="G49" s="36">
        <f t="shared" si="1"/>
        <v>0</v>
      </c>
      <c r="H49" s="41"/>
      <c r="I49" s="37"/>
      <c r="J49" s="35"/>
      <c r="K49" s="35"/>
      <c r="L49" s="36">
        <f t="shared" si="2"/>
        <v>0</v>
      </c>
      <c r="M49" s="38">
        <f t="shared" si="0"/>
        <v>0</v>
      </c>
      <c r="Q49" s="39" t="s">
        <v>202</v>
      </c>
    </row>
    <row r="50" spans="1:17" ht="15" hidden="1">
      <c r="A50" s="40"/>
      <c r="B50" s="33"/>
      <c r="C50" s="43"/>
      <c r="D50" s="35"/>
      <c r="E50" s="35"/>
      <c r="F50" s="35"/>
      <c r="G50" s="36">
        <f t="shared" si="1"/>
        <v>0</v>
      </c>
      <c r="H50" s="41"/>
      <c r="I50" s="37"/>
      <c r="J50" s="35"/>
      <c r="K50" s="35"/>
      <c r="L50" s="36">
        <f t="shared" si="2"/>
        <v>0</v>
      </c>
      <c r="M50" s="38">
        <f t="shared" si="0"/>
        <v>0</v>
      </c>
      <c r="Q50" s="39" t="s">
        <v>203</v>
      </c>
    </row>
    <row r="51" spans="1:17" ht="15" hidden="1">
      <c r="A51" s="40"/>
      <c r="B51" s="33"/>
      <c r="C51" s="43"/>
      <c r="D51" s="35"/>
      <c r="E51" s="35"/>
      <c r="F51" s="35"/>
      <c r="G51" s="36">
        <f t="shared" si="1"/>
        <v>0</v>
      </c>
      <c r="I51" s="35"/>
      <c r="J51" s="35"/>
      <c r="K51" s="35"/>
      <c r="L51" s="36">
        <f t="shared" si="2"/>
        <v>0</v>
      </c>
      <c r="M51" s="38">
        <f t="shared" si="0"/>
        <v>0</v>
      </c>
      <c r="Q51" s="39" t="s">
        <v>204</v>
      </c>
    </row>
    <row r="52" spans="1:17" ht="15" hidden="1">
      <c r="A52" s="50"/>
      <c r="B52" s="50"/>
      <c r="C52" s="51"/>
      <c r="D52" s="52"/>
      <c r="E52" s="52"/>
      <c r="F52" s="52"/>
      <c r="G52" s="36">
        <f t="shared" si="1"/>
        <v>0</v>
      </c>
      <c r="I52" s="52"/>
      <c r="J52" s="52"/>
      <c r="K52" s="52"/>
      <c r="L52" s="36">
        <f t="shared" si="2"/>
        <v>0</v>
      </c>
      <c r="M52" s="38">
        <f t="shared" si="0"/>
        <v>0</v>
      </c>
      <c r="Q52" s="39" t="s">
        <v>205</v>
      </c>
    </row>
    <row r="53" spans="1:17">
      <c r="A53" s="50"/>
      <c r="B53" s="50"/>
      <c r="C53" s="53" t="s">
        <v>2</v>
      </c>
      <c r="D53" s="54">
        <f>SUM(D12:D52)</f>
        <v>31710675.459999993</v>
      </c>
      <c r="E53" s="54">
        <f>SUM(E12:E52)</f>
        <v>2863406.58</v>
      </c>
      <c r="F53" s="54">
        <f>SUM(F12:F52)</f>
        <v>0</v>
      </c>
      <c r="G53" s="54">
        <f>SUM(G12:G52)</f>
        <v>34574082.040000007</v>
      </c>
      <c r="H53" s="55"/>
      <c r="I53" s="54">
        <f>SUM(I12:I52)</f>
        <v>-17012801.32</v>
      </c>
      <c r="J53" s="54">
        <f>SUM(J12:J52)</f>
        <v>-980793.79</v>
      </c>
      <c r="K53" s="54">
        <f>SUM(K12:K52)</f>
        <v>0</v>
      </c>
      <c r="L53" s="54">
        <f>SUM(L12:L52)</f>
        <v>-17993595.110000003</v>
      </c>
      <c r="M53" s="54">
        <f>SUM(M12:M52)</f>
        <v>16580486.93</v>
      </c>
    </row>
    <row r="54" spans="1:17" ht="37.5" hidden="1">
      <c r="A54" s="50"/>
      <c r="B54" s="50"/>
      <c r="C54" s="56" t="s">
        <v>80</v>
      </c>
      <c r="D54" s="52"/>
      <c r="E54" s="52"/>
      <c r="F54" s="52"/>
      <c r="G54" s="36">
        <f>D54+E54+F54</f>
        <v>0</v>
      </c>
      <c r="I54" s="52"/>
      <c r="J54" s="52"/>
      <c r="K54" s="52"/>
      <c r="L54" s="36">
        <f>I54+J54+K54</f>
        <v>0</v>
      </c>
      <c r="M54" s="38">
        <f>G54+L54</f>
        <v>0</v>
      </c>
    </row>
    <row r="55" spans="1:17" ht="25.5">
      <c r="A55" s="50"/>
      <c r="B55" s="50"/>
      <c r="C55" s="57" t="s">
        <v>81</v>
      </c>
      <c r="D55" s="52"/>
      <c r="E55" s="52"/>
      <c r="F55" s="52"/>
      <c r="G55" s="36">
        <f>D55+E55+F55</f>
        <v>0</v>
      </c>
      <c r="I55" s="52"/>
      <c r="J55" s="52"/>
      <c r="K55" s="52"/>
      <c r="L55" s="36">
        <f>I55+J55+K55</f>
        <v>0</v>
      </c>
      <c r="M55" s="38">
        <f>G55+L55</f>
        <v>0</v>
      </c>
    </row>
    <row r="56" spans="1:17">
      <c r="A56" s="50"/>
      <c r="B56" s="50"/>
      <c r="C56" s="53" t="s">
        <v>82</v>
      </c>
      <c r="D56" s="54">
        <f>SUM(D53:D55)</f>
        <v>31710675.459999993</v>
      </c>
      <c r="E56" s="54">
        <f>SUM(E53:E55)</f>
        <v>2863406.58</v>
      </c>
      <c r="F56" s="54">
        <f>SUM(F53:F55)</f>
        <v>0</v>
      </c>
      <c r="G56" s="54">
        <f>SUM(G53:G55)</f>
        <v>34574082.040000007</v>
      </c>
      <c r="H56" s="55"/>
      <c r="I56" s="54">
        <f>SUM(I53:I55)</f>
        <v>-17012801.32</v>
      </c>
      <c r="J56" s="54">
        <f>SUM(J53:J55)</f>
        <v>-980793.79</v>
      </c>
      <c r="K56" s="54">
        <f>SUM(K53:K55)</f>
        <v>0</v>
      </c>
      <c r="L56" s="54">
        <f>SUM(L53:L55)</f>
        <v>-17993595.110000003</v>
      </c>
      <c r="M56" s="54">
        <f>SUM(M53:M55)</f>
        <v>16580486.93</v>
      </c>
    </row>
    <row r="57" spans="1:17" ht="15">
      <c r="A57" s="50"/>
      <c r="B57" s="50"/>
      <c r="C57" s="58" t="s">
        <v>83</v>
      </c>
      <c r="D57" s="35">
        <v>623154</v>
      </c>
      <c r="E57" s="35">
        <v>-491109.49</v>
      </c>
      <c r="F57" s="35"/>
      <c r="G57" s="36">
        <f t="shared" ref="G57" si="3">D57+E57+F57</f>
        <v>132044.51</v>
      </c>
      <c r="H57" s="41"/>
      <c r="L57" s="36">
        <f t="shared" ref="L57" si="4">I57+J57+K57</f>
        <v>0</v>
      </c>
      <c r="M57" s="38">
        <f>G57+L57</f>
        <v>132044.51</v>
      </c>
    </row>
    <row r="58" spans="1:17">
      <c r="A58" s="50"/>
      <c r="B58" s="50"/>
      <c r="C58" s="58" t="s">
        <v>84</v>
      </c>
      <c r="D58" s="54">
        <f>SUM(D56:D57)</f>
        <v>32333829.459999993</v>
      </c>
      <c r="E58" s="54">
        <f t="shared" ref="E58:M58" si="5">SUM(E56:E57)</f>
        <v>2372297.09</v>
      </c>
      <c r="F58" s="54">
        <f t="shared" si="5"/>
        <v>0</v>
      </c>
      <c r="G58" s="54">
        <f t="shared" si="5"/>
        <v>34706126.550000004</v>
      </c>
      <c r="H58" s="54">
        <f t="shared" si="5"/>
        <v>0</v>
      </c>
      <c r="I58" s="54">
        <f t="shared" si="5"/>
        <v>-17012801.32</v>
      </c>
      <c r="J58" s="54">
        <f t="shared" si="5"/>
        <v>-980793.79</v>
      </c>
      <c r="K58" s="54">
        <f t="shared" si="5"/>
        <v>0</v>
      </c>
      <c r="L58" s="54">
        <f t="shared" si="5"/>
        <v>-17993595.110000003</v>
      </c>
      <c r="M58" s="54">
        <f t="shared" si="5"/>
        <v>16712531.439999999</v>
      </c>
    </row>
    <row r="59" spans="1:17" ht="15">
      <c r="A59" s="50"/>
      <c r="B59" s="50"/>
      <c r="C59" s="585" t="s">
        <v>85</v>
      </c>
      <c r="D59" s="586"/>
      <c r="E59" s="586"/>
      <c r="F59" s="586"/>
      <c r="G59" s="586"/>
      <c r="H59" s="586"/>
      <c r="I59" s="587"/>
      <c r="J59" s="35">
        <v>151840.95000000001</v>
      </c>
      <c r="K59" s="59"/>
      <c r="L59" s="60"/>
      <c r="M59" s="61"/>
    </row>
    <row r="60" spans="1:17" ht="15">
      <c r="A60" s="50"/>
      <c r="B60" s="50"/>
      <c r="C60" s="585" t="s">
        <v>482</v>
      </c>
      <c r="D60" s="586"/>
      <c r="E60" s="586"/>
      <c r="F60" s="586"/>
      <c r="G60" s="586"/>
      <c r="H60" s="586"/>
      <c r="I60" s="587"/>
      <c r="J60" s="54">
        <f>J58+J59</f>
        <v>-828952.84000000008</v>
      </c>
      <c r="K60" s="59"/>
      <c r="L60" s="60"/>
      <c r="M60" s="61"/>
    </row>
    <row r="61" spans="1:17"/>
    <row r="62" spans="1:17" ht="13.5" thickBot="1"/>
    <row r="63" spans="1:17" ht="15.75" hidden="1" thickBot="1">
      <c r="E63" s="11" t="s">
        <v>25</v>
      </c>
      <c r="F63" s="21" t="str">
        <f>F7</f>
        <v>MIFRS</v>
      </c>
      <c r="H63" s="15"/>
    </row>
    <row r="64" spans="1:17" ht="15.75" thickBot="1">
      <c r="C64" s="19"/>
      <c r="E64" s="11" t="s">
        <v>27</v>
      </c>
      <c r="F64" s="22">
        <f>F8+1</f>
        <v>2021</v>
      </c>
      <c r="G64" s="23"/>
    </row>
    <row r="65" spans="1:17"/>
    <row r="66" spans="1:17">
      <c r="D66" s="581" t="s">
        <v>28</v>
      </c>
      <c r="E66" s="582"/>
      <c r="F66" s="582"/>
      <c r="G66" s="583"/>
      <c r="I66" s="581" t="s">
        <v>483</v>
      </c>
      <c r="J66" s="582"/>
      <c r="K66" s="582"/>
      <c r="L66" s="583"/>
      <c r="M66" s="16"/>
    </row>
    <row r="67" spans="1:17" ht="30" customHeight="1">
      <c r="A67" s="27" t="s">
        <v>30</v>
      </c>
      <c r="B67" s="27" t="s">
        <v>31</v>
      </c>
      <c r="C67" s="28" t="s">
        <v>32</v>
      </c>
      <c r="D67" s="27" t="s">
        <v>33</v>
      </c>
      <c r="E67" s="29" t="s">
        <v>34</v>
      </c>
      <c r="F67" s="29" t="s">
        <v>35</v>
      </c>
      <c r="G67" s="27" t="s">
        <v>36</v>
      </c>
      <c r="H67" s="30"/>
      <c r="I67" s="27" t="s">
        <v>33</v>
      </c>
      <c r="J67" s="31" t="s">
        <v>37</v>
      </c>
      <c r="K67" s="31" t="s">
        <v>35</v>
      </c>
      <c r="L67" s="32" t="s">
        <v>36</v>
      </c>
      <c r="M67" s="27" t="s">
        <v>38</v>
      </c>
    </row>
    <row r="68" spans="1:17" ht="25.5" customHeight="1">
      <c r="A68" s="40">
        <v>50</v>
      </c>
      <c r="B68" s="33">
        <v>488</v>
      </c>
      <c r="C68" s="34" t="s">
        <v>264</v>
      </c>
      <c r="D68" s="68">
        <f t="shared" ref="D68:D108" si="6">G12</f>
        <v>246079.3</v>
      </c>
      <c r="E68" s="35">
        <v>65110.16</v>
      </c>
      <c r="F68" s="35"/>
      <c r="G68" s="36">
        <f>D68+E68+F68</f>
        <v>311189.45999999996</v>
      </c>
      <c r="H68" s="30"/>
      <c r="I68" s="69">
        <f t="shared" ref="I68:I108" si="7">L12</f>
        <v>-171871.43</v>
      </c>
      <c r="J68" s="35">
        <v>-13021.16</v>
      </c>
      <c r="K68" s="35"/>
      <c r="L68" s="36">
        <f>I68+J68+K68</f>
        <v>-184892.59</v>
      </c>
      <c r="M68" s="38">
        <f t="shared" ref="M68:M108" si="8">G68+L68</f>
        <v>126296.86999999997</v>
      </c>
      <c r="Q68" s="39" t="s">
        <v>170</v>
      </c>
    </row>
    <row r="69" spans="1:17" ht="15">
      <c r="A69" s="40">
        <v>50</v>
      </c>
      <c r="B69" s="33">
        <v>490</v>
      </c>
      <c r="C69" s="34" t="s">
        <v>261</v>
      </c>
      <c r="D69" s="68">
        <f t="shared" si="6"/>
        <v>439635.8</v>
      </c>
      <c r="E69" s="35">
        <v>74281.48</v>
      </c>
      <c r="F69" s="35"/>
      <c r="G69" s="36">
        <f>D69+E69+F69</f>
        <v>513917.27999999997</v>
      </c>
      <c r="H69" s="41"/>
      <c r="I69" s="69">
        <f t="shared" si="7"/>
        <v>-383255.09</v>
      </c>
      <c r="J69" s="35">
        <v>-50204.85</v>
      </c>
      <c r="K69" s="35"/>
      <c r="L69" s="36">
        <f>I69+J69+K69</f>
        <v>-433459.94</v>
      </c>
      <c r="M69" s="38">
        <f t="shared" si="8"/>
        <v>80457.339999999967</v>
      </c>
      <c r="Q69" s="39" t="s">
        <v>171</v>
      </c>
    </row>
    <row r="70" spans="1:17" ht="15">
      <c r="A70" s="40">
        <v>51</v>
      </c>
      <c r="B70" s="33">
        <v>499</v>
      </c>
      <c r="C70" s="34" t="s">
        <v>350</v>
      </c>
      <c r="D70" s="68">
        <f t="shared" si="6"/>
        <v>-376287.94</v>
      </c>
      <c r="E70" s="35">
        <v>0</v>
      </c>
      <c r="F70" s="35"/>
      <c r="G70" s="36">
        <f>D70+E70+F70</f>
        <v>-376287.94</v>
      </c>
      <c r="H70" s="41"/>
      <c r="I70" s="69">
        <f t="shared" si="7"/>
        <v>18821.79</v>
      </c>
      <c r="J70" s="35">
        <v>7642.63</v>
      </c>
      <c r="K70" s="35"/>
      <c r="L70" s="36">
        <f>I70+J70+K70</f>
        <v>26464.420000000002</v>
      </c>
      <c r="M70" s="38">
        <f t="shared" si="8"/>
        <v>-349823.52</v>
      </c>
      <c r="Q70" s="39" t="s">
        <v>172</v>
      </c>
    </row>
    <row r="71" spans="1:17" ht="15">
      <c r="A71" s="40">
        <v>51</v>
      </c>
      <c r="B71" s="40">
        <v>499</v>
      </c>
      <c r="C71" s="42" t="s">
        <v>351</v>
      </c>
      <c r="D71" s="68">
        <f t="shared" si="6"/>
        <v>-92189.27</v>
      </c>
      <c r="E71" s="35">
        <v>-135807</v>
      </c>
      <c r="F71" s="35"/>
      <c r="G71" s="36">
        <f>D71+E71+F71</f>
        <v>-227996.27000000002</v>
      </c>
      <c r="H71" s="41"/>
      <c r="I71" s="69">
        <f t="shared" si="7"/>
        <v>2900.7200000000003</v>
      </c>
      <c r="J71" s="35">
        <v>3701.54</v>
      </c>
      <c r="K71" s="35"/>
      <c r="L71" s="36">
        <f>I71+J71+K71</f>
        <v>6602.26</v>
      </c>
      <c r="M71" s="38">
        <f t="shared" si="8"/>
        <v>-221394.01</v>
      </c>
      <c r="Q71" s="39" t="s">
        <v>173</v>
      </c>
    </row>
    <row r="72" spans="1:17" ht="15">
      <c r="A72" s="40">
        <v>51</v>
      </c>
      <c r="B72" s="40">
        <v>499</v>
      </c>
      <c r="C72" s="43" t="s">
        <v>352</v>
      </c>
      <c r="D72" s="68">
        <f t="shared" si="6"/>
        <v>-13207.81</v>
      </c>
      <c r="E72" s="35">
        <v>0</v>
      </c>
      <c r="F72" s="35"/>
      <c r="G72" s="36">
        <f t="shared" ref="G72:G108" si="9">D72+E72+F72</f>
        <v>-13207.81</v>
      </c>
      <c r="H72" s="41"/>
      <c r="I72" s="69">
        <f t="shared" si="7"/>
        <v>1284.5899999999999</v>
      </c>
      <c r="J72" s="35">
        <v>331.57</v>
      </c>
      <c r="K72" s="35"/>
      <c r="L72" s="36">
        <f t="shared" ref="L72:L108" si="10">I72+J72+K72</f>
        <v>1616.1599999999999</v>
      </c>
      <c r="M72" s="38">
        <f t="shared" si="8"/>
        <v>-11591.65</v>
      </c>
      <c r="Q72" s="39" t="s">
        <v>174</v>
      </c>
    </row>
    <row r="73" spans="1:17" ht="15">
      <c r="A73" s="40">
        <v>51</v>
      </c>
      <c r="B73" s="40">
        <v>499</v>
      </c>
      <c r="C73" s="43" t="s">
        <v>353</v>
      </c>
      <c r="D73" s="68">
        <f t="shared" si="6"/>
        <v>-181178.22999999998</v>
      </c>
      <c r="E73" s="35">
        <v>-88110</v>
      </c>
      <c r="F73" s="35"/>
      <c r="G73" s="36">
        <f t="shared" si="9"/>
        <v>-269288.23</v>
      </c>
      <c r="H73" s="41"/>
      <c r="I73" s="69">
        <f t="shared" si="7"/>
        <v>7232.51</v>
      </c>
      <c r="J73" s="35">
        <v>5654.35</v>
      </c>
      <c r="K73" s="35"/>
      <c r="L73" s="36">
        <f t="shared" si="10"/>
        <v>12886.86</v>
      </c>
      <c r="M73" s="38">
        <f t="shared" si="8"/>
        <v>-256401.37</v>
      </c>
      <c r="Q73" s="39" t="s">
        <v>175</v>
      </c>
    </row>
    <row r="74" spans="1:17" ht="15">
      <c r="A74" s="40"/>
      <c r="B74" s="40">
        <v>401</v>
      </c>
      <c r="C74" s="43" t="s">
        <v>354</v>
      </c>
      <c r="D74" s="68">
        <f t="shared" si="6"/>
        <v>770398.77999999991</v>
      </c>
      <c r="E74" s="35">
        <v>0</v>
      </c>
      <c r="F74" s="35"/>
      <c r="G74" s="36">
        <f t="shared" si="9"/>
        <v>770398.77999999991</v>
      </c>
      <c r="H74" s="41"/>
      <c r="I74" s="69">
        <f t="shared" si="7"/>
        <v>-412508.26</v>
      </c>
      <c r="J74" s="35">
        <v>-31618.75</v>
      </c>
      <c r="K74" s="35"/>
      <c r="L74" s="36">
        <f t="shared" si="10"/>
        <v>-444127.01</v>
      </c>
      <c r="M74" s="38">
        <f t="shared" si="8"/>
        <v>326271.7699999999</v>
      </c>
      <c r="Q74" s="39" t="s">
        <v>176</v>
      </c>
    </row>
    <row r="75" spans="1:17" ht="15">
      <c r="A75" s="40"/>
      <c r="B75" s="40">
        <v>483</v>
      </c>
      <c r="C75" s="34" t="s">
        <v>260</v>
      </c>
      <c r="D75" s="68">
        <f t="shared" si="6"/>
        <v>150326.79999999999</v>
      </c>
      <c r="E75" s="35">
        <v>50393.16</v>
      </c>
      <c r="F75" s="35"/>
      <c r="G75" s="36">
        <f t="shared" si="9"/>
        <v>200719.96</v>
      </c>
      <c r="H75" s="41"/>
      <c r="I75" s="69">
        <f t="shared" si="7"/>
        <v>-98203.349999999991</v>
      </c>
      <c r="J75" s="35">
        <v>-9307.3700000000008</v>
      </c>
      <c r="K75" s="35"/>
      <c r="L75" s="36">
        <f t="shared" si="10"/>
        <v>-107510.71999999999</v>
      </c>
      <c r="M75" s="38">
        <f t="shared" si="8"/>
        <v>93209.24</v>
      </c>
      <c r="Q75" s="39" t="s">
        <v>177</v>
      </c>
    </row>
    <row r="76" spans="1:17" ht="15">
      <c r="A76" s="40"/>
      <c r="B76" s="40">
        <v>480</v>
      </c>
      <c r="C76" s="43" t="s">
        <v>44</v>
      </c>
      <c r="D76" s="68">
        <f t="shared" si="6"/>
        <v>71700.429999999993</v>
      </c>
      <c r="E76" s="35">
        <v>10952.81</v>
      </c>
      <c r="F76" s="35"/>
      <c r="G76" s="36">
        <f t="shared" si="9"/>
        <v>82653.239999999991</v>
      </c>
      <c r="H76" s="41"/>
      <c r="I76" s="69">
        <f t="shared" si="7"/>
        <v>0</v>
      </c>
      <c r="J76" s="35">
        <v>0</v>
      </c>
      <c r="K76" s="35"/>
      <c r="L76" s="36">
        <f t="shared" si="10"/>
        <v>0</v>
      </c>
      <c r="M76" s="38">
        <f t="shared" si="8"/>
        <v>82653.239999999991</v>
      </c>
      <c r="Q76" s="39" t="s">
        <v>178</v>
      </c>
    </row>
    <row r="77" spans="1:17" ht="15">
      <c r="A77" s="40">
        <v>51</v>
      </c>
      <c r="B77" s="40">
        <v>475</v>
      </c>
      <c r="C77" s="43" t="s">
        <v>300</v>
      </c>
      <c r="D77" s="68">
        <f t="shared" si="6"/>
        <v>0</v>
      </c>
      <c r="E77" s="35">
        <v>0</v>
      </c>
      <c r="F77" s="35"/>
      <c r="G77" s="36">
        <f t="shared" si="9"/>
        <v>0</v>
      </c>
      <c r="H77" s="41"/>
      <c r="I77" s="69">
        <f t="shared" si="7"/>
        <v>0</v>
      </c>
      <c r="J77" s="35">
        <v>0</v>
      </c>
      <c r="K77" s="35"/>
      <c r="L77" s="36">
        <f t="shared" si="10"/>
        <v>0</v>
      </c>
      <c r="M77" s="38">
        <f t="shared" si="8"/>
        <v>0</v>
      </c>
      <c r="Q77" s="39" t="s">
        <v>179</v>
      </c>
    </row>
    <row r="78" spans="1:17" ht="15">
      <c r="A78" s="40">
        <v>51</v>
      </c>
      <c r="B78" s="40">
        <v>475</v>
      </c>
      <c r="C78" s="43" t="s">
        <v>301</v>
      </c>
      <c r="D78" s="68">
        <f t="shared" si="6"/>
        <v>5982844.1399999997</v>
      </c>
      <c r="E78" s="35">
        <v>0</v>
      </c>
      <c r="F78" s="35"/>
      <c r="G78" s="36">
        <f t="shared" si="9"/>
        <v>5982844.1399999997</v>
      </c>
      <c r="H78" s="41"/>
      <c r="I78" s="69">
        <f t="shared" si="7"/>
        <v>-3018361.13</v>
      </c>
      <c r="J78" s="35">
        <v>-80109.78</v>
      </c>
      <c r="K78" s="35"/>
      <c r="L78" s="36">
        <f t="shared" si="10"/>
        <v>-3098470.9099999997</v>
      </c>
      <c r="M78" s="38">
        <f t="shared" si="8"/>
        <v>2884373.23</v>
      </c>
      <c r="Q78" s="39" t="s">
        <v>180</v>
      </c>
    </row>
    <row r="79" spans="1:17" ht="15">
      <c r="A79" s="40">
        <v>51</v>
      </c>
      <c r="B79" s="40">
        <v>475</v>
      </c>
      <c r="C79" s="43" t="s">
        <v>302</v>
      </c>
      <c r="D79" s="68">
        <f t="shared" si="6"/>
        <v>13767402.419999998</v>
      </c>
      <c r="E79" s="35">
        <v>832979.46</v>
      </c>
      <c r="F79" s="35"/>
      <c r="G79" s="36">
        <f t="shared" si="9"/>
        <v>14600381.879999999</v>
      </c>
      <c r="H79" s="41"/>
      <c r="I79" s="69">
        <f t="shared" si="7"/>
        <v>-6171566.580000001</v>
      </c>
      <c r="J79" s="35">
        <v>-271860.08</v>
      </c>
      <c r="K79" s="35"/>
      <c r="L79" s="36">
        <f t="shared" si="10"/>
        <v>-6443426.6600000011</v>
      </c>
      <c r="M79" s="38">
        <f t="shared" si="8"/>
        <v>8156955.2199999979</v>
      </c>
      <c r="Q79" s="39" t="s">
        <v>181</v>
      </c>
    </row>
    <row r="80" spans="1:17" ht="15">
      <c r="A80" s="40">
        <v>8</v>
      </c>
      <c r="B80" s="40">
        <v>477</v>
      </c>
      <c r="C80" s="43" t="s">
        <v>299</v>
      </c>
      <c r="D80" s="68">
        <f t="shared" si="6"/>
        <v>1705043.41</v>
      </c>
      <c r="E80" s="35">
        <v>38743.230000000003</v>
      </c>
      <c r="F80" s="35"/>
      <c r="G80" s="36">
        <f t="shared" si="9"/>
        <v>1743786.64</v>
      </c>
      <c r="H80" s="41"/>
      <c r="I80" s="69">
        <f t="shared" si="7"/>
        <v>-918658.23</v>
      </c>
      <c r="J80" s="35">
        <v>-32657.77</v>
      </c>
      <c r="K80" s="35"/>
      <c r="L80" s="36">
        <f t="shared" si="10"/>
        <v>-951316</v>
      </c>
      <c r="M80" s="38">
        <f t="shared" si="8"/>
        <v>792470.6399999999</v>
      </c>
      <c r="Q80" s="39" t="s">
        <v>182</v>
      </c>
    </row>
    <row r="81" spans="1:17" ht="15">
      <c r="A81" s="40">
        <v>8</v>
      </c>
      <c r="B81" s="40">
        <v>477</v>
      </c>
      <c r="C81" s="43" t="s">
        <v>355</v>
      </c>
      <c r="D81" s="68">
        <f t="shared" si="6"/>
        <v>576367.02</v>
      </c>
      <c r="E81" s="35">
        <v>0</v>
      </c>
      <c r="F81" s="35"/>
      <c r="G81" s="36">
        <f t="shared" si="9"/>
        <v>576367.02</v>
      </c>
      <c r="H81" s="41"/>
      <c r="I81" s="69">
        <f t="shared" si="7"/>
        <v>-61542.7</v>
      </c>
      <c r="J81" s="35">
        <v>-21086.59</v>
      </c>
      <c r="K81" s="35"/>
      <c r="L81" s="36">
        <f t="shared" si="10"/>
        <v>-82629.289999999994</v>
      </c>
      <c r="M81" s="38">
        <f t="shared" si="8"/>
        <v>493737.73000000004</v>
      </c>
      <c r="Q81" s="39" t="s">
        <v>183</v>
      </c>
    </row>
    <row r="82" spans="1:17" ht="15">
      <c r="A82" s="40">
        <v>51</v>
      </c>
      <c r="B82" s="40">
        <v>478</v>
      </c>
      <c r="C82" s="43" t="s">
        <v>268</v>
      </c>
      <c r="D82" s="68">
        <f t="shared" si="6"/>
        <v>1707896.6400000001</v>
      </c>
      <c r="E82" s="35">
        <v>130447.67999999999</v>
      </c>
      <c r="F82" s="35"/>
      <c r="G82" s="36">
        <f t="shared" si="9"/>
        <v>1838344.32</v>
      </c>
      <c r="H82" s="41"/>
      <c r="I82" s="69">
        <f t="shared" si="7"/>
        <v>-834228.47</v>
      </c>
      <c r="J82" s="35">
        <v>-69089.759999999995</v>
      </c>
      <c r="K82" s="35"/>
      <c r="L82" s="36">
        <f t="shared" si="10"/>
        <v>-903318.23</v>
      </c>
      <c r="M82" s="38">
        <f t="shared" si="8"/>
        <v>935026.09000000008</v>
      </c>
      <c r="Q82" s="39" t="s">
        <v>184</v>
      </c>
    </row>
    <row r="83" spans="1:17" ht="15">
      <c r="A83" s="40">
        <v>51</v>
      </c>
      <c r="B83" s="40">
        <v>478</v>
      </c>
      <c r="C83" s="43" t="s">
        <v>298</v>
      </c>
      <c r="D83" s="68">
        <f t="shared" si="6"/>
        <v>14139.4</v>
      </c>
      <c r="E83" s="35">
        <v>0</v>
      </c>
      <c r="F83" s="35"/>
      <c r="G83" s="36">
        <f t="shared" si="9"/>
        <v>14139.4</v>
      </c>
      <c r="H83" s="41"/>
      <c r="I83" s="69">
        <f t="shared" si="7"/>
        <v>-14139.400000000001</v>
      </c>
      <c r="J83" s="35">
        <v>0</v>
      </c>
      <c r="K83" s="35"/>
      <c r="L83" s="36">
        <f t="shared" si="10"/>
        <v>-14139.400000000001</v>
      </c>
      <c r="M83" s="38">
        <f t="shared" si="8"/>
        <v>0</v>
      </c>
      <c r="Q83" s="39" t="s">
        <v>185</v>
      </c>
    </row>
    <row r="84" spans="1:17" ht="15">
      <c r="A84" s="40">
        <v>51</v>
      </c>
      <c r="B84" s="40">
        <v>478</v>
      </c>
      <c r="C84" s="42" t="s">
        <v>297</v>
      </c>
      <c r="D84" s="68">
        <f t="shared" si="6"/>
        <v>1762734.77</v>
      </c>
      <c r="E84" s="35">
        <v>60744</v>
      </c>
      <c r="F84" s="35"/>
      <c r="G84" s="36">
        <f t="shared" si="9"/>
        <v>1823478.77</v>
      </c>
      <c r="H84" s="41"/>
      <c r="I84" s="69">
        <f t="shared" si="7"/>
        <v>-1032319.8200000001</v>
      </c>
      <c r="J84" s="35">
        <v>-142271.54999999999</v>
      </c>
      <c r="K84" s="35"/>
      <c r="L84" s="36">
        <f t="shared" si="10"/>
        <v>-1174591.3700000001</v>
      </c>
      <c r="M84" s="38">
        <f t="shared" si="8"/>
        <v>648887.39999999991</v>
      </c>
      <c r="Q84" s="39" t="s">
        <v>185</v>
      </c>
    </row>
    <row r="85" spans="1:17" ht="15">
      <c r="A85" s="40">
        <v>8</v>
      </c>
      <c r="B85" s="40">
        <v>474</v>
      </c>
      <c r="C85" s="42" t="s">
        <v>270</v>
      </c>
      <c r="D85" s="68">
        <f t="shared" si="6"/>
        <v>591226.75</v>
      </c>
      <c r="E85" s="35">
        <v>75197.37</v>
      </c>
      <c r="F85" s="35"/>
      <c r="G85" s="36">
        <f t="shared" si="9"/>
        <v>666424.12</v>
      </c>
      <c r="H85" s="41"/>
      <c r="I85" s="69">
        <f t="shared" si="7"/>
        <v>-392883.57999999996</v>
      </c>
      <c r="J85" s="35">
        <v>-14841.62</v>
      </c>
      <c r="K85" s="35"/>
      <c r="L85" s="36">
        <f t="shared" si="10"/>
        <v>-407725.19999999995</v>
      </c>
      <c r="M85" s="38">
        <f t="shared" si="8"/>
        <v>258698.92000000004</v>
      </c>
      <c r="Q85" s="39" t="s">
        <v>186</v>
      </c>
    </row>
    <row r="86" spans="1:17" ht="15">
      <c r="A86" s="40">
        <v>51</v>
      </c>
      <c r="B86" s="40">
        <v>473</v>
      </c>
      <c r="C86" s="43" t="s">
        <v>303</v>
      </c>
      <c r="D86" s="68">
        <f t="shared" si="6"/>
        <v>4831972.2100000009</v>
      </c>
      <c r="E86" s="35">
        <v>570464.17999999993</v>
      </c>
      <c r="F86" s="35"/>
      <c r="G86" s="36">
        <f t="shared" si="9"/>
        <v>5402436.3900000006</v>
      </c>
      <c r="H86" s="41"/>
      <c r="I86" s="69">
        <f t="shared" si="7"/>
        <v>-2917864.5</v>
      </c>
      <c r="J86" s="35">
        <v>-64775.92</v>
      </c>
      <c r="K86" s="35"/>
      <c r="L86" s="36">
        <f t="shared" si="10"/>
        <v>-2982640.42</v>
      </c>
      <c r="M86" s="38">
        <f t="shared" si="8"/>
        <v>2419795.9700000007</v>
      </c>
      <c r="Q86" s="39" t="s">
        <v>187</v>
      </c>
    </row>
    <row r="87" spans="1:17" ht="15">
      <c r="A87" s="40">
        <v>12</v>
      </c>
      <c r="B87" s="40">
        <v>491</v>
      </c>
      <c r="C87" s="43" t="s">
        <v>262</v>
      </c>
      <c r="D87" s="68">
        <f t="shared" si="6"/>
        <v>654060.85</v>
      </c>
      <c r="E87" s="35">
        <v>975</v>
      </c>
      <c r="F87" s="35"/>
      <c r="G87" s="36">
        <f t="shared" si="9"/>
        <v>655035.85</v>
      </c>
      <c r="H87" s="41"/>
      <c r="I87" s="69">
        <f t="shared" si="7"/>
        <v>-432404.38</v>
      </c>
      <c r="J87" s="35">
        <v>-33233.96</v>
      </c>
      <c r="K87" s="35"/>
      <c r="L87" s="36">
        <f t="shared" si="10"/>
        <v>-465638.34</v>
      </c>
      <c r="M87" s="38">
        <f t="shared" si="8"/>
        <v>189397.50999999995</v>
      </c>
      <c r="Q87" s="39" t="s">
        <v>188</v>
      </c>
    </row>
    <row r="88" spans="1:17" ht="15">
      <c r="A88" s="40">
        <v>1</v>
      </c>
      <c r="B88" s="40">
        <v>482</v>
      </c>
      <c r="C88" s="43" t="s">
        <v>304</v>
      </c>
      <c r="D88" s="68">
        <f t="shared" si="6"/>
        <v>699632.78</v>
      </c>
      <c r="E88" s="35">
        <v>0</v>
      </c>
      <c r="F88" s="35"/>
      <c r="G88" s="36">
        <f t="shared" si="9"/>
        <v>699632.78</v>
      </c>
      <c r="H88" s="41"/>
      <c r="I88" s="69">
        <f t="shared" si="7"/>
        <v>-305438.53000000003</v>
      </c>
      <c r="J88" s="35">
        <v>-11304.21</v>
      </c>
      <c r="K88" s="35"/>
      <c r="L88" s="36">
        <f t="shared" si="10"/>
        <v>-316742.74000000005</v>
      </c>
      <c r="M88" s="38">
        <f t="shared" si="8"/>
        <v>382890.04</v>
      </c>
      <c r="Q88" s="39" t="s">
        <v>189</v>
      </c>
    </row>
    <row r="89" spans="1:17" ht="15">
      <c r="A89" s="40">
        <v>8</v>
      </c>
      <c r="B89" s="40">
        <v>486</v>
      </c>
      <c r="C89" s="43" t="s">
        <v>263</v>
      </c>
      <c r="D89" s="68">
        <f t="shared" si="6"/>
        <v>754974.06</v>
      </c>
      <c r="E89" s="35">
        <v>15639.66</v>
      </c>
      <c r="F89" s="35"/>
      <c r="G89" s="36">
        <f t="shared" si="9"/>
        <v>770613.72000000009</v>
      </c>
      <c r="H89" s="41"/>
      <c r="I89" s="69">
        <f t="shared" si="7"/>
        <v>-584768.77</v>
      </c>
      <c r="J89" s="35">
        <v>-17734.099999999999</v>
      </c>
      <c r="K89" s="35"/>
      <c r="L89" s="36">
        <f t="shared" si="10"/>
        <v>-602502.87</v>
      </c>
      <c r="M89" s="38">
        <f t="shared" si="8"/>
        <v>168110.85000000009</v>
      </c>
      <c r="Q89" s="39" t="s">
        <v>189</v>
      </c>
    </row>
    <row r="90" spans="1:17" ht="15">
      <c r="A90" s="40">
        <v>10</v>
      </c>
      <c r="B90" s="40">
        <v>485</v>
      </c>
      <c r="C90" s="43" t="s">
        <v>306</v>
      </c>
      <c r="D90" s="68">
        <f t="shared" si="6"/>
        <v>33032.959999999999</v>
      </c>
      <c r="E90" s="35">
        <v>0</v>
      </c>
      <c r="F90" s="35"/>
      <c r="G90" s="36">
        <f t="shared" si="9"/>
        <v>33032.959999999999</v>
      </c>
      <c r="H90" s="41"/>
      <c r="I90" s="69">
        <f t="shared" si="7"/>
        <v>-5044.04</v>
      </c>
      <c r="J90" s="35">
        <v>-2291.3000000000002</v>
      </c>
      <c r="K90" s="35"/>
      <c r="L90" s="36">
        <f t="shared" si="10"/>
        <v>-7335.34</v>
      </c>
      <c r="M90" s="38">
        <f t="shared" si="8"/>
        <v>25697.62</v>
      </c>
      <c r="Q90" s="39" t="s">
        <v>190</v>
      </c>
    </row>
    <row r="91" spans="1:17" ht="15">
      <c r="A91" s="40">
        <v>10</v>
      </c>
      <c r="B91" s="44">
        <v>484</v>
      </c>
      <c r="C91" s="34" t="s">
        <v>305</v>
      </c>
      <c r="D91" s="68">
        <f t="shared" si="6"/>
        <v>477476.76999999996</v>
      </c>
      <c r="E91" s="35">
        <v>38552.5</v>
      </c>
      <c r="F91" s="35"/>
      <c r="G91" s="36">
        <f t="shared" si="9"/>
        <v>516029.26999999996</v>
      </c>
      <c r="H91" s="41"/>
      <c r="I91" s="69">
        <f t="shared" si="7"/>
        <v>-268776.46000000002</v>
      </c>
      <c r="J91" s="35">
        <v>-52780.42</v>
      </c>
      <c r="K91" s="35"/>
      <c r="L91" s="36">
        <f t="shared" si="10"/>
        <v>-321556.88</v>
      </c>
      <c r="M91" s="38">
        <f t="shared" si="8"/>
        <v>194472.38999999996</v>
      </c>
      <c r="Q91" s="39" t="s">
        <v>190</v>
      </c>
    </row>
    <row r="92" spans="1:17" ht="15" hidden="1">
      <c r="A92" s="40"/>
      <c r="B92" s="44"/>
      <c r="C92" s="34"/>
      <c r="D92" s="68">
        <f t="shared" si="6"/>
        <v>0</v>
      </c>
      <c r="E92" s="35"/>
      <c r="F92" s="35"/>
      <c r="G92" s="36">
        <f t="shared" si="9"/>
        <v>0</v>
      </c>
      <c r="H92" s="41"/>
      <c r="I92" s="69">
        <f t="shared" si="7"/>
        <v>0</v>
      </c>
      <c r="J92" s="35"/>
      <c r="K92" s="35"/>
      <c r="L92" s="36">
        <f t="shared" si="10"/>
        <v>0</v>
      </c>
      <c r="M92" s="38">
        <f t="shared" si="8"/>
        <v>0</v>
      </c>
      <c r="Q92" s="39" t="s">
        <v>190</v>
      </c>
    </row>
    <row r="93" spans="1:17" ht="15" hidden="1">
      <c r="A93" s="40"/>
      <c r="B93" s="33"/>
      <c r="C93" s="43"/>
      <c r="D93" s="68">
        <f t="shared" si="6"/>
        <v>0</v>
      </c>
      <c r="E93" s="35"/>
      <c r="F93" s="35"/>
      <c r="G93" s="36">
        <f t="shared" si="9"/>
        <v>0</v>
      </c>
      <c r="H93" s="41"/>
      <c r="I93" s="69">
        <f t="shared" si="7"/>
        <v>0</v>
      </c>
      <c r="J93" s="35"/>
      <c r="K93" s="35"/>
      <c r="L93" s="36">
        <f t="shared" si="10"/>
        <v>0</v>
      </c>
      <c r="M93" s="38">
        <f t="shared" si="8"/>
        <v>0</v>
      </c>
      <c r="Q93" s="39" t="s">
        <v>191</v>
      </c>
    </row>
    <row r="94" spans="1:17" ht="15" hidden="1">
      <c r="A94" s="40"/>
      <c r="B94" s="33"/>
      <c r="C94" s="43"/>
      <c r="D94" s="68">
        <f t="shared" si="6"/>
        <v>0</v>
      </c>
      <c r="E94" s="35"/>
      <c r="F94" s="35"/>
      <c r="G94" s="36">
        <f t="shared" si="9"/>
        <v>0</v>
      </c>
      <c r="H94" s="41"/>
      <c r="I94" s="69">
        <f t="shared" si="7"/>
        <v>0</v>
      </c>
      <c r="J94" s="35"/>
      <c r="K94" s="35"/>
      <c r="L94" s="36">
        <f t="shared" si="10"/>
        <v>0</v>
      </c>
      <c r="M94" s="38">
        <f t="shared" si="8"/>
        <v>0</v>
      </c>
      <c r="Q94" s="39" t="s">
        <v>192</v>
      </c>
    </row>
    <row r="95" spans="1:17" ht="15" hidden="1">
      <c r="A95" s="40"/>
      <c r="B95" s="33"/>
      <c r="C95" s="43"/>
      <c r="D95" s="68">
        <f t="shared" si="6"/>
        <v>0</v>
      </c>
      <c r="E95" s="35"/>
      <c r="F95" s="35"/>
      <c r="G95" s="36">
        <f t="shared" si="9"/>
        <v>0</v>
      </c>
      <c r="H95" s="41"/>
      <c r="I95" s="69">
        <f t="shared" si="7"/>
        <v>0</v>
      </c>
      <c r="J95" s="35"/>
      <c r="K95" s="35"/>
      <c r="L95" s="36">
        <f t="shared" si="10"/>
        <v>0</v>
      </c>
      <c r="M95" s="38">
        <f t="shared" si="8"/>
        <v>0</v>
      </c>
      <c r="Q95" s="39" t="s">
        <v>193</v>
      </c>
    </row>
    <row r="96" spans="1:17" ht="15" hidden="1">
      <c r="A96" s="40"/>
      <c r="B96" s="33"/>
      <c r="C96" s="43"/>
      <c r="D96" s="68">
        <f t="shared" si="6"/>
        <v>0</v>
      </c>
      <c r="E96" s="35"/>
      <c r="F96" s="35"/>
      <c r="G96" s="36">
        <f t="shared" si="9"/>
        <v>0</v>
      </c>
      <c r="H96" s="41"/>
      <c r="I96" s="69">
        <f t="shared" si="7"/>
        <v>0</v>
      </c>
      <c r="J96" s="35"/>
      <c r="K96" s="35"/>
      <c r="L96" s="36">
        <f t="shared" si="10"/>
        <v>0</v>
      </c>
      <c r="M96" s="38">
        <f t="shared" si="8"/>
        <v>0</v>
      </c>
      <c r="Q96" s="39" t="s">
        <v>194</v>
      </c>
    </row>
    <row r="97" spans="1:17" ht="15" hidden="1">
      <c r="A97" s="40"/>
      <c r="B97" s="33"/>
      <c r="C97" s="43"/>
      <c r="D97" s="68">
        <f t="shared" si="6"/>
        <v>0</v>
      </c>
      <c r="E97" s="35"/>
      <c r="F97" s="35"/>
      <c r="G97" s="36">
        <f t="shared" si="9"/>
        <v>0</v>
      </c>
      <c r="H97" s="41"/>
      <c r="I97" s="69">
        <f t="shared" si="7"/>
        <v>0</v>
      </c>
      <c r="J97" s="35"/>
      <c r="K97" s="35"/>
      <c r="L97" s="36">
        <f t="shared" si="10"/>
        <v>0</v>
      </c>
      <c r="M97" s="38">
        <f t="shared" si="8"/>
        <v>0</v>
      </c>
      <c r="Q97" s="39" t="s">
        <v>195</v>
      </c>
    </row>
    <row r="98" spans="1:17" ht="15" hidden="1">
      <c r="A98" s="40"/>
      <c r="B98" s="33"/>
      <c r="C98" s="43"/>
      <c r="D98" s="68">
        <f t="shared" si="6"/>
        <v>0</v>
      </c>
      <c r="E98" s="35"/>
      <c r="F98" s="35"/>
      <c r="G98" s="36">
        <f t="shared" si="9"/>
        <v>0</v>
      </c>
      <c r="H98" s="41"/>
      <c r="I98" s="69">
        <f t="shared" si="7"/>
        <v>0</v>
      </c>
      <c r="J98" s="35"/>
      <c r="K98" s="35"/>
      <c r="L98" s="36">
        <f t="shared" si="10"/>
        <v>0</v>
      </c>
      <c r="M98" s="38">
        <f t="shared" si="8"/>
        <v>0</v>
      </c>
      <c r="Q98" s="39" t="s">
        <v>196</v>
      </c>
    </row>
    <row r="99" spans="1:17" ht="15" hidden="1">
      <c r="A99" s="44"/>
      <c r="B99" s="44"/>
      <c r="C99" s="46"/>
      <c r="D99" s="68">
        <f t="shared" si="6"/>
        <v>0</v>
      </c>
      <c r="E99" s="35"/>
      <c r="F99" s="35"/>
      <c r="G99" s="36">
        <f t="shared" si="9"/>
        <v>0</v>
      </c>
      <c r="H99" s="41"/>
      <c r="I99" s="69">
        <f t="shared" si="7"/>
        <v>0</v>
      </c>
      <c r="J99" s="35"/>
      <c r="K99" s="35"/>
      <c r="L99" s="36">
        <f t="shared" si="10"/>
        <v>0</v>
      </c>
      <c r="M99" s="38">
        <f t="shared" si="8"/>
        <v>0</v>
      </c>
      <c r="Q99" s="39" t="s">
        <v>196</v>
      </c>
    </row>
    <row r="100" spans="1:17" ht="15" hidden="1">
      <c r="A100" s="44"/>
      <c r="B100" s="47"/>
      <c r="C100" s="34"/>
      <c r="D100" s="68">
        <f t="shared" si="6"/>
        <v>0</v>
      </c>
      <c r="E100" s="35"/>
      <c r="F100" s="35"/>
      <c r="G100" s="36">
        <f t="shared" si="9"/>
        <v>0</v>
      </c>
      <c r="H100" s="41"/>
      <c r="I100" s="69">
        <f t="shared" si="7"/>
        <v>0</v>
      </c>
      <c r="J100" s="35"/>
      <c r="K100" s="35"/>
      <c r="L100" s="36">
        <f t="shared" si="10"/>
        <v>0</v>
      </c>
      <c r="M100" s="38">
        <f t="shared" si="8"/>
        <v>0</v>
      </c>
      <c r="Q100" s="39" t="s">
        <v>197</v>
      </c>
    </row>
    <row r="101" spans="1:17" ht="15" hidden="1">
      <c r="A101" s="48"/>
      <c r="B101" s="47"/>
      <c r="C101" s="43"/>
      <c r="D101" s="68">
        <f t="shared" si="6"/>
        <v>0</v>
      </c>
      <c r="E101" s="35"/>
      <c r="F101" s="35"/>
      <c r="G101" s="36">
        <f t="shared" si="9"/>
        <v>0</v>
      </c>
      <c r="H101" s="41"/>
      <c r="I101" s="69">
        <f t="shared" si="7"/>
        <v>0</v>
      </c>
      <c r="J101" s="35"/>
      <c r="K101" s="35"/>
      <c r="L101" s="36">
        <f t="shared" si="10"/>
        <v>0</v>
      </c>
      <c r="M101" s="38">
        <f t="shared" si="8"/>
        <v>0</v>
      </c>
      <c r="Q101" s="39" t="s">
        <v>198</v>
      </c>
    </row>
    <row r="102" spans="1:17" ht="15" hidden="1">
      <c r="A102" s="40"/>
      <c r="B102" s="33"/>
      <c r="C102" s="43"/>
      <c r="D102" s="68">
        <f t="shared" si="6"/>
        <v>0</v>
      </c>
      <c r="E102" s="35"/>
      <c r="F102" s="35"/>
      <c r="G102" s="36">
        <f t="shared" si="9"/>
        <v>0</v>
      </c>
      <c r="H102" s="41"/>
      <c r="I102" s="69">
        <f t="shared" si="7"/>
        <v>0</v>
      </c>
      <c r="J102" s="35"/>
      <c r="K102" s="35"/>
      <c r="L102" s="36">
        <f t="shared" si="10"/>
        <v>0</v>
      </c>
      <c r="M102" s="38">
        <f t="shared" si="8"/>
        <v>0</v>
      </c>
      <c r="Q102" s="39" t="s">
        <v>199</v>
      </c>
    </row>
    <row r="103" spans="1:17" ht="15" hidden="1">
      <c r="A103" s="40"/>
      <c r="B103" s="33"/>
      <c r="C103" s="43"/>
      <c r="D103" s="68">
        <f t="shared" si="6"/>
        <v>0</v>
      </c>
      <c r="E103" s="35"/>
      <c r="F103" s="35"/>
      <c r="G103" s="36">
        <f t="shared" si="9"/>
        <v>0</v>
      </c>
      <c r="H103" s="41"/>
      <c r="I103" s="69">
        <f t="shared" si="7"/>
        <v>0</v>
      </c>
      <c r="J103" s="35"/>
      <c r="K103" s="35"/>
      <c r="L103" s="36">
        <f t="shared" si="10"/>
        <v>0</v>
      </c>
      <c r="M103" s="38">
        <f t="shared" si="8"/>
        <v>0</v>
      </c>
      <c r="Q103" s="39" t="s">
        <v>200</v>
      </c>
    </row>
    <row r="104" spans="1:17" ht="15" hidden="1">
      <c r="A104" s="40"/>
      <c r="B104" s="33"/>
      <c r="C104" s="43"/>
      <c r="D104" s="68">
        <f t="shared" si="6"/>
        <v>0</v>
      </c>
      <c r="E104" s="35"/>
      <c r="F104" s="35"/>
      <c r="G104" s="36">
        <f t="shared" si="9"/>
        <v>0</v>
      </c>
      <c r="H104" s="41"/>
      <c r="I104" s="69">
        <f t="shared" si="7"/>
        <v>0</v>
      </c>
      <c r="J104" s="35"/>
      <c r="K104" s="35"/>
      <c r="L104" s="36">
        <f t="shared" si="10"/>
        <v>0</v>
      </c>
      <c r="M104" s="38">
        <f t="shared" si="8"/>
        <v>0</v>
      </c>
      <c r="Q104" s="39" t="s">
        <v>201</v>
      </c>
    </row>
    <row r="105" spans="1:17" ht="15" hidden="1">
      <c r="A105" s="48"/>
      <c r="B105" s="33"/>
      <c r="C105" s="49"/>
      <c r="D105" s="68">
        <f t="shared" si="6"/>
        <v>0</v>
      </c>
      <c r="E105" s="35"/>
      <c r="F105" s="35"/>
      <c r="G105" s="36">
        <f t="shared" si="9"/>
        <v>0</v>
      </c>
      <c r="H105" s="41"/>
      <c r="I105" s="69">
        <f t="shared" si="7"/>
        <v>0</v>
      </c>
      <c r="J105" s="35"/>
      <c r="K105" s="35"/>
      <c r="L105" s="36">
        <f t="shared" si="10"/>
        <v>0</v>
      </c>
      <c r="M105" s="38">
        <f t="shared" si="8"/>
        <v>0</v>
      </c>
      <c r="Q105" s="39" t="s">
        <v>202</v>
      </c>
    </row>
    <row r="106" spans="1:17" ht="15" hidden="1">
      <c r="A106" s="40"/>
      <c r="B106" s="33"/>
      <c r="C106" s="43"/>
      <c r="D106" s="68">
        <f t="shared" si="6"/>
        <v>0</v>
      </c>
      <c r="E106" s="35"/>
      <c r="F106" s="35"/>
      <c r="G106" s="36">
        <f t="shared" si="9"/>
        <v>0</v>
      </c>
      <c r="H106" s="41"/>
      <c r="I106" s="69">
        <f t="shared" si="7"/>
        <v>0</v>
      </c>
      <c r="J106" s="35"/>
      <c r="K106" s="35"/>
      <c r="L106" s="36">
        <f t="shared" si="10"/>
        <v>0</v>
      </c>
      <c r="M106" s="38">
        <f t="shared" si="8"/>
        <v>0</v>
      </c>
      <c r="Q106" s="39" t="s">
        <v>203</v>
      </c>
    </row>
    <row r="107" spans="1:17" ht="15" hidden="1">
      <c r="A107" s="40"/>
      <c r="B107" s="33"/>
      <c r="C107" s="43"/>
      <c r="D107" s="68">
        <f t="shared" si="6"/>
        <v>0</v>
      </c>
      <c r="E107" s="35"/>
      <c r="F107" s="35"/>
      <c r="G107" s="36">
        <f t="shared" si="9"/>
        <v>0</v>
      </c>
      <c r="I107" s="69">
        <f t="shared" si="7"/>
        <v>0</v>
      </c>
      <c r="J107" s="35"/>
      <c r="K107" s="35"/>
      <c r="L107" s="36">
        <f t="shared" si="10"/>
        <v>0</v>
      </c>
      <c r="M107" s="38">
        <f t="shared" si="8"/>
        <v>0</v>
      </c>
      <c r="Q107" s="39" t="s">
        <v>204</v>
      </c>
    </row>
    <row r="108" spans="1:17" ht="15" hidden="1">
      <c r="A108" s="50"/>
      <c r="B108" s="50"/>
      <c r="C108" s="51"/>
      <c r="D108" s="68">
        <f t="shared" si="6"/>
        <v>0</v>
      </c>
      <c r="E108" s="52"/>
      <c r="F108" s="52"/>
      <c r="G108" s="36">
        <f t="shared" si="9"/>
        <v>0</v>
      </c>
      <c r="I108" s="69">
        <f t="shared" si="7"/>
        <v>0</v>
      </c>
      <c r="J108" s="52"/>
      <c r="K108" s="52"/>
      <c r="L108" s="36">
        <f t="shared" si="10"/>
        <v>0</v>
      </c>
      <c r="M108" s="38">
        <f t="shared" si="8"/>
        <v>0</v>
      </c>
      <c r="Q108" s="39" t="s">
        <v>205</v>
      </c>
    </row>
    <row r="109" spans="1:17">
      <c r="A109" s="50"/>
      <c r="B109" s="50"/>
      <c r="C109" s="53" t="s">
        <v>2</v>
      </c>
      <c r="D109" s="70">
        <f>SUM(D68:D108)</f>
        <v>34574082.040000007</v>
      </c>
      <c r="E109" s="54">
        <f>SUM(E68:E108)</f>
        <v>1740563.69</v>
      </c>
      <c r="F109" s="54">
        <f>SUM(F68:F108)</f>
        <v>0</v>
      </c>
      <c r="G109" s="54">
        <f>SUM(G68:G108)</f>
        <v>36314645.730000004</v>
      </c>
      <c r="H109" s="55"/>
      <c r="I109" s="70">
        <f>SUM(I68:I108)</f>
        <v>-17993595.110000003</v>
      </c>
      <c r="J109" s="54">
        <f>SUM(J68:J108)</f>
        <v>-900859.10000000009</v>
      </c>
      <c r="K109" s="54">
        <f>SUM(K68:K108)</f>
        <v>0</v>
      </c>
      <c r="L109" s="54">
        <f>SUM(L68:L108)</f>
        <v>-18894454.209999997</v>
      </c>
      <c r="M109" s="54">
        <f>SUM(M68:M108)</f>
        <v>17420191.520000003</v>
      </c>
    </row>
    <row r="110" spans="1:17" ht="37.5" hidden="1">
      <c r="A110" s="50"/>
      <c r="B110" s="50"/>
      <c r="C110" s="56" t="s">
        <v>80</v>
      </c>
      <c r="D110" s="68">
        <f>G54</f>
        <v>0</v>
      </c>
      <c r="E110" s="52"/>
      <c r="F110" s="52"/>
      <c r="G110" s="36">
        <f>D110+E110+F110</f>
        <v>0</v>
      </c>
      <c r="I110" s="69">
        <f>L54</f>
        <v>0</v>
      </c>
      <c r="J110" s="52"/>
      <c r="K110" s="52"/>
      <c r="L110" s="36">
        <f>I110+J110+K110</f>
        <v>0</v>
      </c>
      <c r="M110" s="38">
        <f>G110+L110</f>
        <v>0</v>
      </c>
    </row>
    <row r="111" spans="1:17" ht="25.5">
      <c r="A111" s="50"/>
      <c r="B111" s="50"/>
      <c r="C111" s="57" t="s">
        <v>81</v>
      </c>
      <c r="D111" s="68">
        <f>G55</f>
        <v>0</v>
      </c>
      <c r="E111" s="52"/>
      <c r="F111" s="52"/>
      <c r="G111" s="36">
        <f>D111+E111+F111</f>
        <v>0</v>
      </c>
      <c r="I111" s="69">
        <f>L55</f>
        <v>0</v>
      </c>
      <c r="J111" s="52"/>
      <c r="K111" s="52"/>
      <c r="L111" s="36">
        <f>I111+J111+K111</f>
        <v>0</v>
      </c>
      <c r="M111" s="38">
        <f>G111+L111</f>
        <v>0</v>
      </c>
    </row>
    <row r="112" spans="1:17">
      <c r="A112" s="50"/>
      <c r="B112" s="50"/>
      <c r="C112" s="53" t="s">
        <v>82</v>
      </c>
      <c r="D112" s="54">
        <f>SUM(D109:D111)</f>
        <v>34574082.040000007</v>
      </c>
      <c r="E112" s="54">
        <f>SUM(E109:E111)</f>
        <v>1740563.69</v>
      </c>
      <c r="F112" s="54">
        <f>SUM(F109:F111)</f>
        <v>0</v>
      </c>
      <c r="G112" s="54">
        <f>SUM(G109:G111)</f>
        <v>36314645.730000004</v>
      </c>
      <c r="H112" s="55"/>
      <c r="I112" s="70">
        <f>SUM(I109:I111)</f>
        <v>-17993595.110000003</v>
      </c>
      <c r="J112" s="54">
        <f>SUM(J109:J111)</f>
        <v>-900859.10000000009</v>
      </c>
      <c r="K112" s="54">
        <f>SUM(K109:K111)</f>
        <v>0</v>
      </c>
      <c r="L112" s="54">
        <f>SUM(L109:L111)</f>
        <v>-18894454.209999997</v>
      </c>
      <c r="M112" s="54">
        <f>SUM(M109:M111)</f>
        <v>17420191.520000003</v>
      </c>
    </row>
    <row r="113" spans="1:17" ht="15">
      <c r="A113" s="50"/>
      <c r="B113" s="50"/>
      <c r="C113" s="58" t="s">
        <v>83</v>
      </c>
      <c r="D113" s="35">
        <v>132044.51</v>
      </c>
      <c r="E113" s="35">
        <v>399053.55999999994</v>
      </c>
      <c r="F113" s="35"/>
      <c r="G113" s="36">
        <f t="shared" ref="G113" si="11">D113+E113+F113</f>
        <v>531098.06999999995</v>
      </c>
      <c r="H113" s="41"/>
      <c r="L113" s="36">
        <f t="shared" ref="L113" si="12">I113+J113+K113</f>
        <v>0</v>
      </c>
      <c r="M113" s="38">
        <f>G113+L113</f>
        <v>531098.06999999995</v>
      </c>
    </row>
    <row r="114" spans="1:17">
      <c r="A114" s="50"/>
      <c r="B114" s="50"/>
      <c r="C114" s="58" t="s">
        <v>84</v>
      </c>
      <c r="D114" s="54">
        <f>SUM(D112:D113)</f>
        <v>34706126.550000004</v>
      </c>
      <c r="E114" s="54">
        <f t="shared" ref="E114:M114" si="13">SUM(E112:E113)</f>
        <v>2139617.25</v>
      </c>
      <c r="F114" s="54">
        <f t="shared" si="13"/>
        <v>0</v>
      </c>
      <c r="G114" s="54">
        <f t="shared" si="13"/>
        <v>36845743.800000004</v>
      </c>
      <c r="H114" s="54">
        <f t="shared" si="13"/>
        <v>0</v>
      </c>
      <c r="I114" s="54">
        <f t="shared" si="13"/>
        <v>-17993595.110000003</v>
      </c>
      <c r="J114" s="54">
        <f t="shared" si="13"/>
        <v>-900859.10000000009</v>
      </c>
      <c r="K114" s="54">
        <f t="shared" si="13"/>
        <v>0</v>
      </c>
      <c r="L114" s="54">
        <f t="shared" si="13"/>
        <v>-18894454.209999997</v>
      </c>
      <c r="M114" s="54">
        <f t="shared" si="13"/>
        <v>17951289.590000004</v>
      </c>
    </row>
    <row r="115" spans="1:17" ht="15">
      <c r="A115" s="50"/>
      <c r="B115" s="50"/>
      <c r="C115" s="585" t="s">
        <v>85</v>
      </c>
      <c r="D115" s="586"/>
      <c r="E115" s="586"/>
      <c r="F115" s="586"/>
      <c r="G115" s="586"/>
      <c r="H115" s="586"/>
      <c r="I115" s="587"/>
      <c r="J115" s="52"/>
      <c r="K115" s="59"/>
      <c r="L115" s="60"/>
      <c r="M115" s="61"/>
    </row>
    <row r="116" spans="1:17" ht="15">
      <c r="A116" s="50"/>
      <c r="B116" s="50"/>
      <c r="C116" s="585" t="s">
        <v>482</v>
      </c>
      <c r="D116" s="586"/>
      <c r="E116" s="586"/>
      <c r="F116" s="586"/>
      <c r="G116" s="586"/>
      <c r="H116" s="586"/>
      <c r="I116" s="587"/>
      <c r="J116" s="54">
        <f>J114+J115</f>
        <v>-900859.10000000009</v>
      </c>
      <c r="K116" s="59"/>
      <c r="L116" s="60"/>
      <c r="M116" s="61"/>
    </row>
    <row r="117" spans="1:17"/>
    <row r="118" spans="1:17" ht="13.5" thickBot="1"/>
    <row r="119" spans="1:17" ht="15.75" hidden="1" thickBot="1">
      <c r="E119" s="11" t="s">
        <v>25</v>
      </c>
      <c r="F119" s="21" t="str">
        <f>F63</f>
        <v>MIFRS</v>
      </c>
      <c r="H119" s="15"/>
    </row>
    <row r="120" spans="1:17" ht="15.75" thickBot="1">
      <c r="C120" s="19"/>
      <c r="E120" s="11" t="s">
        <v>27</v>
      </c>
      <c r="F120" s="183">
        <f>F64+1</f>
        <v>2022</v>
      </c>
      <c r="G120" s="23"/>
    </row>
    <row r="121" spans="1:17"/>
    <row r="122" spans="1:17">
      <c r="D122" s="581" t="s">
        <v>28</v>
      </c>
      <c r="E122" s="582"/>
      <c r="F122" s="582"/>
      <c r="G122" s="583"/>
      <c r="I122" s="581" t="s">
        <v>483</v>
      </c>
      <c r="J122" s="582"/>
      <c r="K122" s="582"/>
      <c r="L122" s="583"/>
      <c r="M122" s="16"/>
    </row>
    <row r="123" spans="1:17" ht="30" customHeight="1">
      <c r="A123" s="27" t="s">
        <v>30</v>
      </c>
      <c r="B123" s="27" t="s">
        <v>31</v>
      </c>
      <c r="C123" s="28" t="s">
        <v>32</v>
      </c>
      <c r="D123" s="27" t="s">
        <v>33</v>
      </c>
      <c r="E123" s="29" t="s">
        <v>34</v>
      </c>
      <c r="F123" s="29" t="s">
        <v>35</v>
      </c>
      <c r="G123" s="27" t="s">
        <v>36</v>
      </c>
      <c r="H123" s="30"/>
      <c r="I123" s="27" t="s">
        <v>33</v>
      </c>
      <c r="J123" s="31" t="s">
        <v>37</v>
      </c>
      <c r="K123" s="31" t="s">
        <v>35</v>
      </c>
      <c r="L123" s="32" t="s">
        <v>36</v>
      </c>
      <c r="M123" s="27" t="s">
        <v>38</v>
      </c>
    </row>
    <row r="124" spans="1:17" ht="25.5" customHeight="1">
      <c r="A124" s="40">
        <v>50</v>
      </c>
      <c r="B124" s="33">
        <v>488</v>
      </c>
      <c r="C124" s="34" t="s">
        <v>264</v>
      </c>
      <c r="D124" s="68">
        <f t="shared" ref="D124:D164" si="14">G68</f>
        <v>311189.45999999996</v>
      </c>
      <c r="E124" s="35">
        <v>0</v>
      </c>
      <c r="F124" s="35"/>
      <c r="G124" s="36">
        <f>D124+E124+F124</f>
        <v>311189.45999999996</v>
      </c>
      <c r="H124" s="30"/>
      <c r="I124" s="69">
        <f t="shared" ref="I124:I164" si="15">L68</f>
        <v>-184892.59</v>
      </c>
      <c r="J124" s="35">
        <v>-10850.86</v>
      </c>
      <c r="K124" s="35"/>
      <c r="L124" s="36">
        <f>I124+J124+K124</f>
        <v>-195743.45</v>
      </c>
      <c r="M124" s="38">
        <f t="shared" ref="M124:M164" si="16">G124+L124</f>
        <v>115446.00999999995</v>
      </c>
      <c r="Q124" s="39" t="s">
        <v>170</v>
      </c>
    </row>
    <row r="125" spans="1:17" ht="15">
      <c r="A125" s="40">
        <v>50</v>
      </c>
      <c r="B125" s="33">
        <v>490</v>
      </c>
      <c r="C125" s="34" t="s">
        <v>261</v>
      </c>
      <c r="D125" s="68">
        <f t="shared" si="14"/>
        <v>513917.27999999997</v>
      </c>
      <c r="E125" s="35">
        <v>53352.98</v>
      </c>
      <c r="F125" s="35"/>
      <c r="G125" s="36">
        <f>D125+E125+F125</f>
        <v>567270.26</v>
      </c>
      <c r="H125" s="41"/>
      <c r="I125" s="69">
        <f t="shared" si="15"/>
        <v>-433459.94</v>
      </c>
      <c r="J125" s="35">
        <v>-33003.54</v>
      </c>
      <c r="K125" s="35"/>
      <c r="L125" s="36">
        <f>I125+J125+K125</f>
        <v>-466463.48</v>
      </c>
      <c r="M125" s="38">
        <f t="shared" si="16"/>
        <v>100806.78000000003</v>
      </c>
      <c r="Q125" s="39" t="s">
        <v>171</v>
      </c>
    </row>
    <row r="126" spans="1:17" ht="15">
      <c r="A126" s="40">
        <v>51</v>
      </c>
      <c r="B126" s="33">
        <v>499</v>
      </c>
      <c r="C126" s="34" t="s">
        <v>350</v>
      </c>
      <c r="D126" s="68">
        <f t="shared" si="14"/>
        <v>-376287.94</v>
      </c>
      <c r="E126" s="35">
        <v>0</v>
      </c>
      <c r="F126" s="35"/>
      <c r="G126" s="36">
        <f>D126+E126+F126</f>
        <v>-376287.94</v>
      </c>
      <c r="H126" s="41"/>
      <c r="I126" s="69">
        <f t="shared" si="15"/>
        <v>26464.420000000002</v>
      </c>
      <c r="J126" s="35">
        <v>7642.63</v>
      </c>
      <c r="K126" s="35"/>
      <c r="L126" s="36">
        <f>I126+J126+K126</f>
        <v>34107.050000000003</v>
      </c>
      <c r="M126" s="38">
        <f t="shared" si="16"/>
        <v>-342180.89</v>
      </c>
      <c r="Q126" s="39" t="s">
        <v>172</v>
      </c>
    </row>
    <row r="127" spans="1:17" ht="15">
      <c r="A127" s="40">
        <v>51</v>
      </c>
      <c r="B127" s="40">
        <v>499</v>
      </c>
      <c r="C127" s="42" t="s">
        <v>351</v>
      </c>
      <c r="D127" s="68">
        <f t="shared" si="14"/>
        <v>-227996.27000000002</v>
      </c>
      <c r="E127" s="35">
        <v>-55901</v>
      </c>
      <c r="F127" s="35"/>
      <c r="G127" s="36">
        <f>D127+E127+F127</f>
        <v>-283897.27</v>
      </c>
      <c r="H127" s="41"/>
      <c r="I127" s="69">
        <f t="shared" si="15"/>
        <v>6602.26</v>
      </c>
      <c r="J127" s="35">
        <v>5917.81</v>
      </c>
      <c r="K127" s="35"/>
      <c r="L127" s="36">
        <f>I127+J127+K127</f>
        <v>12520.07</v>
      </c>
      <c r="M127" s="38">
        <f t="shared" si="16"/>
        <v>-271377.2</v>
      </c>
      <c r="Q127" s="39" t="s">
        <v>173</v>
      </c>
    </row>
    <row r="128" spans="1:17" ht="15">
      <c r="A128" s="40">
        <v>51</v>
      </c>
      <c r="B128" s="40">
        <v>499</v>
      </c>
      <c r="C128" s="43" t="s">
        <v>352</v>
      </c>
      <c r="D128" s="68">
        <f t="shared" si="14"/>
        <v>-13207.81</v>
      </c>
      <c r="E128" s="35">
        <v>0</v>
      </c>
      <c r="F128" s="35"/>
      <c r="G128" s="36">
        <f t="shared" ref="G128:G164" si="17">D128+E128+F128</f>
        <v>-13207.81</v>
      </c>
      <c r="H128" s="41"/>
      <c r="I128" s="69">
        <f t="shared" si="15"/>
        <v>1616.1599999999999</v>
      </c>
      <c r="J128" s="35">
        <v>331.57</v>
      </c>
      <c r="K128" s="35"/>
      <c r="L128" s="36">
        <f t="shared" ref="L128:L164" si="18">I128+J128+K128</f>
        <v>1947.7299999999998</v>
      </c>
      <c r="M128" s="38">
        <f t="shared" si="16"/>
        <v>-11260.08</v>
      </c>
      <c r="Q128" s="39" t="s">
        <v>174</v>
      </c>
    </row>
    <row r="129" spans="1:17" ht="15">
      <c r="A129" s="40">
        <v>51</v>
      </c>
      <c r="B129" s="40">
        <v>499</v>
      </c>
      <c r="C129" s="43" t="s">
        <v>353</v>
      </c>
      <c r="D129" s="68">
        <f t="shared" si="14"/>
        <v>-269288.23</v>
      </c>
      <c r="E129" s="35">
        <v>-23070</v>
      </c>
      <c r="F129" s="35"/>
      <c r="G129" s="36">
        <f t="shared" si="17"/>
        <v>-292358.23</v>
      </c>
      <c r="H129" s="41"/>
      <c r="I129" s="69">
        <f t="shared" si="15"/>
        <v>12886.86</v>
      </c>
      <c r="J129" s="35">
        <v>7049.91</v>
      </c>
      <c r="K129" s="35"/>
      <c r="L129" s="36">
        <f t="shared" si="18"/>
        <v>19936.77</v>
      </c>
      <c r="M129" s="38">
        <f t="shared" si="16"/>
        <v>-272421.45999999996</v>
      </c>
      <c r="Q129" s="39" t="s">
        <v>175</v>
      </c>
    </row>
    <row r="130" spans="1:17" ht="15">
      <c r="A130" s="40"/>
      <c r="B130" s="40">
        <v>401</v>
      </c>
      <c r="C130" s="43" t="s">
        <v>354</v>
      </c>
      <c r="D130" s="68">
        <f t="shared" si="14"/>
        <v>770398.77999999991</v>
      </c>
      <c r="E130" s="35">
        <v>0</v>
      </c>
      <c r="F130" s="35"/>
      <c r="G130" s="36">
        <f t="shared" si="17"/>
        <v>770398.77999999991</v>
      </c>
      <c r="H130" s="41"/>
      <c r="I130" s="69">
        <f t="shared" si="15"/>
        <v>-444127.01</v>
      </c>
      <c r="J130" s="35">
        <v>-31618.75</v>
      </c>
      <c r="K130" s="35"/>
      <c r="L130" s="36">
        <f t="shared" si="18"/>
        <v>-475745.76</v>
      </c>
      <c r="M130" s="38">
        <f t="shared" si="16"/>
        <v>294653.0199999999</v>
      </c>
      <c r="Q130" s="39" t="s">
        <v>176</v>
      </c>
    </row>
    <row r="131" spans="1:17" ht="15">
      <c r="A131" s="40"/>
      <c r="B131" s="40">
        <v>483</v>
      </c>
      <c r="C131" s="34" t="s">
        <v>260</v>
      </c>
      <c r="D131" s="68">
        <f t="shared" si="14"/>
        <v>200719.96</v>
      </c>
      <c r="E131" s="35">
        <v>0</v>
      </c>
      <c r="F131" s="35"/>
      <c r="G131" s="36">
        <f t="shared" si="17"/>
        <v>200719.96</v>
      </c>
      <c r="H131" s="41"/>
      <c r="I131" s="69">
        <f t="shared" si="15"/>
        <v>-107510.71999999999</v>
      </c>
      <c r="J131" s="35">
        <v>-7627.62</v>
      </c>
      <c r="K131" s="35"/>
      <c r="L131" s="36">
        <f t="shared" si="18"/>
        <v>-115138.33999999998</v>
      </c>
      <c r="M131" s="38">
        <f t="shared" si="16"/>
        <v>85581.62000000001</v>
      </c>
      <c r="Q131" s="39" t="s">
        <v>177</v>
      </c>
    </row>
    <row r="132" spans="1:17" ht="15">
      <c r="A132" s="40"/>
      <c r="B132" s="40">
        <v>480</v>
      </c>
      <c r="C132" s="43" t="s">
        <v>44</v>
      </c>
      <c r="D132" s="68">
        <f t="shared" si="14"/>
        <v>82653.239999999991</v>
      </c>
      <c r="E132" s="35">
        <v>0</v>
      </c>
      <c r="F132" s="35"/>
      <c r="G132" s="36">
        <f t="shared" si="17"/>
        <v>82653.239999999991</v>
      </c>
      <c r="H132" s="41"/>
      <c r="I132" s="69">
        <f t="shared" si="15"/>
        <v>0</v>
      </c>
      <c r="J132" s="35">
        <v>0</v>
      </c>
      <c r="K132" s="35"/>
      <c r="L132" s="36">
        <f t="shared" si="18"/>
        <v>0</v>
      </c>
      <c r="M132" s="38">
        <f t="shared" si="16"/>
        <v>82653.239999999991</v>
      </c>
      <c r="Q132" s="39" t="s">
        <v>178</v>
      </c>
    </row>
    <row r="133" spans="1:17" ht="15">
      <c r="A133" s="40">
        <v>51</v>
      </c>
      <c r="B133" s="40">
        <v>475</v>
      </c>
      <c r="C133" s="43" t="s">
        <v>300</v>
      </c>
      <c r="D133" s="68">
        <f t="shared" si="14"/>
        <v>0</v>
      </c>
      <c r="E133" s="35">
        <v>0</v>
      </c>
      <c r="F133" s="35"/>
      <c r="G133" s="36">
        <f t="shared" si="17"/>
        <v>0</v>
      </c>
      <c r="H133" s="41"/>
      <c r="I133" s="69">
        <f t="shared" si="15"/>
        <v>0</v>
      </c>
      <c r="J133" s="35">
        <v>0</v>
      </c>
      <c r="K133" s="35"/>
      <c r="L133" s="36">
        <f t="shared" si="18"/>
        <v>0</v>
      </c>
      <c r="M133" s="38">
        <f t="shared" si="16"/>
        <v>0</v>
      </c>
      <c r="Q133" s="39" t="s">
        <v>179</v>
      </c>
    </row>
    <row r="134" spans="1:17" ht="15">
      <c r="A134" s="40">
        <v>51</v>
      </c>
      <c r="B134" s="40">
        <v>475</v>
      </c>
      <c r="C134" s="43" t="s">
        <v>301</v>
      </c>
      <c r="D134" s="68">
        <f t="shared" si="14"/>
        <v>5982844.1399999997</v>
      </c>
      <c r="E134" s="35">
        <v>248129.81</v>
      </c>
      <c r="F134" s="35"/>
      <c r="G134" s="36">
        <f t="shared" si="17"/>
        <v>6230973.9499999993</v>
      </c>
      <c r="H134" s="41"/>
      <c r="I134" s="69">
        <f t="shared" si="15"/>
        <v>-3098470.9099999997</v>
      </c>
      <c r="J134" s="35">
        <v>-81363.31</v>
      </c>
      <c r="K134" s="35"/>
      <c r="L134" s="36">
        <f t="shared" si="18"/>
        <v>-3179834.2199999997</v>
      </c>
      <c r="M134" s="38">
        <f t="shared" si="16"/>
        <v>3051139.7299999995</v>
      </c>
      <c r="Q134" s="39" t="s">
        <v>180</v>
      </c>
    </row>
    <row r="135" spans="1:17" ht="15">
      <c r="A135" s="40">
        <v>51</v>
      </c>
      <c r="B135" s="40">
        <v>475</v>
      </c>
      <c r="C135" s="43" t="s">
        <v>302</v>
      </c>
      <c r="D135" s="68">
        <f t="shared" si="14"/>
        <v>14600381.879999999</v>
      </c>
      <c r="E135" s="35">
        <v>339461.58999999997</v>
      </c>
      <c r="F135" s="35"/>
      <c r="G135" s="36">
        <f t="shared" si="17"/>
        <v>14939843.469999999</v>
      </c>
      <c r="H135" s="41"/>
      <c r="I135" s="69">
        <f t="shared" si="15"/>
        <v>-6443426.6600000011</v>
      </c>
      <c r="J135" s="35">
        <v>-283681.65999999997</v>
      </c>
      <c r="K135" s="35"/>
      <c r="L135" s="36">
        <f t="shared" si="18"/>
        <v>-6727108.3200000012</v>
      </c>
      <c r="M135" s="38">
        <f t="shared" si="16"/>
        <v>8212735.1499999976</v>
      </c>
      <c r="Q135" s="39" t="s">
        <v>181</v>
      </c>
    </row>
    <row r="136" spans="1:17" ht="15">
      <c r="A136" s="40">
        <v>8</v>
      </c>
      <c r="B136" s="40">
        <v>477</v>
      </c>
      <c r="C136" s="43" t="s">
        <v>299</v>
      </c>
      <c r="D136" s="68">
        <f t="shared" si="14"/>
        <v>1743786.64</v>
      </c>
      <c r="E136" s="35">
        <v>88922.23</v>
      </c>
      <c r="F136" s="35"/>
      <c r="G136" s="36">
        <f t="shared" si="17"/>
        <v>1832708.8699999999</v>
      </c>
      <c r="H136" s="41"/>
      <c r="I136" s="69">
        <f t="shared" si="15"/>
        <v>-951316</v>
      </c>
      <c r="J136" s="35">
        <v>-34521.380000000005</v>
      </c>
      <c r="K136" s="35"/>
      <c r="L136" s="36">
        <f t="shared" si="18"/>
        <v>-985837.38</v>
      </c>
      <c r="M136" s="38">
        <f t="shared" si="16"/>
        <v>846871.48999999987</v>
      </c>
      <c r="Q136" s="39" t="s">
        <v>182</v>
      </c>
    </row>
    <row r="137" spans="1:17" ht="15">
      <c r="A137" s="40">
        <v>8</v>
      </c>
      <c r="B137" s="40">
        <v>477</v>
      </c>
      <c r="C137" s="43" t="s">
        <v>355</v>
      </c>
      <c r="D137" s="68">
        <f t="shared" si="14"/>
        <v>576367.02</v>
      </c>
      <c r="E137" s="35">
        <v>0</v>
      </c>
      <c r="F137" s="35"/>
      <c r="G137" s="36">
        <f t="shared" si="17"/>
        <v>576367.02</v>
      </c>
      <c r="H137" s="41"/>
      <c r="I137" s="69">
        <f t="shared" si="15"/>
        <v>-82629.289999999994</v>
      </c>
      <c r="J137" s="35">
        <v>-21086.59</v>
      </c>
      <c r="K137" s="35"/>
      <c r="L137" s="36">
        <f t="shared" si="18"/>
        <v>-103715.87999999999</v>
      </c>
      <c r="M137" s="38">
        <f t="shared" si="16"/>
        <v>472651.14</v>
      </c>
      <c r="Q137" s="39" t="s">
        <v>183</v>
      </c>
    </row>
    <row r="138" spans="1:17" ht="15">
      <c r="A138" s="40">
        <v>51</v>
      </c>
      <c r="B138" s="40">
        <v>478</v>
      </c>
      <c r="C138" s="43" t="s">
        <v>268</v>
      </c>
      <c r="D138" s="68">
        <f t="shared" si="14"/>
        <v>1838344.32</v>
      </c>
      <c r="E138" s="35">
        <v>82130.48</v>
      </c>
      <c r="F138" s="35"/>
      <c r="G138" s="36">
        <f t="shared" si="17"/>
        <v>1920474.8</v>
      </c>
      <c r="H138" s="41"/>
      <c r="I138" s="69">
        <f t="shared" si="15"/>
        <v>-903318.23</v>
      </c>
      <c r="J138" s="35">
        <v>-74404.22</v>
      </c>
      <c r="K138" s="35"/>
      <c r="L138" s="36">
        <f t="shared" si="18"/>
        <v>-977722.45</v>
      </c>
      <c r="M138" s="38">
        <f t="shared" si="16"/>
        <v>942752.35000000009</v>
      </c>
      <c r="Q138" s="39" t="s">
        <v>184</v>
      </c>
    </row>
    <row r="139" spans="1:17" ht="15">
      <c r="A139" s="40">
        <v>51</v>
      </c>
      <c r="B139" s="40">
        <v>478</v>
      </c>
      <c r="C139" s="43" t="s">
        <v>298</v>
      </c>
      <c r="D139" s="68">
        <f t="shared" si="14"/>
        <v>14139.4</v>
      </c>
      <c r="E139" s="35">
        <v>0</v>
      </c>
      <c r="F139" s="35"/>
      <c r="G139" s="36">
        <f t="shared" si="17"/>
        <v>14139.4</v>
      </c>
      <c r="H139" s="41"/>
      <c r="I139" s="69">
        <f t="shared" si="15"/>
        <v>-14139.400000000001</v>
      </c>
      <c r="J139" s="35">
        <v>0</v>
      </c>
      <c r="K139" s="35"/>
      <c r="L139" s="36">
        <f t="shared" si="18"/>
        <v>-14139.400000000001</v>
      </c>
      <c r="M139" s="38">
        <f t="shared" si="16"/>
        <v>0</v>
      </c>
      <c r="Q139" s="39" t="s">
        <v>185</v>
      </c>
    </row>
    <row r="140" spans="1:17" ht="15">
      <c r="A140" s="40">
        <v>51</v>
      </c>
      <c r="B140" s="40">
        <v>478</v>
      </c>
      <c r="C140" s="42" t="s">
        <v>297</v>
      </c>
      <c r="D140" s="68">
        <f t="shared" si="14"/>
        <v>1823478.77</v>
      </c>
      <c r="E140" s="35">
        <v>341692.99</v>
      </c>
      <c r="F140" s="35"/>
      <c r="G140" s="36">
        <f t="shared" si="17"/>
        <v>2165171.7599999998</v>
      </c>
      <c r="H140" s="41"/>
      <c r="I140" s="69">
        <f t="shared" si="15"/>
        <v>-1174591.3700000001</v>
      </c>
      <c r="J140" s="35">
        <v>-154415.91</v>
      </c>
      <c r="K140" s="35"/>
      <c r="L140" s="36">
        <f t="shared" si="18"/>
        <v>-1329007.28</v>
      </c>
      <c r="M140" s="38">
        <f t="shared" si="16"/>
        <v>836164.47999999975</v>
      </c>
      <c r="Q140" s="39" t="s">
        <v>185</v>
      </c>
    </row>
    <row r="141" spans="1:17" ht="15">
      <c r="A141" s="40">
        <v>8</v>
      </c>
      <c r="B141" s="40">
        <v>474</v>
      </c>
      <c r="C141" s="42" t="s">
        <v>270</v>
      </c>
      <c r="D141" s="68">
        <f t="shared" si="14"/>
        <v>666424.12</v>
      </c>
      <c r="E141" s="35">
        <v>72839.22</v>
      </c>
      <c r="F141" s="35"/>
      <c r="G141" s="36">
        <f t="shared" si="17"/>
        <v>739263.34</v>
      </c>
      <c r="H141" s="41"/>
      <c r="I141" s="69">
        <f t="shared" si="15"/>
        <v>-407725.19999999995</v>
      </c>
      <c r="J141" s="35">
        <v>-17912.47</v>
      </c>
      <c r="K141" s="35"/>
      <c r="L141" s="36">
        <f t="shared" si="18"/>
        <v>-425637.66999999993</v>
      </c>
      <c r="M141" s="38">
        <f t="shared" si="16"/>
        <v>313625.67000000004</v>
      </c>
      <c r="Q141" s="39" t="s">
        <v>186</v>
      </c>
    </row>
    <row r="142" spans="1:17" ht="15">
      <c r="A142" s="40">
        <v>51</v>
      </c>
      <c r="B142" s="40">
        <v>473</v>
      </c>
      <c r="C142" s="43" t="s">
        <v>303</v>
      </c>
      <c r="D142" s="68">
        <f t="shared" si="14"/>
        <v>5402436.3900000006</v>
      </c>
      <c r="E142" s="35">
        <v>473314.64</v>
      </c>
      <c r="F142" s="35"/>
      <c r="G142" s="36">
        <f t="shared" si="17"/>
        <v>5875751.0300000003</v>
      </c>
      <c r="H142" s="41"/>
      <c r="I142" s="69">
        <f t="shared" si="15"/>
        <v>-2982640.42</v>
      </c>
      <c r="J142" s="35">
        <v>-75198.47</v>
      </c>
      <c r="K142" s="35"/>
      <c r="L142" s="36">
        <f t="shared" si="18"/>
        <v>-3057838.89</v>
      </c>
      <c r="M142" s="38">
        <f t="shared" si="16"/>
        <v>2817912.14</v>
      </c>
      <c r="Q142" s="39" t="s">
        <v>187</v>
      </c>
    </row>
    <row r="143" spans="1:17" ht="15">
      <c r="A143" s="40">
        <v>12</v>
      </c>
      <c r="B143" s="40">
        <v>491</v>
      </c>
      <c r="C143" s="43" t="s">
        <v>262</v>
      </c>
      <c r="D143" s="68">
        <f t="shared" si="14"/>
        <v>655035.85</v>
      </c>
      <c r="E143" s="35">
        <v>55763.06</v>
      </c>
      <c r="F143" s="35"/>
      <c r="G143" s="36">
        <f t="shared" si="17"/>
        <v>710798.90999999992</v>
      </c>
      <c r="H143" s="41"/>
      <c r="I143" s="69">
        <f t="shared" si="15"/>
        <v>-465638.34</v>
      </c>
      <c r="J143" s="35">
        <v>-35973.269999999997</v>
      </c>
      <c r="K143" s="35"/>
      <c r="L143" s="36">
        <f t="shared" si="18"/>
        <v>-501611.61000000004</v>
      </c>
      <c r="M143" s="38">
        <f t="shared" si="16"/>
        <v>209187.29999999987</v>
      </c>
      <c r="Q143" s="39" t="s">
        <v>188</v>
      </c>
    </row>
    <row r="144" spans="1:17" ht="15">
      <c r="A144" s="40">
        <v>1</v>
      </c>
      <c r="B144" s="40">
        <v>482</v>
      </c>
      <c r="C144" s="43" t="s">
        <v>304</v>
      </c>
      <c r="D144" s="68">
        <f t="shared" si="14"/>
        <v>699632.78</v>
      </c>
      <c r="E144" s="35">
        <v>0</v>
      </c>
      <c r="F144" s="35"/>
      <c r="G144" s="36">
        <f t="shared" si="17"/>
        <v>699632.78</v>
      </c>
      <c r="H144" s="41"/>
      <c r="I144" s="69">
        <f t="shared" si="15"/>
        <v>-316742.74000000005</v>
      </c>
      <c r="J144" s="35">
        <v>-11304.21</v>
      </c>
      <c r="K144" s="35"/>
      <c r="L144" s="36">
        <f t="shared" si="18"/>
        <v>-328046.95000000007</v>
      </c>
      <c r="M144" s="38">
        <f t="shared" si="16"/>
        <v>371585.82999999996</v>
      </c>
      <c r="Q144" s="39" t="s">
        <v>189</v>
      </c>
    </row>
    <row r="145" spans="1:17" ht="15">
      <c r="A145" s="40">
        <v>8</v>
      </c>
      <c r="B145" s="40">
        <v>486</v>
      </c>
      <c r="C145" s="43" t="s">
        <v>263</v>
      </c>
      <c r="D145" s="68">
        <f t="shared" si="14"/>
        <v>770613.72000000009</v>
      </c>
      <c r="E145" s="35">
        <v>70392.42</v>
      </c>
      <c r="F145" s="35"/>
      <c r="G145" s="36">
        <f t="shared" si="17"/>
        <v>841006.14000000013</v>
      </c>
      <c r="H145" s="41"/>
      <c r="I145" s="69">
        <f t="shared" si="15"/>
        <v>-602502.87</v>
      </c>
      <c r="J145" s="35">
        <v>-20364.849999999999</v>
      </c>
      <c r="K145" s="35"/>
      <c r="L145" s="36">
        <f t="shared" si="18"/>
        <v>-622867.72</v>
      </c>
      <c r="M145" s="38">
        <f t="shared" si="16"/>
        <v>218138.42000000016</v>
      </c>
      <c r="Q145" s="39" t="s">
        <v>189</v>
      </c>
    </row>
    <row r="146" spans="1:17" ht="15">
      <c r="A146" s="40">
        <v>10</v>
      </c>
      <c r="B146" s="40">
        <v>485</v>
      </c>
      <c r="C146" s="43" t="s">
        <v>306</v>
      </c>
      <c r="D146" s="68">
        <f t="shared" si="14"/>
        <v>33032.959999999999</v>
      </c>
      <c r="E146" s="35">
        <v>0</v>
      </c>
      <c r="F146" s="35"/>
      <c r="G146" s="36">
        <f t="shared" si="17"/>
        <v>33032.959999999999</v>
      </c>
      <c r="H146" s="41"/>
      <c r="I146" s="69">
        <f t="shared" si="15"/>
        <v>-7335.34</v>
      </c>
      <c r="J146" s="35">
        <v>-2291.3000000000002</v>
      </c>
      <c r="K146" s="35"/>
      <c r="L146" s="36">
        <f t="shared" si="18"/>
        <v>-9626.64</v>
      </c>
      <c r="M146" s="38">
        <f t="shared" si="16"/>
        <v>23406.32</v>
      </c>
      <c r="Q146" s="39" t="s">
        <v>190</v>
      </c>
    </row>
    <row r="147" spans="1:17" ht="15">
      <c r="A147" s="40">
        <v>10</v>
      </c>
      <c r="B147" s="44">
        <v>484</v>
      </c>
      <c r="C147" s="34" t="s">
        <v>305</v>
      </c>
      <c r="D147" s="68">
        <f t="shared" si="14"/>
        <v>516029.26999999996</v>
      </c>
      <c r="E147" s="35">
        <v>180865.55</v>
      </c>
      <c r="F147" s="35"/>
      <c r="G147" s="36">
        <f t="shared" si="17"/>
        <v>696894.82</v>
      </c>
      <c r="H147" s="41"/>
      <c r="I147" s="69">
        <f t="shared" si="15"/>
        <v>-321556.88</v>
      </c>
      <c r="J147" s="35">
        <v>-61807.390000000007</v>
      </c>
      <c r="K147" s="35"/>
      <c r="L147" s="36">
        <f t="shared" si="18"/>
        <v>-383364.27</v>
      </c>
      <c r="M147" s="38">
        <f t="shared" si="16"/>
        <v>313530.54999999993</v>
      </c>
      <c r="Q147" s="39" t="s">
        <v>190</v>
      </c>
    </row>
    <row r="148" spans="1:17" ht="15" hidden="1">
      <c r="A148" s="40"/>
      <c r="B148" s="44"/>
      <c r="C148" s="34"/>
      <c r="D148" s="68">
        <f t="shared" si="14"/>
        <v>0</v>
      </c>
      <c r="E148" s="35"/>
      <c r="F148" s="35"/>
      <c r="G148" s="36">
        <f t="shared" si="17"/>
        <v>0</v>
      </c>
      <c r="H148" s="41"/>
      <c r="I148" s="69">
        <f t="shared" si="15"/>
        <v>0</v>
      </c>
      <c r="J148" s="35"/>
      <c r="K148" s="35"/>
      <c r="L148" s="36">
        <f t="shared" si="18"/>
        <v>0</v>
      </c>
      <c r="M148" s="38">
        <f t="shared" si="16"/>
        <v>0</v>
      </c>
      <c r="Q148" s="39" t="s">
        <v>190</v>
      </c>
    </row>
    <row r="149" spans="1:17" ht="15" hidden="1">
      <c r="A149" s="40"/>
      <c r="B149" s="33"/>
      <c r="C149" s="43"/>
      <c r="D149" s="68">
        <f t="shared" si="14"/>
        <v>0</v>
      </c>
      <c r="E149" s="35"/>
      <c r="F149" s="35"/>
      <c r="G149" s="36">
        <f t="shared" si="17"/>
        <v>0</v>
      </c>
      <c r="H149" s="41"/>
      <c r="I149" s="69">
        <f t="shared" si="15"/>
        <v>0</v>
      </c>
      <c r="J149" s="35"/>
      <c r="K149" s="35"/>
      <c r="L149" s="36">
        <f t="shared" si="18"/>
        <v>0</v>
      </c>
      <c r="M149" s="38">
        <f t="shared" si="16"/>
        <v>0</v>
      </c>
      <c r="Q149" s="39" t="s">
        <v>191</v>
      </c>
    </row>
    <row r="150" spans="1:17" ht="15" hidden="1">
      <c r="A150" s="40"/>
      <c r="B150" s="33"/>
      <c r="C150" s="43"/>
      <c r="D150" s="68">
        <f t="shared" si="14"/>
        <v>0</v>
      </c>
      <c r="E150" s="35"/>
      <c r="F150" s="35"/>
      <c r="G150" s="36">
        <f t="shared" si="17"/>
        <v>0</v>
      </c>
      <c r="H150" s="41"/>
      <c r="I150" s="69">
        <f t="shared" si="15"/>
        <v>0</v>
      </c>
      <c r="J150" s="35"/>
      <c r="K150" s="35"/>
      <c r="L150" s="36">
        <f t="shared" si="18"/>
        <v>0</v>
      </c>
      <c r="M150" s="38">
        <f t="shared" si="16"/>
        <v>0</v>
      </c>
      <c r="Q150" s="39" t="s">
        <v>192</v>
      </c>
    </row>
    <row r="151" spans="1:17" ht="15" hidden="1">
      <c r="A151" s="40"/>
      <c r="B151" s="33"/>
      <c r="C151" s="43"/>
      <c r="D151" s="68">
        <f t="shared" si="14"/>
        <v>0</v>
      </c>
      <c r="E151" s="35"/>
      <c r="F151" s="35"/>
      <c r="G151" s="36">
        <f t="shared" si="17"/>
        <v>0</v>
      </c>
      <c r="H151" s="41"/>
      <c r="I151" s="69">
        <f t="shared" si="15"/>
        <v>0</v>
      </c>
      <c r="J151" s="35"/>
      <c r="K151" s="35"/>
      <c r="L151" s="36">
        <f t="shared" si="18"/>
        <v>0</v>
      </c>
      <c r="M151" s="38">
        <f t="shared" si="16"/>
        <v>0</v>
      </c>
      <c r="Q151" s="39" t="s">
        <v>193</v>
      </c>
    </row>
    <row r="152" spans="1:17" ht="15" hidden="1">
      <c r="A152" s="40"/>
      <c r="B152" s="33"/>
      <c r="C152" s="43"/>
      <c r="D152" s="68">
        <f t="shared" si="14"/>
        <v>0</v>
      </c>
      <c r="E152" s="35"/>
      <c r="F152" s="35"/>
      <c r="G152" s="36">
        <f t="shared" si="17"/>
        <v>0</v>
      </c>
      <c r="H152" s="41"/>
      <c r="I152" s="69">
        <f t="shared" si="15"/>
        <v>0</v>
      </c>
      <c r="J152" s="35"/>
      <c r="K152" s="35"/>
      <c r="L152" s="36">
        <f t="shared" si="18"/>
        <v>0</v>
      </c>
      <c r="M152" s="38">
        <f t="shared" si="16"/>
        <v>0</v>
      </c>
      <c r="Q152" s="39" t="s">
        <v>194</v>
      </c>
    </row>
    <row r="153" spans="1:17" ht="15" hidden="1">
      <c r="A153" s="40"/>
      <c r="B153" s="33"/>
      <c r="C153" s="43"/>
      <c r="D153" s="68">
        <f t="shared" si="14"/>
        <v>0</v>
      </c>
      <c r="E153" s="35"/>
      <c r="F153" s="35"/>
      <c r="G153" s="36">
        <f t="shared" si="17"/>
        <v>0</v>
      </c>
      <c r="H153" s="41"/>
      <c r="I153" s="69">
        <f t="shared" si="15"/>
        <v>0</v>
      </c>
      <c r="J153" s="35"/>
      <c r="K153" s="35"/>
      <c r="L153" s="36">
        <f t="shared" si="18"/>
        <v>0</v>
      </c>
      <c r="M153" s="38">
        <f t="shared" si="16"/>
        <v>0</v>
      </c>
      <c r="Q153" s="39" t="s">
        <v>195</v>
      </c>
    </row>
    <row r="154" spans="1:17" ht="15" hidden="1">
      <c r="A154" s="40"/>
      <c r="B154" s="33"/>
      <c r="C154" s="43"/>
      <c r="D154" s="68">
        <f t="shared" si="14"/>
        <v>0</v>
      </c>
      <c r="E154" s="35"/>
      <c r="F154" s="35"/>
      <c r="G154" s="36">
        <f t="shared" si="17"/>
        <v>0</v>
      </c>
      <c r="H154" s="41"/>
      <c r="I154" s="69">
        <f t="shared" si="15"/>
        <v>0</v>
      </c>
      <c r="J154" s="35"/>
      <c r="K154" s="35"/>
      <c r="L154" s="36">
        <f t="shared" si="18"/>
        <v>0</v>
      </c>
      <c r="M154" s="38">
        <f t="shared" si="16"/>
        <v>0</v>
      </c>
      <c r="Q154" s="39" t="s">
        <v>196</v>
      </c>
    </row>
    <row r="155" spans="1:17" ht="15" hidden="1">
      <c r="A155" s="44"/>
      <c r="B155" s="44"/>
      <c r="C155" s="46"/>
      <c r="D155" s="68">
        <f t="shared" si="14"/>
        <v>0</v>
      </c>
      <c r="E155" s="35"/>
      <c r="F155" s="35"/>
      <c r="G155" s="36">
        <f t="shared" si="17"/>
        <v>0</v>
      </c>
      <c r="H155" s="41"/>
      <c r="I155" s="69">
        <f t="shared" si="15"/>
        <v>0</v>
      </c>
      <c r="J155" s="35"/>
      <c r="K155" s="35"/>
      <c r="L155" s="36">
        <f t="shared" si="18"/>
        <v>0</v>
      </c>
      <c r="M155" s="38">
        <f t="shared" si="16"/>
        <v>0</v>
      </c>
      <c r="Q155" s="39" t="s">
        <v>196</v>
      </c>
    </row>
    <row r="156" spans="1:17" ht="15" hidden="1">
      <c r="A156" s="44"/>
      <c r="B156" s="47"/>
      <c r="C156" s="34"/>
      <c r="D156" s="68">
        <f t="shared" si="14"/>
        <v>0</v>
      </c>
      <c r="E156" s="35"/>
      <c r="F156" s="35"/>
      <c r="G156" s="36">
        <f t="shared" si="17"/>
        <v>0</v>
      </c>
      <c r="H156" s="41"/>
      <c r="I156" s="69">
        <f t="shared" si="15"/>
        <v>0</v>
      </c>
      <c r="J156" s="35"/>
      <c r="K156" s="35"/>
      <c r="L156" s="36">
        <f t="shared" si="18"/>
        <v>0</v>
      </c>
      <c r="M156" s="38">
        <f t="shared" si="16"/>
        <v>0</v>
      </c>
      <c r="Q156" s="39" t="s">
        <v>197</v>
      </c>
    </row>
    <row r="157" spans="1:17" ht="15" hidden="1">
      <c r="A157" s="48"/>
      <c r="B157" s="47"/>
      <c r="C157" s="43"/>
      <c r="D157" s="68">
        <f t="shared" si="14"/>
        <v>0</v>
      </c>
      <c r="E157" s="35"/>
      <c r="F157" s="35"/>
      <c r="G157" s="36">
        <f t="shared" si="17"/>
        <v>0</v>
      </c>
      <c r="H157" s="41"/>
      <c r="I157" s="69">
        <f t="shared" si="15"/>
        <v>0</v>
      </c>
      <c r="J157" s="35"/>
      <c r="K157" s="35"/>
      <c r="L157" s="36">
        <f t="shared" si="18"/>
        <v>0</v>
      </c>
      <c r="M157" s="38">
        <f t="shared" si="16"/>
        <v>0</v>
      </c>
      <c r="Q157" s="39" t="s">
        <v>198</v>
      </c>
    </row>
    <row r="158" spans="1:17" ht="15" hidden="1">
      <c r="A158" s="40"/>
      <c r="B158" s="33"/>
      <c r="C158" s="43"/>
      <c r="D158" s="68">
        <f t="shared" si="14"/>
        <v>0</v>
      </c>
      <c r="E158" s="35"/>
      <c r="F158" s="35"/>
      <c r="G158" s="36">
        <f t="shared" si="17"/>
        <v>0</v>
      </c>
      <c r="H158" s="41"/>
      <c r="I158" s="69">
        <f t="shared" si="15"/>
        <v>0</v>
      </c>
      <c r="J158" s="35"/>
      <c r="K158" s="35"/>
      <c r="L158" s="36">
        <f t="shared" si="18"/>
        <v>0</v>
      </c>
      <c r="M158" s="38">
        <f t="shared" si="16"/>
        <v>0</v>
      </c>
      <c r="Q158" s="39" t="s">
        <v>199</v>
      </c>
    </row>
    <row r="159" spans="1:17" ht="15" hidden="1">
      <c r="A159" s="40"/>
      <c r="B159" s="33"/>
      <c r="C159" s="43"/>
      <c r="D159" s="68">
        <f t="shared" si="14"/>
        <v>0</v>
      </c>
      <c r="E159" s="35"/>
      <c r="F159" s="35"/>
      <c r="G159" s="36">
        <f t="shared" si="17"/>
        <v>0</v>
      </c>
      <c r="H159" s="41"/>
      <c r="I159" s="69">
        <f t="shared" si="15"/>
        <v>0</v>
      </c>
      <c r="J159" s="35"/>
      <c r="K159" s="35"/>
      <c r="L159" s="36">
        <f t="shared" si="18"/>
        <v>0</v>
      </c>
      <c r="M159" s="38">
        <f t="shared" si="16"/>
        <v>0</v>
      </c>
      <c r="Q159" s="39" t="s">
        <v>200</v>
      </c>
    </row>
    <row r="160" spans="1:17" ht="15" hidden="1">
      <c r="A160" s="40"/>
      <c r="B160" s="33"/>
      <c r="C160" s="43"/>
      <c r="D160" s="68">
        <f t="shared" si="14"/>
        <v>0</v>
      </c>
      <c r="E160" s="35"/>
      <c r="F160" s="35"/>
      <c r="G160" s="36">
        <f t="shared" si="17"/>
        <v>0</v>
      </c>
      <c r="H160" s="41"/>
      <c r="I160" s="69">
        <f t="shared" si="15"/>
        <v>0</v>
      </c>
      <c r="J160" s="35"/>
      <c r="K160" s="35"/>
      <c r="L160" s="36">
        <f t="shared" si="18"/>
        <v>0</v>
      </c>
      <c r="M160" s="38">
        <f t="shared" si="16"/>
        <v>0</v>
      </c>
      <c r="Q160" s="39" t="s">
        <v>201</v>
      </c>
    </row>
    <row r="161" spans="1:17" ht="15" hidden="1">
      <c r="A161" s="48"/>
      <c r="B161" s="33"/>
      <c r="C161" s="49"/>
      <c r="D161" s="68">
        <f t="shared" si="14"/>
        <v>0</v>
      </c>
      <c r="E161" s="35"/>
      <c r="F161" s="35"/>
      <c r="G161" s="36">
        <f t="shared" si="17"/>
        <v>0</v>
      </c>
      <c r="H161" s="41"/>
      <c r="I161" s="69">
        <f t="shared" si="15"/>
        <v>0</v>
      </c>
      <c r="J161" s="35"/>
      <c r="K161" s="35"/>
      <c r="L161" s="36">
        <f t="shared" si="18"/>
        <v>0</v>
      </c>
      <c r="M161" s="38">
        <f t="shared" si="16"/>
        <v>0</v>
      </c>
      <c r="Q161" s="39" t="s">
        <v>202</v>
      </c>
    </row>
    <row r="162" spans="1:17" ht="15" hidden="1">
      <c r="A162" s="40"/>
      <c r="B162" s="33"/>
      <c r="C162" s="43"/>
      <c r="D162" s="68">
        <f t="shared" si="14"/>
        <v>0</v>
      </c>
      <c r="E162" s="35"/>
      <c r="F162" s="35"/>
      <c r="G162" s="36">
        <f t="shared" si="17"/>
        <v>0</v>
      </c>
      <c r="H162" s="41"/>
      <c r="I162" s="69">
        <f t="shared" si="15"/>
        <v>0</v>
      </c>
      <c r="J162" s="35"/>
      <c r="K162" s="35"/>
      <c r="L162" s="36">
        <f t="shared" si="18"/>
        <v>0</v>
      </c>
      <c r="M162" s="38">
        <f t="shared" si="16"/>
        <v>0</v>
      </c>
      <c r="Q162" s="39" t="s">
        <v>203</v>
      </c>
    </row>
    <row r="163" spans="1:17" ht="15" hidden="1">
      <c r="A163" s="40"/>
      <c r="B163" s="33"/>
      <c r="C163" s="43"/>
      <c r="D163" s="68">
        <f t="shared" si="14"/>
        <v>0</v>
      </c>
      <c r="E163" s="35"/>
      <c r="F163" s="35"/>
      <c r="G163" s="36">
        <f t="shared" si="17"/>
        <v>0</v>
      </c>
      <c r="I163" s="69">
        <f t="shared" si="15"/>
        <v>0</v>
      </c>
      <c r="J163" s="35"/>
      <c r="K163" s="35"/>
      <c r="L163" s="36">
        <f t="shared" si="18"/>
        <v>0</v>
      </c>
      <c r="M163" s="38">
        <f t="shared" si="16"/>
        <v>0</v>
      </c>
      <c r="Q163" s="39" t="s">
        <v>204</v>
      </c>
    </row>
    <row r="164" spans="1:17" ht="15" hidden="1">
      <c r="A164" s="50"/>
      <c r="B164" s="50"/>
      <c r="C164" s="51"/>
      <c r="D164" s="68">
        <f t="shared" si="14"/>
        <v>0</v>
      </c>
      <c r="E164" s="52"/>
      <c r="F164" s="52"/>
      <c r="G164" s="36">
        <f t="shared" si="17"/>
        <v>0</v>
      </c>
      <c r="I164" s="69">
        <f t="shared" si="15"/>
        <v>0</v>
      </c>
      <c r="J164" s="52"/>
      <c r="K164" s="52"/>
      <c r="L164" s="36">
        <f t="shared" si="18"/>
        <v>0</v>
      </c>
      <c r="M164" s="38">
        <f t="shared" si="16"/>
        <v>0</v>
      </c>
      <c r="Q164" s="39" t="s">
        <v>205</v>
      </c>
    </row>
    <row r="165" spans="1:17">
      <c r="A165" s="50"/>
      <c r="B165" s="50"/>
      <c r="C165" s="53" t="s">
        <v>2</v>
      </c>
      <c r="D165" s="54">
        <f>SUM(D124:D164)</f>
        <v>36314645.730000004</v>
      </c>
      <c r="E165" s="54">
        <f>SUM(E124:E164)</f>
        <v>1927893.97</v>
      </c>
      <c r="F165" s="54">
        <f>SUM(F124:F164)</f>
        <v>0</v>
      </c>
      <c r="G165" s="54">
        <f>SUM(G124:G164)</f>
        <v>38242539.699999996</v>
      </c>
      <c r="H165" s="55"/>
      <c r="I165" s="54">
        <f>SUM(I124:I164)</f>
        <v>-18894454.209999997</v>
      </c>
      <c r="J165" s="54">
        <f>SUM(J124:J164)</f>
        <v>-936483.88</v>
      </c>
      <c r="K165" s="54">
        <f>SUM(K124:K164)</f>
        <v>0</v>
      </c>
      <c r="L165" s="54">
        <f>SUM(L124:L164)</f>
        <v>-19830938.09</v>
      </c>
      <c r="M165" s="54">
        <f>SUM(M124:M164)</f>
        <v>18411601.609999999</v>
      </c>
    </row>
    <row r="166" spans="1:17" ht="37.5" hidden="1">
      <c r="A166" s="50"/>
      <c r="B166" s="50"/>
      <c r="C166" s="56" t="s">
        <v>80</v>
      </c>
      <c r="D166" s="52"/>
      <c r="E166" s="52"/>
      <c r="F166" s="52"/>
      <c r="G166" s="36">
        <f>D166+E166+F166</f>
        <v>0</v>
      </c>
      <c r="I166" s="52"/>
      <c r="J166" s="52"/>
      <c r="K166" s="52"/>
      <c r="L166" s="36">
        <f>I166+J166+K166</f>
        <v>0</v>
      </c>
      <c r="M166" s="38">
        <f>G166+L166</f>
        <v>0</v>
      </c>
    </row>
    <row r="167" spans="1:17" ht="25.5">
      <c r="A167" s="50"/>
      <c r="B167" s="50"/>
      <c r="C167" s="57" t="s">
        <v>81</v>
      </c>
      <c r="D167" s="52"/>
      <c r="E167" s="52"/>
      <c r="F167" s="52"/>
      <c r="G167" s="36">
        <f>D167+E167+F167</f>
        <v>0</v>
      </c>
      <c r="I167" s="52"/>
      <c r="J167" s="52"/>
      <c r="K167" s="52"/>
      <c r="L167" s="36">
        <f>I167+J167+K167</f>
        <v>0</v>
      </c>
      <c r="M167" s="38">
        <f>G167+L167</f>
        <v>0</v>
      </c>
    </row>
    <row r="168" spans="1:17">
      <c r="A168" s="50"/>
      <c r="B168" s="50"/>
      <c r="C168" s="53" t="s">
        <v>82</v>
      </c>
      <c r="D168" s="54">
        <f>SUM(D165:D167)</f>
        <v>36314645.730000004</v>
      </c>
      <c r="E168" s="54">
        <f>SUM(E165:E167)</f>
        <v>1927893.97</v>
      </c>
      <c r="F168" s="54">
        <f>SUM(F165:F167)</f>
        <v>0</v>
      </c>
      <c r="G168" s="54">
        <f>SUM(G165:G167)</f>
        <v>38242539.699999996</v>
      </c>
      <c r="H168" s="55"/>
      <c r="I168" s="54">
        <f>SUM(I165:I167)</f>
        <v>-18894454.209999997</v>
      </c>
      <c r="J168" s="54">
        <f>SUM(J165:J167)</f>
        <v>-936483.88</v>
      </c>
      <c r="K168" s="54">
        <f>SUM(K165:K167)</f>
        <v>0</v>
      </c>
      <c r="L168" s="54">
        <f>SUM(L165:L167)</f>
        <v>-19830938.09</v>
      </c>
      <c r="M168" s="54">
        <f>SUM(M165:M167)</f>
        <v>18411601.609999999</v>
      </c>
    </row>
    <row r="169" spans="1:17" ht="15">
      <c r="A169" s="50"/>
      <c r="B169" s="50"/>
      <c r="C169" s="58" t="s">
        <v>83</v>
      </c>
      <c r="D169" s="35">
        <v>531098.06999999995</v>
      </c>
      <c r="E169" s="35">
        <v>348566.17000000004</v>
      </c>
      <c r="F169" s="35"/>
      <c r="G169" s="36">
        <f t="shared" ref="G169" si="19">D169+E169+F169</f>
        <v>879664.24</v>
      </c>
      <c r="H169" s="41"/>
      <c r="L169" s="36">
        <f t="shared" ref="L169" si="20">I169+J169+K169</f>
        <v>0</v>
      </c>
      <c r="M169" s="38">
        <f>G169+L169</f>
        <v>879664.24</v>
      </c>
    </row>
    <row r="170" spans="1:17">
      <c r="A170" s="50"/>
      <c r="B170" s="50"/>
      <c r="C170" s="58" t="s">
        <v>84</v>
      </c>
      <c r="D170" s="54">
        <f>SUM(D168:D169)</f>
        <v>36845743.800000004</v>
      </c>
      <c r="E170" s="54">
        <f t="shared" ref="E170:M170" si="21">SUM(E168:E169)</f>
        <v>2276460.14</v>
      </c>
      <c r="F170" s="54">
        <f t="shared" si="21"/>
        <v>0</v>
      </c>
      <c r="G170" s="54">
        <f t="shared" si="21"/>
        <v>39122203.939999998</v>
      </c>
      <c r="H170" s="54">
        <f t="shared" si="21"/>
        <v>0</v>
      </c>
      <c r="I170" s="54">
        <f t="shared" si="21"/>
        <v>-18894454.209999997</v>
      </c>
      <c r="J170" s="54">
        <f t="shared" si="21"/>
        <v>-936483.88</v>
      </c>
      <c r="K170" s="54">
        <f t="shared" si="21"/>
        <v>0</v>
      </c>
      <c r="L170" s="54">
        <f t="shared" si="21"/>
        <v>-19830938.09</v>
      </c>
      <c r="M170" s="54">
        <f t="shared" si="21"/>
        <v>19291265.849999998</v>
      </c>
    </row>
    <row r="171" spans="1:17" ht="15">
      <c r="A171" s="50"/>
      <c r="B171" s="50"/>
      <c r="C171" s="585" t="s">
        <v>85</v>
      </c>
      <c r="D171" s="586"/>
      <c r="E171" s="586"/>
      <c r="F171" s="586"/>
      <c r="G171" s="586"/>
      <c r="H171" s="586"/>
      <c r="I171" s="587"/>
      <c r="J171" s="52"/>
      <c r="K171" s="59"/>
      <c r="L171" s="60"/>
      <c r="M171" s="61"/>
    </row>
    <row r="172" spans="1:17" ht="15">
      <c r="A172" s="50"/>
      <c r="B172" s="50"/>
      <c r="C172" s="585" t="s">
        <v>482</v>
      </c>
      <c r="D172" s="586"/>
      <c r="E172" s="586"/>
      <c r="F172" s="586"/>
      <c r="G172" s="586"/>
      <c r="H172" s="586"/>
      <c r="I172" s="587"/>
      <c r="J172" s="54">
        <f>J170+J171</f>
        <v>-936483.88</v>
      </c>
      <c r="K172" s="59"/>
      <c r="L172" s="60"/>
      <c r="M172" s="61"/>
    </row>
    <row r="173" spans="1:17"/>
    <row r="174" spans="1:17" ht="13.5" thickBot="1"/>
    <row r="175" spans="1:17" ht="15.75" hidden="1" thickBot="1">
      <c r="E175" s="11" t="s">
        <v>25</v>
      </c>
      <c r="F175" s="21" t="str">
        <f>F119</f>
        <v>MIFRS</v>
      </c>
      <c r="H175" s="15"/>
    </row>
    <row r="176" spans="1:17" ht="15.75" thickBot="1">
      <c r="C176" s="19"/>
      <c r="E176" s="11" t="s">
        <v>27</v>
      </c>
      <c r="F176" s="183">
        <f>F120+1</f>
        <v>2023</v>
      </c>
      <c r="G176" s="23"/>
    </row>
    <row r="177" spans="1:17"/>
    <row r="178" spans="1:17">
      <c r="D178" s="581" t="s">
        <v>28</v>
      </c>
      <c r="E178" s="582"/>
      <c r="F178" s="582"/>
      <c r="G178" s="583"/>
      <c r="I178" s="581" t="s">
        <v>483</v>
      </c>
      <c r="J178" s="582"/>
      <c r="K178" s="582"/>
      <c r="L178" s="583"/>
      <c r="M178" s="16"/>
    </row>
    <row r="179" spans="1:17" ht="30" customHeight="1">
      <c r="A179" s="27" t="s">
        <v>30</v>
      </c>
      <c r="B179" s="27" t="s">
        <v>31</v>
      </c>
      <c r="C179" s="28" t="s">
        <v>32</v>
      </c>
      <c r="D179" s="27" t="s">
        <v>33</v>
      </c>
      <c r="E179" s="29" t="s">
        <v>34</v>
      </c>
      <c r="F179" s="29" t="s">
        <v>35</v>
      </c>
      <c r="G179" s="27" t="s">
        <v>36</v>
      </c>
      <c r="H179" s="30"/>
      <c r="I179" s="27" t="s">
        <v>33</v>
      </c>
      <c r="J179" s="31" t="s">
        <v>37</v>
      </c>
      <c r="K179" s="31" t="s">
        <v>35</v>
      </c>
      <c r="L179" s="32" t="s">
        <v>36</v>
      </c>
      <c r="M179" s="27" t="s">
        <v>38</v>
      </c>
    </row>
    <row r="180" spans="1:17" ht="25.5" customHeight="1">
      <c r="A180" s="40">
        <v>50</v>
      </c>
      <c r="B180" s="33">
        <v>488</v>
      </c>
      <c r="C180" s="34" t="s">
        <v>264</v>
      </c>
      <c r="D180" s="68">
        <f t="shared" ref="D180:D220" si="22">G124</f>
        <v>311189.45999999996</v>
      </c>
      <c r="E180" s="35">
        <v>1814</v>
      </c>
      <c r="F180" s="35"/>
      <c r="G180" s="36">
        <f>D180+E180+F180</f>
        <v>313003.45999999996</v>
      </c>
      <c r="H180" s="30"/>
      <c r="I180" s="69">
        <f t="shared" ref="I180:I220" si="23">L124</f>
        <v>-195743.45</v>
      </c>
      <c r="J180" s="35">
        <v>-10911.32</v>
      </c>
      <c r="K180" s="35"/>
      <c r="L180" s="36">
        <f>I180+J180+K180</f>
        <v>-206654.77000000002</v>
      </c>
      <c r="M180" s="38">
        <f t="shared" ref="M180:M220" si="24">G180+L180</f>
        <v>106348.68999999994</v>
      </c>
      <c r="Q180" s="39" t="s">
        <v>170</v>
      </c>
    </row>
    <row r="181" spans="1:17" ht="15">
      <c r="A181" s="40">
        <v>50</v>
      </c>
      <c r="B181" s="33">
        <v>490</v>
      </c>
      <c r="C181" s="34" t="s">
        <v>261</v>
      </c>
      <c r="D181" s="68">
        <f t="shared" si="22"/>
        <v>567270.26</v>
      </c>
      <c r="E181" s="35">
        <v>13830.24</v>
      </c>
      <c r="F181" s="35"/>
      <c r="G181" s="36">
        <f>D181+E181+F181</f>
        <v>581100.5</v>
      </c>
      <c r="H181" s="41"/>
      <c r="I181" s="69">
        <f t="shared" si="23"/>
        <v>-466463.48</v>
      </c>
      <c r="J181" s="35">
        <v>-40071.49</v>
      </c>
      <c r="K181" s="35"/>
      <c r="L181" s="36">
        <f>I181+J181+K181</f>
        <v>-506534.97</v>
      </c>
      <c r="M181" s="38">
        <f t="shared" si="24"/>
        <v>74565.530000000028</v>
      </c>
      <c r="Q181" s="39" t="s">
        <v>171</v>
      </c>
    </row>
    <row r="182" spans="1:17" ht="15">
      <c r="A182" s="40">
        <v>51</v>
      </c>
      <c r="B182" s="33">
        <v>499</v>
      </c>
      <c r="C182" s="34" t="s">
        <v>350</v>
      </c>
      <c r="D182" s="68">
        <f t="shared" si="22"/>
        <v>-376287.94</v>
      </c>
      <c r="E182" s="35">
        <v>0</v>
      </c>
      <c r="F182" s="35"/>
      <c r="G182" s="36">
        <f>D182+E182+F182</f>
        <v>-376287.94</v>
      </c>
      <c r="H182" s="41"/>
      <c r="I182" s="69">
        <f t="shared" si="23"/>
        <v>34107.050000000003</v>
      </c>
      <c r="J182" s="35">
        <v>7642.63</v>
      </c>
      <c r="K182" s="35"/>
      <c r="L182" s="36">
        <f>I182+J182+K182</f>
        <v>41749.68</v>
      </c>
      <c r="M182" s="38">
        <f t="shared" si="24"/>
        <v>-334538.26</v>
      </c>
      <c r="Q182" s="39" t="s">
        <v>172</v>
      </c>
    </row>
    <row r="183" spans="1:17" ht="15">
      <c r="A183" s="40">
        <v>51</v>
      </c>
      <c r="B183" s="40">
        <v>499</v>
      </c>
      <c r="C183" s="42" t="s">
        <v>351</v>
      </c>
      <c r="D183" s="68">
        <f t="shared" si="22"/>
        <v>-283897.27</v>
      </c>
      <c r="E183" s="35">
        <v>-8599.1299999999992</v>
      </c>
      <c r="F183" s="35"/>
      <c r="G183" s="36">
        <f>D183+E183+F183</f>
        <v>-292496.40000000002</v>
      </c>
      <c r="H183" s="41"/>
      <c r="I183" s="69">
        <f t="shared" si="23"/>
        <v>12520.07</v>
      </c>
      <c r="J183" s="35">
        <v>6663.47</v>
      </c>
      <c r="K183" s="35"/>
      <c r="L183" s="36">
        <f>I183+J183+K183</f>
        <v>19183.54</v>
      </c>
      <c r="M183" s="38">
        <f t="shared" si="24"/>
        <v>-273312.86000000004</v>
      </c>
      <c r="Q183" s="39" t="s">
        <v>173</v>
      </c>
    </row>
    <row r="184" spans="1:17" ht="15">
      <c r="A184" s="40">
        <v>51</v>
      </c>
      <c r="B184" s="40">
        <v>499</v>
      </c>
      <c r="C184" s="43" t="s">
        <v>352</v>
      </c>
      <c r="D184" s="68">
        <f t="shared" si="22"/>
        <v>-13207.81</v>
      </c>
      <c r="E184" s="35">
        <v>0</v>
      </c>
      <c r="F184" s="35"/>
      <c r="G184" s="36">
        <f t="shared" ref="G184:G220" si="25">D184+E184+F184</f>
        <v>-13207.81</v>
      </c>
      <c r="H184" s="41"/>
      <c r="I184" s="69">
        <f t="shared" si="23"/>
        <v>1947.7299999999998</v>
      </c>
      <c r="J184" s="35">
        <v>331.57</v>
      </c>
      <c r="K184" s="35"/>
      <c r="L184" s="36">
        <f t="shared" ref="L184:L220" si="26">I184+J184+K184</f>
        <v>2279.2999999999997</v>
      </c>
      <c r="M184" s="38">
        <f t="shared" si="24"/>
        <v>-10928.51</v>
      </c>
      <c r="Q184" s="39" t="s">
        <v>174</v>
      </c>
    </row>
    <row r="185" spans="1:17" ht="15">
      <c r="A185" s="40">
        <v>51</v>
      </c>
      <c r="B185" s="40">
        <v>499</v>
      </c>
      <c r="C185" s="43" t="s">
        <v>353</v>
      </c>
      <c r="D185" s="68">
        <f t="shared" si="22"/>
        <v>-292358.23</v>
      </c>
      <c r="E185" s="35">
        <v>-164671.5</v>
      </c>
      <c r="F185" s="35"/>
      <c r="G185" s="36">
        <f t="shared" si="25"/>
        <v>-457029.73</v>
      </c>
      <c r="H185" s="41"/>
      <c r="I185" s="69">
        <f t="shared" si="23"/>
        <v>19936.77</v>
      </c>
      <c r="J185" s="35">
        <v>9406.49</v>
      </c>
      <c r="K185" s="35"/>
      <c r="L185" s="36">
        <f t="shared" si="26"/>
        <v>29343.260000000002</v>
      </c>
      <c r="M185" s="38">
        <f t="shared" si="24"/>
        <v>-427686.47</v>
      </c>
      <c r="Q185" s="39" t="s">
        <v>175</v>
      </c>
    </row>
    <row r="186" spans="1:17" ht="15">
      <c r="A186" s="40"/>
      <c r="B186" s="40">
        <v>401</v>
      </c>
      <c r="C186" s="43" t="s">
        <v>354</v>
      </c>
      <c r="D186" s="68">
        <f t="shared" si="22"/>
        <v>770398.77999999991</v>
      </c>
      <c r="E186" s="35">
        <v>72267.960000000006</v>
      </c>
      <c r="F186" s="35"/>
      <c r="G186" s="36">
        <f t="shared" si="25"/>
        <v>842666.73999999987</v>
      </c>
      <c r="H186" s="41"/>
      <c r="I186" s="69">
        <f t="shared" si="23"/>
        <v>-475745.76</v>
      </c>
      <c r="J186" s="35">
        <v>-33425.43</v>
      </c>
      <c r="K186" s="35"/>
      <c r="L186" s="36">
        <f t="shared" si="26"/>
        <v>-509171.19</v>
      </c>
      <c r="M186" s="38">
        <f t="shared" si="24"/>
        <v>333495.54999999987</v>
      </c>
      <c r="Q186" s="39" t="s">
        <v>176</v>
      </c>
    </row>
    <row r="187" spans="1:17" ht="15">
      <c r="A187" s="40"/>
      <c r="B187" s="40">
        <v>483</v>
      </c>
      <c r="C187" s="34" t="s">
        <v>260</v>
      </c>
      <c r="D187" s="68">
        <f t="shared" si="22"/>
        <v>200719.96</v>
      </c>
      <c r="E187" s="35">
        <v>0</v>
      </c>
      <c r="F187" s="35"/>
      <c r="G187" s="36">
        <f t="shared" si="25"/>
        <v>200719.96</v>
      </c>
      <c r="H187" s="41"/>
      <c r="I187" s="69">
        <f t="shared" si="23"/>
        <v>-115138.33999999998</v>
      </c>
      <c r="J187" s="35">
        <v>-7627.62</v>
      </c>
      <c r="K187" s="35"/>
      <c r="L187" s="36">
        <f t="shared" si="26"/>
        <v>-122765.95999999998</v>
      </c>
      <c r="M187" s="38">
        <f t="shared" si="24"/>
        <v>77954.000000000015</v>
      </c>
      <c r="Q187" s="39" t="s">
        <v>177</v>
      </c>
    </row>
    <row r="188" spans="1:17" ht="15">
      <c r="A188" s="40"/>
      <c r="B188" s="40">
        <v>480</v>
      </c>
      <c r="C188" s="43" t="s">
        <v>44</v>
      </c>
      <c r="D188" s="68">
        <f t="shared" si="22"/>
        <v>82653.239999999991</v>
      </c>
      <c r="E188" s="35">
        <v>0</v>
      </c>
      <c r="F188" s="35"/>
      <c r="G188" s="36">
        <f t="shared" si="25"/>
        <v>82653.239999999991</v>
      </c>
      <c r="H188" s="41"/>
      <c r="I188" s="69">
        <f t="shared" si="23"/>
        <v>0</v>
      </c>
      <c r="J188" s="35">
        <v>0</v>
      </c>
      <c r="K188" s="35"/>
      <c r="L188" s="36">
        <f t="shared" si="26"/>
        <v>0</v>
      </c>
      <c r="M188" s="38">
        <f t="shared" si="24"/>
        <v>82653.239999999991</v>
      </c>
      <c r="Q188" s="39" t="s">
        <v>178</v>
      </c>
    </row>
    <row r="189" spans="1:17" ht="15">
      <c r="A189" s="40">
        <v>51</v>
      </c>
      <c r="B189" s="40">
        <v>475</v>
      </c>
      <c r="C189" s="43" t="s">
        <v>300</v>
      </c>
      <c r="D189" s="68">
        <f t="shared" si="22"/>
        <v>0</v>
      </c>
      <c r="E189" s="35">
        <v>0</v>
      </c>
      <c r="F189" s="35"/>
      <c r="G189" s="36">
        <f t="shared" si="25"/>
        <v>0</v>
      </c>
      <c r="H189" s="41"/>
      <c r="I189" s="69">
        <f t="shared" si="23"/>
        <v>0</v>
      </c>
      <c r="J189" s="35">
        <v>0</v>
      </c>
      <c r="K189" s="35"/>
      <c r="L189" s="36">
        <f t="shared" si="26"/>
        <v>0</v>
      </c>
      <c r="M189" s="38">
        <f t="shared" si="24"/>
        <v>0</v>
      </c>
      <c r="Q189" s="39" t="s">
        <v>179</v>
      </c>
    </row>
    <row r="190" spans="1:17" ht="15">
      <c r="A190" s="40">
        <v>51</v>
      </c>
      <c r="B190" s="40">
        <v>475</v>
      </c>
      <c r="C190" s="43" t="s">
        <v>301</v>
      </c>
      <c r="D190" s="68">
        <f t="shared" si="22"/>
        <v>6230973.9499999993</v>
      </c>
      <c r="E190" s="35">
        <v>0</v>
      </c>
      <c r="F190" s="35"/>
      <c r="G190" s="36">
        <f t="shared" si="25"/>
        <v>6230973.9499999993</v>
      </c>
      <c r="H190" s="41"/>
      <c r="I190" s="69">
        <f t="shared" si="23"/>
        <v>-3179834.2199999997</v>
      </c>
      <c r="J190" s="35">
        <v>-78663.210000000006</v>
      </c>
      <c r="K190" s="35"/>
      <c r="L190" s="36">
        <f t="shared" si="26"/>
        <v>-3258497.4299999997</v>
      </c>
      <c r="M190" s="38">
        <f t="shared" si="24"/>
        <v>2972476.5199999996</v>
      </c>
      <c r="Q190" s="39" t="s">
        <v>180</v>
      </c>
    </row>
    <row r="191" spans="1:17" ht="15">
      <c r="A191" s="40">
        <v>51</v>
      </c>
      <c r="B191" s="40">
        <v>475</v>
      </c>
      <c r="C191" s="43" t="s">
        <v>302</v>
      </c>
      <c r="D191" s="68">
        <f t="shared" si="22"/>
        <v>14939843.469999999</v>
      </c>
      <c r="E191" s="35">
        <v>1213392.58</v>
      </c>
      <c r="F191" s="35"/>
      <c r="G191" s="36">
        <f t="shared" si="25"/>
        <v>16153236.049999999</v>
      </c>
      <c r="H191" s="41"/>
      <c r="I191" s="69">
        <f t="shared" si="23"/>
        <v>-6727108.3200000012</v>
      </c>
      <c r="J191" s="35">
        <v>-301095.17</v>
      </c>
      <c r="K191" s="35"/>
      <c r="L191" s="36">
        <f t="shared" si="26"/>
        <v>-7028203.4900000012</v>
      </c>
      <c r="M191" s="38">
        <f t="shared" si="24"/>
        <v>9125032.5599999987</v>
      </c>
      <c r="Q191" s="39" t="s">
        <v>181</v>
      </c>
    </row>
    <row r="192" spans="1:17" ht="15">
      <c r="A192" s="40">
        <v>8</v>
      </c>
      <c r="B192" s="40">
        <v>477</v>
      </c>
      <c r="C192" s="43" t="s">
        <v>299</v>
      </c>
      <c r="D192" s="68">
        <f t="shared" si="22"/>
        <v>1832708.8699999999</v>
      </c>
      <c r="E192" s="35">
        <v>266020.13</v>
      </c>
      <c r="F192" s="35"/>
      <c r="G192" s="36">
        <f t="shared" si="25"/>
        <v>2098729</v>
      </c>
      <c r="H192" s="41"/>
      <c r="I192" s="69">
        <f t="shared" si="23"/>
        <v>-985837.38</v>
      </c>
      <c r="J192" s="35">
        <v>-41014.19</v>
      </c>
      <c r="K192" s="35"/>
      <c r="L192" s="36">
        <f t="shared" si="26"/>
        <v>-1026851.5700000001</v>
      </c>
      <c r="M192" s="38">
        <f t="shared" si="24"/>
        <v>1071877.43</v>
      </c>
      <c r="Q192" s="39" t="s">
        <v>182</v>
      </c>
    </row>
    <row r="193" spans="1:17" ht="15">
      <c r="A193" s="40">
        <v>8</v>
      </c>
      <c r="B193" s="40">
        <v>477</v>
      </c>
      <c r="C193" s="43" t="s">
        <v>355</v>
      </c>
      <c r="D193" s="68">
        <f t="shared" si="22"/>
        <v>576367.02</v>
      </c>
      <c r="E193" s="35"/>
      <c r="F193" s="35"/>
      <c r="G193" s="36">
        <f t="shared" si="25"/>
        <v>576367.02</v>
      </c>
      <c r="H193" s="41"/>
      <c r="I193" s="69">
        <f t="shared" si="23"/>
        <v>-103715.87999999999</v>
      </c>
      <c r="J193" s="35">
        <v>-21086.59</v>
      </c>
      <c r="K193" s="35"/>
      <c r="L193" s="36">
        <f t="shared" si="26"/>
        <v>-124802.46999999999</v>
      </c>
      <c r="M193" s="38">
        <f t="shared" si="24"/>
        <v>451564.55000000005</v>
      </c>
      <c r="Q193" s="39" t="s">
        <v>183</v>
      </c>
    </row>
    <row r="194" spans="1:17" ht="15">
      <c r="A194" s="40">
        <v>51</v>
      </c>
      <c r="B194" s="40">
        <v>478</v>
      </c>
      <c r="C194" s="43" t="s">
        <v>268</v>
      </c>
      <c r="D194" s="68">
        <f t="shared" si="22"/>
        <v>1920474.8</v>
      </c>
      <c r="E194" s="35">
        <v>5774.67</v>
      </c>
      <c r="F194" s="35"/>
      <c r="G194" s="36">
        <f t="shared" si="25"/>
        <v>1926249.47</v>
      </c>
      <c r="H194" s="41"/>
      <c r="I194" s="69">
        <f t="shared" si="23"/>
        <v>-977722.45</v>
      </c>
      <c r="J194" s="35">
        <v>-76601.83</v>
      </c>
      <c r="K194" s="35"/>
      <c r="L194" s="36">
        <f t="shared" si="26"/>
        <v>-1054324.28</v>
      </c>
      <c r="M194" s="38">
        <f t="shared" si="24"/>
        <v>871925.19</v>
      </c>
      <c r="Q194" s="39" t="s">
        <v>184</v>
      </c>
    </row>
    <row r="195" spans="1:17" ht="15">
      <c r="A195" s="40">
        <v>51</v>
      </c>
      <c r="B195" s="40">
        <v>478</v>
      </c>
      <c r="C195" s="43" t="s">
        <v>298</v>
      </c>
      <c r="D195" s="68">
        <f t="shared" si="22"/>
        <v>14139.4</v>
      </c>
      <c r="E195" s="35">
        <v>0</v>
      </c>
      <c r="F195" s="35"/>
      <c r="G195" s="36">
        <f t="shared" si="25"/>
        <v>14139.4</v>
      </c>
      <c r="H195" s="41"/>
      <c r="I195" s="69">
        <f t="shared" si="23"/>
        <v>-14139.400000000001</v>
      </c>
      <c r="J195" s="35">
        <v>0</v>
      </c>
      <c r="K195" s="35"/>
      <c r="L195" s="36">
        <f t="shared" si="26"/>
        <v>-14139.400000000001</v>
      </c>
      <c r="M195" s="38">
        <f t="shared" si="24"/>
        <v>0</v>
      </c>
      <c r="Q195" s="39" t="s">
        <v>185</v>
      </c>
    </row>
    <row r="196" spans="1:17" ht="15">
      <c r="A196" s="40">
        <v>51</v>
      </c>
      <c r="B196" s="40">
        <v>478</v>
      </c>
      <c r="C196" s="42" t="s">
        <v>297</v>
      </c>
      <c r="D196" s="68">
        <f t="shared" si="22"/>
        <v>2165171.7599999998</v>
      </c>
      <c r="E196" s="35">
        <v>457941.44</v>
      </c>
      <c r="F196" s="35"/>
      <c r="G196" s="36">
        <f t="shared" si="25"/>
        <v>2623113.1999999997</v>
      </c>
      <c r="H196" s="41"/>
      <c r="I196" s="69">
        <f t="shared" si="23"/>
        <v>-1329007.28</v>
      </c>
      <c r="J196" s="35">
        <v>-176445.31</v>
      </c>
      <c r="K196" s="35"/>
      <c r="L196" s="36">
        <f t="shared" si="26"/>
        <v>-1505452.59</v>
      </c>
      <c r="M196" s="38">
        <f t="shared" si="24"/>
        <v>1117660.6099999996</v>
      </c>
      <c r="Q196" s="39" t="s">
        <v>185</v>
      </c>
    </row>
    <row r="197" spans="1:17" ht="15">
      <c r="A197" s="40">
        <v>8</v>
      </c>
      <c r="B197" s="40">
        <v>474</v>
      </c>
      <c r="C197" s="42" t="s">
        <v>270</v>
      </c>
      <c r="D197" s="68">
        <f t="shared" si="22"/>
        <v>739263.34</v>
      </c>
      <c r="E197" s="35">
        <v>68482.23</v>
      </c>
      <c r="F197" s="35"/>
      <c r="G197" s="36">
        <f t="shared" si="25"/>
        <v>807745.57</v>
      </c>
      <c r="H197" s="41"/>
      <c r="I197" s="69">
        <f t="shared" si="23"/>
        <v>-425637.66999999993</v>
      </c>
      <c r="J197" s="35">
        <v>-21445.5</v>
      </c>
      <c r="K197" s="35"/>
      <c r="L197" s="36">
        <f t="shared" si="26"/>
        <v>-447083.16999999993</v>
      </c>
      <c r="M197" s="38">
        <f t="shared" si="24"/>
        <v>360662.4</v>
      </c>
      <c r="Q197" s="39" t="s">
        <v>186</v>
      </c>
    </row>
    <row r="198" spans="1:17" ht="15">
      <c r="A198" s="40">
        <v>51</v>
      </c>
      <c r="B198" s="40">
        <v>473</v>
      </c>
      <c r="C198" s="43" t="s">
        <v>303</v>
      </c>
      <c r="D198" s="68">
        <f t="shared" si="22"/>
        <v>5875751.0300000003</v>
      </c>
      <c r="E198" s="35">
        <v>739081.28999999992</v>
      </c>
      <c r="F198" s="35"/>
      <c r="G198" s="36">
        <f t="shared" si="25"/>
        <v>6614832.3200000003</v>
      </c>
      <c r="H198" s="41"/>
      <c r="I198" s="69">
        <f t="shared" si="23"/>
        <v>-3057838.89</v>
      </c>
      <c r="J198" s="35">
        <v>-90416.81</v>
      </c>
      <c r="K198" s="35"/>
      <c r="L198" s="36">
        <f t="shared" si="26"/>
        <v>-3148255.7</v>
      </c>
      <c r="M198" s="38">
        <f t="shared" si="24"/>
        <v>3466576.62</v>
      </c>
      <c r="Q198" s="39" t="s">
        <v>187</v>
      </c>
    </row>
    <row r="199" spans="1:17" ht="15">
      <c r="A199" s="40">
        <v>12</v>
      </c>
      <c r="B199" s="40">
        <v>491</v>
      </c>
      <c r="C199" s="43" t="s">
        <v>262</v>
      </c>
      <c r="D199" s="68">
        <f t="shared" si="22"/>
        <v>710798.90999999992</v>
      </c>
      <c r="E199" s="35">
        <v>37487.75</v>
      </c>
      <c r="F199" s="35"/>
      <c r="G199" s="36">
        <f t="shared" si="25"/>
        <v>748286.65999999992</v>
      </c>
      <c r="H199" s="41"/>
      <c r="I199" s="69">
        <f t="shared" si="23"/>
        <v>-501611.61000000004</v>
      </c>
      <c r="J199" s="35">
        <v>-40635.800000000003</v>
      </c>
      <c r="K199" s="35"/>
      <c r="L199" s="36">
        <f t="shared" si="26"/>
        <v>-542247.41</v>
      </c>
      <c r="M199" s="38">
        <f t="shared" si="24"/>
        <v>206039.24999999988</v>
      </c>
      <c r="Q199" s="39" t="s">
        <v>188</v>
      </c>
    </row>
    <row r="200" spans="1:17" ht="15">
      <c r="A200" s="40">
        <v>1</v>
      </c>
      <c r="B200" s="40">
        <v>482</v>
      </c>
      <c r="C200" s="43" t="s">
        <v>304</v>
      </c>
      <c r="D200" s="68">
        <f t="shared" si="22"/>
        <v>699632.78</v>
      </c>
      <c r="E200" s="35">
        <v>82928.740000000005</v>
      </c>
      <c r="F200" s="35"/>
      <c r="G200" s="36">
        <f t="shared" si="25"/>
        <v>782561.52</v>
      </c>
      <c r="H200" s="41"/>
      <c r="I200" s="69">
        <f t="shared" si="23"/>
        <v>-328046.95000000007</v>
      </c>
      <c r="J200" s="35">
        <v>-12100.32</v>
      </c>
      <c r="K200" s="35"/>
      <c r="L200" s="36">
        <f t="shared" si="26"/>
        <v>-340147.27000000008</v>
      </c>
      <c r="M200" s="38">
        <f t="shared" si="24"/>
        <v>442414.24999999994</v>
      </c>
      <c r="Q200" s="39" t="s">
        <v>189</v>
      </c>
    </row>
    <row r="201" spans="1:17" ht="15">
      <c r="A201" s="40">
        <v>8</v>
      </c>
      <c r="B201" s="40">
        <v>486</v>
      </c>
      <c r="C201" s="43" t="s">
        <v>263</v>
      </c>
      <c r="D201" s="68">
        <f t="shared" si="22"/>
        <v>841006.14000000013</v>
      </c>
      <c r="E201" s="35">
        <v>53272.42</v>
      </c>
      <c r="F201" s="35"/>
      <c r="G201" s="36">
        <f t="shared" si="25"/>
        <v>894278.56000000017</v>
      </c>
      <c r="H201" s="41"/>
      <c r="I201" s="69">
        <f t="shared" si="23"/>
        <v>-622867.72</v>
      </c>
      <c r="J201" s="35">
        <v>-24250.05</v>
      </c>
      <c r="K201" s="35"/>
      <c r="L201" s="36">
        <f t="shared" si="26"/>
        <v>-647117.77</v>
      </c>
      <c r="M201" s="38">
        <f t="shared" si="24"/>
        <v>247160.79000000015</v>
      </c>
      <c r="Q201" s="39" t="s">
        <v>189</v>
      </c>
    </row>
    <row r="202" spans="1:17" ht="15">
      <c r="A202" s="40">
        <v>10</v>
      </c>
      <c r="B202" s="40">
        <v>485</v>
      </c>
      <c r="C202" s="43" t="s">
        <v>306</v>
      </c>
      <c r="D202" s="68">
        <f t="shared" si="22"/>
        <v>33032.959999999999</v>
      </c>
      <c r="E202" s="35">
        <v>0</v>
      </c>
      <c r="F202" s="35"/>
      <c r="G202" s="36">
        <f t="shared" si="25"/>
        <v>33032.959999999999</v>
      </c>
      <c r="H202" s="41"/>
      <c r="I202" s="69">
        <f t="shared" si="23"/>
        <v>-9626.64</v>
      </c>
      <c r="J202" s="35">
        <v>-2291.3000000000002</v>
      </c>
      <c r="K202" s="35"/>
      <c r="L202" s="36">
        <f t="shared" si="26"/>
        <v>-11917.939999999999</v>
      </c>
      <c r="M202" s="38">
        <f t="shared" si="24"/>
        <v>21115.02</v>
      </c>
      <c r="Q202" s="39" t="s">
        <v>190</v>
      </c>
    </row>
    <row r="203" spans="1:17" ht="15">
      <c r="A203" s="40">
        <v>10</v>
      </c>
      <c r="B203" s="44">
        <v>484</v>
      </c>
      <c r="C203" s="34" t="s">
        <v>305</v>
      </c>
      <c r="D203" s="68">
        <f t="shared" si="22"/>
        <v>696894.82</v>
      </c>
      <c r="E203" s="35">
        <v>74198.579999999987</v>
      </c>
      <c r="F203" s="35"/>
      <c r="G203" s="36">
        <f t="shared" si="25"/>
        <v>771093.39999999991</v>
      </c>
      <c r="H203" s="41"/>
      <c r="I203" s="69">
        <f t="shared" si="23"/>
        <v>-383364.27</v>
      </c>
      <c r="J203" s="35">
        <v>-74840.47</v>
      </c>
      <c r="K203" s="35"/>
      <c r="L203" s="36">
        <f t="shared" si="26"/>
        <v>-458204.74</v>
      </c>
      <c r="M203" s="38">
        <f t="shared" si="24"/>
        <v>312888.65999999992</v>
      </c>
      <c r="Q203" s="39" t="s">
        <v>190</v>
      </c>
    </row>
    <row r="204" spans="1:17" ht="15" hidden="1">
      <c r="A204" s="40"/>
      <c r="B204" s="44"/>
      <c r="C204" s="34"/>
      <c r="D204" s="68">
        <f t="shared" si="22"/>
        <v>0</v>
      </c>
      <c r="E204" s="35"/>
      <c r="F204" s="35"/>
      <c r="G204" s="36">
        <f t="shared" si="25"/>
        <v>0</v>
      </c>
      <c r="H204" s="41"/>
      <c r="I204" s="69">
        <f t="shared" si="23"/>
        <v>0</v>
      </c>
      <c r="J204" s="35"/>
      <c r="K204" s="35"/>
      <c r="L204" s="36">
        <f t="shared" si="26"/>
        <v>0</v>
      </c>
      <c r="M204" s="38">
        <f t="shared" si="24"/>
        <v>0</v>
      </c>
      <c r="Q204" s="39" t="s">
        <v>190</v>
      </c>
    </row>
    <row r="205" spans="1:17" ht="15" hidden="1">
      <c r="A205" s="40"/>
      <c r="B205" s="33"/>
      <c r="C205" s="43"/>
      <c r="D205" s="68">
        <f t="shared" si="22"/>
        <v>0</v>
      </c>
      <c r="E205" s="35"/>
      <c r="F205" s="35"/>
      <c r="G205" s="36">
        <f t="shared" si="25"/>
        <v>0</v>
      </c>
      <c r="H205" s="41"/>
      <c r="I205" s="69">
        <f t="shared" si="23"/>
        <v>0</v>
      </c>
      <c r="J205" s="35"/>
      <c r="K205" s="35"/>
      <c r="L205" s="36">
        <f t="shared" si="26"/>
        <v>0</v>
      </c>
      <c r="M205" s="38">
        <f t="shared" si="24"/>
        <v>0</v>
      </c>
      <c r="Q205" s="39" t="s">
        <v>191</v>
      </c>
    </row>
    <row r="206" spans="1:17" ht="15" hidden="1">
      <c r="A206" s="40"/>
      <c r="B206" s="33"/>
      <c r="C206" s="43"/>
      <c r="D206" s="68">
        <f t="shared" si="22"/>
        <v>0</v>
      </c>
      <c r="E206" s="35"/>
      <c r="F206" s="35"/>
      <c r="G206" s="36">
        <f t="shared" si="25"/>
        <v>0</v>
      </c>
      <c r="H206" s="41"/>
      <c r="I206" s="69">
        <f t="shared" si="23"/>
        <v>0</v>
      </c>
      <c r="J206" s="35"/>
      <c r="K206" s="35"/>
      <c r="L206" s="36">
        <f t="shared" si="26"/>
        <v>0</v>
      </c>
      <c r="M206" s="38">
        <f t="shared" si="24"/>
        <v>0</v>
      </c>
      <c r="Q206" s="39" t="s">
        <v>192</v>
      </c>
    </row>
    <row r="207" spans="1:17" ht="15" hidden="1">
      <c r="A207" s="40"/>
      <c r="B207" s="33"/>
      <c r="C207" s="43"/>
      <c r="D207" s="68">
        <f t="shared" si="22"/>
        <v>0</v>
      </c>
      <c r="E207" s="35"/>
      <c r="F207" s="35"/>
      <c r="G207" s="36">
        <f t="shared" si="25"/>
        <v>0</v>
      </c>
      <c r="H207" s="41"/>
      <c r="I207" s="69">
        <f t="shared" si="23"/>
        <v>0</v>
      </c>
      <c r="J207" s="35"/>
      <c r="K207" s="35"/>
      <c r="L207" s="36">
        <f t="shared" si="26"/>
        <v>0</v>
      </c>
      <c r="M207" s="38">
        <f t="shared" si="24"/>
        <v>0</v>
      </c>
      <c r="Q207" s="39" t="s">
        <v>193</v>
      </c>
    </row>
    <row r="208" spans="1:17" ht="15" hidden="1">
      <c r="A208" s="40"/>
      <c r="B208" s="33"/>
      <c r="C208" s="43"/>
      <c r="D208" s="68">
        <f t="shared" si="22"/>
        <v>0</v>
      </c>
      <c r="E208" s="35"/>
      <c r="F208" s="35"/>
      <c r="G208" s="36">
        <f t="shared" si="25"/>
        <v>0</v>
      </c>
      <c r="H208" s="41"/>
      <c r="I208" s="69">
        <f t="shared" si="23"/>
        <v>0</v>
      </c>
      <c r="J208" s="35"/>
      <c r="K208" s="35"/>
      <c r="L208" s="36">
        <f t="shared" si="26"/>
        <v>0</v>
      </c>
      <c r="M208" s="38">
        <f t="shared" si="24"/>
        <v>0</v>
      </c>
      <c r="Q208" s="39" t="s">
        <v>194</v>
      </c>
    </row>
    <row r="209" spans="1:17" ht="15" hidden="1">
      <c r="A209" s="40"/>
      <c r="B209" s="33"/>
      <c r="C209" s="43"/>
      <c r="D209" s="68">
        <f t="shared" si="22"/>
        <v>0</v>
      </c>
      <c r="E209" s="35"/>
      <c r="F209" s="35"/>
      <c r="G209" s="36">
        <f t="shared" si="25"/>
        <v>0</v>
      </c>
      <c r="H209" s="41"/>
      <c r="I209" s="69">
        <f t="shared" si="23"/>
        <v>0</v>
      </c>
      <c r="J209" s="35"/>
      <c r="K209" s="35"/>
      <c r="L209" s="36">
        <f t="shared" si="26"/>
        <v>0</v>
      </c>
      <c r="M209" s="38">
        <f t="shared" si="24"/>
        <v>0</v>
      </c>
      <c r="Q209" s="39" t="s">
        <v>195</v>
      </c>
    </row>
    <row r="210" spans="1:17" ht="15" hidden="1">
      <c r="A210" s="40"/>
      <c r="B210" s="33"/>
      <c r="C210" s="43"/>
      <c r="D210" s="68">
        <f t="shared" si="22"/>
        <v>0</v>
      </c>
      <c r="E210" s="35"/>
      <c r="F210" s="35"/>
      <c r="G210" s="36">
        <f t="shared" si="25"/>
        <v>0</v>
      </c>
      <c r="H210" s="41"/>
      <c r="I210" s="69">
        <f t="shared" si="23"/>
        <v>0</v>
      </c>
      <c r="J210" s="35"/>
      <c r="K210" s="35"/>
      <c r="L210" s="36">
        <f t="shared" si="26"/>
        <v>0</v>
      </c>
      <c r="M210" s="38">
        <f t="shared" si="24"/>
        <v>0</v>
      </c>
      <c r="Q210" s="39" t="s">
        <v>196</v>
      </c>
    </row>
    <row r="211" spans="1:17" ht="15" hidden="1">
      <c r="A211" s="44"/>
      <c r="B211" s="44"/>
      <c r="C211" s="46"/>
      <c r="D211" s="68">
        <f t="shared" si="22"/>
        <v>0</v>
      </c>
      <c r="E211" s="35"/>
      <c r="F211" s="35"/>
      <c r="G211" s="36">
        <f t="shared" si="25"/>
        <v>0</v>
      </c>
      <c r="H211" s="41"/>
      <c r="I211" s="69">
        <f t="shared" si="23"/>
        <v>0</v>
      </c>
      <c r="J211" s="35"/>
      <c r="K211" s="35"/>
      <c r="L211" s="36">
        <f t="shared" si="26"/>
        <v>0</v>
      </c>
      <c r="M211" s="38">
        <f t="shared" si="24"/>
        <v>0</v>
      </c>
      <c r="Q211" s="39" t="s">
        <v>196</v>
      </c>
    </row>
    <row r="212" spans="1:17" ht="15" hidden="1">
      <c r="A212" s="44"/>
      <c r="B212" s="47"/>
      <c r="C212" s="34"/>
      <c r="D212" s="68">
        <f t="shared" si="22"/>
        <v>0</v>
      </c>
      <c r="E212" s="35"/>
      <c r="F212" s="35"/>
      <c r="G212" s="36">
        <f t="shared" si="25"/>
        <v>0</v>
      </c>
      <c r="H212" s="41"/>
      <c r="I212" s="69">
        <f t="shared" si="23"/>
        <v>0</v>
      </c>
      <c r="J212" s="35"/>
      <c r="K212" s="35"/>
      <c r="L212" s="36">
        <f t="shared" si="26"/>
        <v>0</v>
      </c>
      <c r="M212" s="38">
        <f t="shared" si="24"/>
        <v>0</v>
      </c>
      <c r="Q212" s="39" t="s">
        <v>197</v>
      </c>
    </row>
    <row r="213" spans="1:17" ht="15" hidden="1">
      <c r="A213" s="48"/>
      <c r="B213" s="47"/>
      <c r="C213" s="43"/>
      <c r="D213" s="68">
        <f t="shared" si="22"/>
        <v>0</v>
      </c>
      <c r="E213" s="35"/>
      <c r="F213" s="35"/>
      <c r="G213" s="36">
        <f t="shared" si="25"/>
        <v>0</v>
      </c>
      <c r="H213" s="41"/>
      <c r="I213" s="69">
        <f t="shared" si="23"/>
        <v>0</v>
      </c>
      <c r="J213" s="35"/>
      <c r="K213" s="35"/>
      <c r="L213" s="36">
        <f t="shared" si="26"/>
        <v>0</v>
      </c>
      <c r="M213" s="38">
        <f t="shared" si="24"/>
        <v>0</v>
      </c>
      <c r="Q213" s="39" t="s">
        <v>198</v>
      </c>
    </row>
    <row r="214" spans="1:17" ht="15" hidden="1">
      <c r="A214" s="40"/>
      <c r="B214" s="33"/>
      <c r="C214" s="43"/>
      <c r="D214" s="68">
        <f t="shared" si="22"/>
        <v>0</v>
      </c>
      <c r="E214" s="35"/>
      <c r="F214" s="35"/>
      <c r="G214" s="36">
        <f t="shared" si="25"/>
        <v>0</v>
      </c>
      <c r="H214" s="41"/>
      <c r="I214" s="69">
        <f t="shared" si="23"/>
        <v>0</v>
      </c>
      <c r="J214" s="35"/>
      <c r="K214" s="35"/>
      <c r="L214" s="36">
        <f t="shared" si="26"/>
        <v>0</v>
      </c>
      <c r="M214" s="38">
        <f t="shared" si="24"/>
        <v>0</v>
      </c>
      <c r="Q214" s="39" t="s">
        <v>199</v>
      </c>
    </row>
    <row r="215" spans="1:17" ht="15" hidden="1">
      <c r="A215" s="40"/>
      <c r="B215" s="33"/>
      <c r="C215" s="43"/>
      <c r="D215" s="68">
        <f t="shared" si="22"/>
        <v>0</v>
      </c>
      <c r="E215" s="35"/>
      <c r="F215" s="35"/>
      <c r="G215" s="36">
        <f t="shared" si="25"/>
        <v>0</v>
      </c>
      <c r="H215" s="41"/>
      <c r="I215" s="69">
        <f t="shared" si="23"/>
        <v>0</v>
      </c>
      <c r="J215" s="35"/>
      <c r="K215" s="35"/>
      <c r="L215" s="36">
        <f t="shared" si="26"/>
        <v>0</v>
      </c>
      <c r="M215" s="38">
        <f t="shared" si="24"/>
        <v>0</v>
      </c>
      <c r="Q215" s="39" t="s">
        <v>200</v>
      </c>
    </row>
    <row r="216" spans="1:17" ht="15" hidden="1">
      <c r="A216" s="40"/>
      <c r="B216" s="33"/>
      <c r="C216" s="43"/>
      <c r="D216" s="68">
        <f t="shared" si="22"/>
        <v>0</v>
      </c>
      <c r="E216" s="35"/>
      <c r="F216" s="35"/>
      <c r="G216" s="36">
        <f t="shared" si="25"/>
        <v>0</v>
      </c>
      <c r="H216" s="41"/>
      <c r="I216" s="69">
        <f t="shared" si="23"/>
        <v>0</v>
      </c>
      <c r="J216" s="35"/>
      <c r="K216" s="35"/>
      <c r="L216" s="36">
        <f t="shared" si="26"/>
        <v>0</v>
      </c>
      <c r="M216" s="38">
        <f t="shared" si="24"/>
        <v>0</v>
      </c>
      <c r="Q216" s="39" t="s">
        <v>201</v>
      </c>
    </row>
    <row r="217" spans="1:17" ht="15" hidden="1">
      <c r="A217" s="48"/>
      <c r="B217" s="33"/>
      <c r="C217" s="49"/>
      <c r="D217" s="68">
        <f t="shared" si="22"/>
        <v>0</v>
      </c>
      <c r="E217" s="35"/>
      <c r="F217" s="35"/>
      <c r="G217" s="36">
        <f t="shared" si="25"/>
        <v>0</v>
      </c>
      <c r="H217" s="41"/>
      <c r="I217" s="69">
        <f t="shared" si="23"/>
        <v>0</v>
      </c>
      <c r="J217" s="35"/>
      <c r="K217" s="35"/>
      <c r="L217" s="36">
        <f t="shared" si="26"/>
        <v>0</v>
      </c>
      <c r="M217" s="38">
        <f t="shared" si="24"/>
        <v>0</v>
      </c>
      <c r="Q217" s="39" t="s">
        <v>202</v>
      </c>
    </row>
    <row r="218" spans="1:17" ht="15" hidden="1">
      <c r="A218" s="40"/>
      <c r="B218" s="33"/>
      <c r="C218" s="43"/>
      <c r="D218" s="68">
        <f t="shared" si="22"/>
        <v>0</v>
      </c>
      <c r="E218" s="35"/>
      <c r="F218" s="35"/>
      <c r="G218" s="36">
        <f t="shared" si="25"/>
        <v>0</v>
      </c>
      <c r="H218" s="41"/>
      <c r="I218" s="69">
        <f t="shared" si="23"/>
        <v>0</v>
      </c>
      <c r="J218" s="35"/>
      <c r="K218" s="35"/>
      <c r="L218" s="36">
        <f t="shared" si="26"/>
        <v>0</v>
      </c>
      <c r="M218" s="38">
        <f t="shared" si="24"/>
        <v>0</v>
      </c>
      <c r="Q218" s="39" t="s">
        <v>203</v>
      </c>
    </row>
    <row r="219" spans="1:17" ht="15" hidden="1">
      <c r="A219" s="40"/>
      <c r="B219" s="33"/>
      <c r="C219" s="43"/>
      <c r="D219" s="68">
        <f t="shared" si="22"/>
        <v>0</v>
      </c>
      <c r="E219" s="35"/>
      <c r="F219" s="35"/>
      <c r="G219" s="36">
        <f t="shared" si="25"/>
        <v>0</v>
      </c>
      <c r="I219" s="69">
        <f t="shared" si="23"/>
        <v>0</v>
      </c>
      <c r="J219" s="35"/>
      <c r="K219" s="35"/>
      <c r="L219" s="36">
        <f t="shared" si="26"/>
        <v>0</v>
      </c>
      <c r="M219" s="38">
        <f t="shared" si="24"/>
        <v>0</v>
      </c>
      <c r="Q219" s="39" t="s">
        <v>204</v>
      </c>
    </row>
    <row r="220" spans="1:17" ht="15" hidden="1">
      <c r="A220" s="50"/>
      <c r="B220" s="50"/>
      <c r="C220" s="51"/>
      <c r="D220" s="68">
        <f t="shared" si="22"/>
        <v>0</v>
      </c>
      <c r="E220" s="52"/>
      <c r="F220" s="52"/>
      <c r="G220" s="36">
        <f t="shared" si="25"/>
        <v>0</v>
      </c>
      <c r="I220" s="69">
        <f t="shared" si="23"/>
        <v>0</v>
      </c>
      <c r="J220" s="52"/>
      <c r="K220" s="52"/>
      <c r="L220" s="36">
        <f t="shared" si="26"/>
        <v>0</v>
      </c>
      <c r="M220" s="38">
        <f t="shared" si="24"/>
        <v>0</v>
      </c>
      <c r="Q220" s="39" t="s">
        <v>205</v>
      </c>
    </row>
    <row r="221" spans="1:17">
      <c r="A221" s="50"/>
      <c r="B221" s="50"/>
      <c r="C221" s="53" t="s">
        <v>2</v>
      </c>
      <c r="D221" s="54">
        <f>SUM(D180:D220)</f>
        <v>38242539.699999996</v>
      </c>
      <c r="E221" s="54">
        <f>SUM(E180:E220)</f>
        <v>2913221.4000000004</v>
      </c>
      <c r="F221" s="54">
        <f>SUM(F180:F220)</f>
        <v>0</v>
      </c>
      <c r="G221" s="54">
        <f>SUM(G180:G220)</f>
        <v>41155761.099999994</v>
      </c>
      <c r="H221" s="55"/>
      <c r="I221" s="70">
        <f>SUM(I180:I220)</f>
        <v>-19830938.09</v>
      </c>
      <c r="J221" s="54">
        <f>SUM(J180:J220)</f>
        <v>-1028878.2500000001</v>
      </c>
      <c r="K221" s="54">
        <f>SUM(K180:K220)</f>
        <v>0</v>
      </c>
      <c r="L221" s="54">
        <f>SUM(L180:L220)</f>
        <v>-20859816.34</v>
      </c>
      <c r="M221" s="54">
        <f>SUM(M180:M220)</f>
        <v>20295944.759999998</v>
      </c>
    </row>
    <row r="222" spans="1:17" ht="37.5" hidden="1">
      <c r="A222" s="50"/>
      <c r="B222" s="50"/>
      <c r="C222" s="56" t="s">
        <v>80</v>
      </c>
      <c r="D222" s="52"/>
      <c r="E222" s="52"/>
      <c r="F222" s="52"/>
      <c r="G222" s="36">
        <f>D222+E222+F222</f>
        <v>0</v>
      </c>
      <c r="I222" s="52"/>
      <c r="J222" s="52"/>
      <c r="K222" s="52"/>
      <c r="L222" s="36">
        <f>I222+J222+K222</f>
        <v>0</v>
      </c>
      <c r="M222" s="38">
        <f>G222+L222</f>
        <v>0</v>
      </c>
    </row>
    <row r="223" spans="1:17" ht="25.5">
      <c r="A223" s="50"/>
      <c r="B223" s="50"/>
      <c r="C223" s="57" t="s">
        <v>81</v>
      </c>
      <c r="D223" s="52"/>
      <c r="E223" s="52"/>
      <c r="F223" s="52"/>
      <c r="G223" s="36">
        <f>D223+E223+F223</f>
        <v>0</v>
      </c>
      <c r="I223" s="52"/>
      <c r="J223" s="52"/>
      <c r="K223" s="52"/>
      <c r="L223" s="36">
        <f>I223+J223+K223</f>
        <v>0</v>
      </c>
      <c r="M223" s="38">
        <f>G223+L223</f>
        <v>0</v>
      </c>
    </row>
    <row r="224" spans="1:17">
      <c r="A224" s="50"/>
      <c r="B224" s="50"/>
      <c r="C224" s="53" t="s">
        <v>82</v>
      </c>
      <c r="D224" s="54">
        <f>SUM(D221:D223)</f>
        <v>38242539.699999996</v>
      </c>
      <c r="E224" s="54">
        <f>SUM(E221:E223)</f>
        <v>2913221.4000000004</v>
      </c>
      <c r="F224" s="54">
        <f>SUM(F221:F223)</f>
        <v>0</v>
      </c>
      <c r="G224" s="54">
        <f>SUM(G221:G223)</f>
        <v>41155761.099999994</v>
      </c>
      <c r="H224" s="55"/>
      <c r="I224" s="54">
        <f>SUM(I221:I223)</f>
        <v>-19830938.09</v>
      </c>
      <c r="J224" s="54">
        <f>SUM(J221:J223)</f>
        <v>-1028878.2500000001</v>
      </c>
      <c r="K224" s="54">
        <f>SUM(K221:K223)</f>
        <v>0</v>
      </c>
      <c r="L224" s="54">
        <f>SUM(L221:L223)</f>
        <v>-20859816.34</v>
      </c>
      <c r="M224" s="54">
        <f>SUM(M221:M223)</f>
        <v>20295944.759999998</v>
      </c>
    </row>
    <row r="225" spans="1:17" ht="15">
      <c r="A225" s="50"/>
      <c r="B225" s="50"/>
      <c r="C225" s="58" t="s">
        <v>83</v>
      </c>
      <c r="D225" s="35">
        <v>879664.24</v>
      </c>
      <c r="E225" s="35">
        <v>-691216.8</v>
      </c>
      <c r="F225" s="35"/>
      <c r="G225" s="36">
        <f t="shared" ref="G225" si="27">D225+E225+F225</f>
        <v>188447.43999999994</v>
      </c>
      <c r="H225" s="41"/>
      <c r="L225" s="36">
        <f t="shared" ref="L225" si="28">I225+J225+K225</f>
        <v>0</v>
      </c>
      <c r="M225" s="38">
        <f>G225+L225</f>
        <v>188447.43999999994</v>
      </c>
    </row>
    <row r="226" spans="1:17">
      <c r="A226" s="50"/>
      <c r="B226" s="50"/>
      <c r="C226" s="58" t="s">
        <v>84</v>
      </c>
      <c r="D226" s="54">
        <f>SUM(D224:D225)</f>
        <v>39122203.939999998</v>
      </c>
      <c r="E226" s="54">
        <f t="shared" ref="E226:M226" si="29">SUM(E224:E225)</f>
        <v>2222004.6000000006</v>
      </c>
      <c r="F226" s="54">
        <f t="shared" si="29"/>
        <v>0</v>
      </c>
      <c r="G226" s="54">
        <f t="shared" si="29"/>
        <v>41344208.539999992</v>
      </c>
      <c r="H226" s="54">
        <f t="shared" si="29"/>
        <v>0</v>
      </c>
      <c r="I226" s="54">
        <f t="shared" si="29"/>
        <v>-19830938.09</v>
      </c>
      <c r="J226" s="54">
        <f t="shared" si="29"/>
        <v>-1028878.2500000001</v>
      </c>
      <c r="K226" s="54">
        <f t="shared" si="29"/>
        <v>0</v>
      </c>
      <c r="L226" s="54">
        <f t="shared" si="29"/>
        <v>-20859816.34</v>
      </c>
      <c r="M226" s="54">
        <f t="shared" si="29"/>
        <v>20484392.199999999</v>
      </c>
    </row>
    <row r="227" spans="1:17" ht="15">
      <c r="A227" s="50"/>
      <c r="B227" s="50"/>
      <c r="C227" s="585" t="s">
        <v>85</v>
      </c>
      <c r="D227" s="586"/>
      <c r="E227" s="586"/>
      <c r="F227" s="586"/>
      <c r="G227" s="586"/>
      <c r="H227" s="586"/>
      <c r="I227" s="587"/>
      <c r="J227" s="52"/>
      <c r="K227" s="59"/>
      <c r="L227" s="60"/>
      <c r="M227" s="61"/>
    </row>
    <row r="228" spans="1:17" ht="15">
      <c r="A228" s="50"/>
      <c r="B228" s="50"/>
      <c r="C228" s="585" t="s">
        <v>482</v>
      </c>
      <c r="D228" s="586"/>
      <c r="E228" s="586"/>
      <c r="F228" s="586"/>
      <c r="G228" s="586"/>
      <c r="H228" s="586"/>
      <c r="I228" s="587"/>
      <c r="J228" s="54">
        <f>J226+J227</f>
        <v>-1028878.2500000001</v>
      </c>
      <c r="K228" s="59"/>
      <c r="L228" s="60"/>
      <c r="M228" s="61"/>
    </row>
    <row r="229" spans="1:17"/>
    <row r="230" spans="1:17" ht="13.5" thickBot="1"/>
    <row r="231" spans="1:17" ht="15.75" hidden="1" thickBot="1">
      <c r="E231" s="11" t="s">
        <v>25</v>
      </c>
      <c r="F231" s="21" t="str">
        <f>F175</f>
        <v>MIFRS</v>
      </c>
      <c r="H231" s="15"/>
    </row>
    <row r="232" spans="1:17" ht="15.75" thickBot="1">
      <c r="C232" s="19"/>
      <c r="E232" s="11" t="s">
        <v>27</v>
      </c>
      <c r="F232" s="183" t="s">
        <v>220</v>
      </c>
      <c r="G232" s="23"/>
    </row>
    <row r="233" spans="1:17"/>
    <row r="234" spans="1:17">
      <c r="D234" s="581" t="s">
        <v>28</v>
      </c>
      <c r="E234" s="582"/>
      <c r="F234" s="582"/>
      <c r="G234" s="583"/>
      <c r="I234" s="581" t="s">
        <v>483</v>
      </c>
      <c r="J234" s="582"/>
      <c r="K234" s="582"/>
      <c r="L234" s="583"/>
      <c r="M234" s="16"/>
    </row>
    <row r="235" spans="1:17" ht="30" customHeight="1">
      <c r="A235" s="27" t="s">
        <v>30</v>
      </c>
      <c r="B235" s="27" t="s">
        <v>31</v>
      </c>
      <c r="C235" s="28" t="s">
        <v>32</v>
      </c>
      <c r="D235" s="27" t="s">
        <v>33</v>
      </c>
      <c r="E235" s="29" t="s">
        <v>34</v>
      </c>
      <c r="F235" s="29" t="s">
        <v>35</v>
      </c>
      <c r="G235" s="27" t="s">
        <v>36</v>
      </c>
      <c r="H235" s="30"/>
      <c r="I235" s="27" t="s">
        <v>33</v>
      </c>
      <c r="J235" s="31" t="s">
        <v>37</v>
      </c>
      <c r="K235" s="31" t="s">
        <v>35</v>
      </c>
      <c r="L235" s="32" t="s">
        <v>36</v>
      </c>
      <c r="M235" s="27" t="s">
        <v>38</v>
      </c>
    </row>
    <row r="236" spans="1:17" ht="25.5" customHeight="1">
      <c r="A236" s="40">
        <v>50</v>
      </c>
      <c r="B236" s="33">
        <v>488</v>
      </c>
      <c r="C236" s="34" t="s">
        <v>264</v>
      </c>
      <c r="D236" s="68">
        <f t="shared" ref="D236:D276" si="30">G180</f>
        <v>313003.45999999996</v>
      </c>
      <c r="E236" s="35">
        <v>12530</v>
      </c>
      <c r="F236" s="35"/>
      <c r="G236" s="36">
        <f>D236+E236+F236</f>
        <v>325533.45999999996</v>
      </c>
      <c r="H236" s="30"/>
      <c r="I236" s="69">
        <f t="shared" ref="I236:I276" si="31">L180</f>
        <v>-206654.77000000002</v>
      </c>
      <c r="J236" s="35">
        <v>-11663.056759698562</v>
      </c>
      <c r="K236" s="35"/>
      <c r="L236" s="36">
        <f>I236+J236+K236</f>
        <v>-218317.82675969857</v>
      </c>
      <c r="M236" s="38">
        <f t="shared" ref="M236:M276" si="32">G236+L236</f>
        <v>107215.63324030139</v>
      </c>
      <c r="Q236" s="39" t="s">
        <v>170</v>
      </c>
    </row>
    <row r="237" spans="1:17" ht="15">
      <c r="A237" s="40">
        <v>50</v>
      </c>
      <c r="B237" s="33">
        <v>490</v>
      </c>
      <c r="C237" s="34" t="s">
        <v>261</v>
      </c>
      <c r="D237" s="68">
        <f t="shared" si="30"/>
        <v>581100.5</v>
      </c>
      <c r="E237" s="35">
        <v>27530</v>
      </c>
      <c r="F237" s="35"/>
      <c r="G237" s="36">
        <f>D237+E237+F237</f>
        <v>608630.5</v>
      </c>
      <c r="H237" s="41"/>
      <c r="I237" s="69">
        <f t="shared" si="31"/>
        <v>-506534.97</v>
      </c>
      <c r="J237" s="35">
        <v>-44281.701793016677</v>
      </c>
      <c r="K237" s="35"/>
      <c r="L237" s="36">
        <f>I237+J237+K237</f>
        <v>-550816.67179301661</v>
      </c>
      <c r="M237" s="38">
        <f t="shared" si="32"/>
        <v>57813.828206983395</v>
      </c>
      <c r="Q237" s="39" t="s">
        <v>171</v>
      </c>
    </row>
    <row r="238" spans="1:17" ht="15">
      <c r="A238" s="40">
        <v>51</v>
      </c>
      <c r="B238" s="33">
        <v>499</v>
      </c>
      <c r="C238" s="34" t="s">
        <v>350</v>
      </c>
      <c r="D238" s="68">
        <f t="shared" si="30"/>
        <v>-376287.94</v>
      </c>
      <c r="E238" s="35">
        <v>0</v>
      </c>
      <c r="F238" s="35"/>
      <c r="G238" s="36">
        <f>D238+E238+F238</f>
        <v>-376287.94</v>
      </c>
      <c r="H238" s="41"/>
      <c r="I238" s="69">
        <f t="shared" si="31"/>
        <v>41749.68</v>
      </c>
      <c r="J238" s="35">
        <v>8331.2631251497223</v>
      </c>
      <c r="K238" s="35"/>
      <c r="L238" s="36">
        <f>I238+J238+K238</f>
        <v>50080.943125149723</v>
      </c>
      <c r="M238" s="38">
        <f t="shared" si="32"/>
        <v>-326206.9968748503</v>
      </c>
      <c r="Q238" s="39" t="s">
        <v>172</v>
      </c>
    </row>
    <row r="239" spans="1:17" ht="15">
      <c r="A239" s="40">
        <v>51</v>
      </c>
      <c r="B239" s="40">
        <v>499</v>
      </c>
      <c r="C239" s="42" t="s">
        <v>351</v>
      </c>
      <c r="D239" s="68">
        <f t="shared" si="30"/>
        <v>-292496.40000000002</v>
      </c>
      <c r="E239" s="35">
        <v>-25000</v>
      </c>
      <c r="F239" s="35"/>
      <c r="G239" s="36">
        <f>D239+E239+F239</f>
        <v>-317496.40000000002</v>
      </c>
      <c r="H239" s="41"/>
      <c r="I239" s="69">
        <f t="shared" si="31"/>
        <v>19183.54</v>
      </c>
      <c r="J239" s="35">
        <v>7552.8940296334522</v>
      </c>
      <c r="K239" s="35"/>
      <c r="L239" s="36">
        <f>I239+J239+K239</f>
        <v>26736.434029633452</v>
      </c>
      <c r="M239" s="38">
        <f t="shared" si="32"/>
        <v>-290759.96597036655</v>
      </c>
      <c r="Q239" s="39" t="s">
        <v>173</v>
      </c>
    </row>
    <row r="240" spans="1:17" ht="15">
      <c r="A240" s="40">
        <v>51</v>
      </c>
      <c r="B240" s="40">
        <v>499</v>
      </c>
      <c r="C240" s="43" t="s">
        <v>352</v>
      </c>
      <c r="D240" s="68">
        <f t="shared" si="30"/>
        <v>-13207.81</v>
      </c>
      <c r="E240" s="35">
        <v>0</v>
      </c>
      <c r="F240" s="35"/>
      <c r="G240" s="36">
        <f t="shared" ref="G240:G276" si="33">D240+E240+F240</f>
        <v>-13207.81</v>
      </c>
      <c r="H240" s="41"/>
      <c r="I240" s="69">
        <f t="shared" si="31"/>
        <v>2279.2999999999997</v>
      </c>
      <c r="J240" s="35">
        <v>361.44585233170966</v>
      </c>
      <c r="K240" s="35"/>
      <c r="L240" s="36">
        <f t="shared" ref="L240:L276" si="34">I240+J240+K240</f>
        <v>2640.7458523317096</v>
      </c>
      <c r="M240" s="38">
        <f t="shared" si="32"/>
        <v>-10567.06414766829</v>
      </c>
      <c r="Q240" s="39" t="s">
        <v>174</v>
      </c>
    </row>
    <row r="241" spans="1:17" ht="15">
      <c r="A241" s="40">
        <v>51</v>
      </c>
      <c r="B241" s="40">
        <v>499</v>
      </c>
      <c r="C241" s="43" t="s">
        <v>353</v>
      </c>
      <c r="D241" s="68">
        <f t="shared" si="30"/>
        <v>-457029.73</v>
      </c>
      <c r="E241" s="35">
        <v>-47250</v>
      </c>
      <c r="F241" s="35"/>
      <c r="G241" s="36">
        <f t="shared" si="33"/>
        <v>-504279.73</v>
      </c>
      <c r="H241" s="41"/>
      <c r="I241" s="69">
        <f t="shared" si="31"/>
        <v>29343.260000000002</v>
      </c>
      <c r="J241" s="35">
        <v>10847.150568235198</v>
      </c>
      <c r="K241" s="35"/>
      <c r="L241" s="36">
        <f t="shared" si="34"/>
        <v>40190.410568235202</v>
      </c>
      <c r="M241" s="38">
        <f t="shared" si="32"/>
        <v>-464089.31943176477</v>
      </c>
      <c r="Q241" s="39" t="s">
        <v>175</v>
      </c>
    </row>
    <row r="242" spans="1:17" ht="15">
      <c r="A242" s="40"/>
      <c r="B242" s="40">
        <v>401</v>
      </c>
      <c r="C242" s="43" t="s">
        <v>354</v>
      </c>
      <c r="D242" s="68">
        <f t="shared" si="30"/>
        <v>842666.73999999987</v>
      </c>
      <c r="E242" s="35">
        <v>0</v>
      </c>
      <c r="F242" s="35"/>
      <c r="G242" s="36">
        <f t="shared" si="33"/>
        <v>842666.73999999987</v>
      </c>
      <c r="H242" s="41"/>
      <c r="I242" s="69">
        <f t="shared" si="31"/>
        <v>-509171.19</v>
      </c>
      <c r="J242" s="35">
        <v>-35232</v>
      </c>
      <c r="K242" s="35"/>
      <c r="L242" s="36">
        <f t="shared" si="34"/>
        <v>-544403.18999999994</v>
      </c>
      <c r="M242" s="38">
        <f t="shared" si="32"/>
        <v>298263.54999999993</v>
      </c>
      <c r="Q242" s="39" t="s">
        <v>176</v>
      </c>
    </row>
    <row r="243" spans="1:17" ht="15">
      <c r="A243" s="40"/>
      <c r="B243" s="40">
        <v>483</v>
      </c>
      <c r="C243" s="34" t="s">
        <v>260</v>
      </c>
      <c r="D243" s="68">
        <f t="shared" si="30"/>
        <v>200719.96</v>
      </c>
      <c r="E243" s="35">
        <v>0</v>
      </c>
      <c r="F243" s="35"/>
      <c r="G243" s="36">
        <f t="shared" si="33"/>
        <v>200719.96</v>
      </c>
      <c r="H243" s="41"/>
      <c r="I243" s="69">
        <f t="shared" si="31"/>
        <v>-122765.95999999998</v>
      </c>
      <c r="J243" s="35">
        <v>-7773.9921052461441</v>
      </c>
      <c r="K243" s="35"/>
      <c r="L243" s="36">
        <f t="shared" si="34"/>
        <v>-130539.95210524612</v>
      </c>
      <c r="M243" s="38">
        <f t="shared" si="32"/>
        <v>70180.007894753871</v>
      </c>
      <c r="Q243" s="39" t="s">
        <v>177</v>
      </c>
    </row>
    <row r="244" spans="1:17" ht="15">
      <c r="A244" s="40"/>
      <c r="B244" s="40">
        <v>480</v>
      </c>
      <c r="C244" s="43" t="s">
        <v>44</v>
      </c>
      <c r="D244" s="68">
        <f t="shared" si="30"/>
        <v>82653.239999999991</v>
      </c>
      <c r="E244" s="35">
        <v>0</v>
      </c>
      <c r="F244" s="35"/>
      <c r="G244" s="36">
        <f t="shared" si="33"/>
        <v>82653.239999999991</v>
      </c>
      <c r="H244" s="41"/>
      <c r="I244" s="69">
        <f t="shared" si="31"/>
        <v>0</v>
      </c>
      <c r="J244" s="35">
        <v>0</v>
      </c>
      <c r="K244" s="35"/>
      <c r="L244" s="36">
        <f t="shared" si="34"/>
        <v>0</v>
      </c>
      <c r="M244" s="38">
        <f t="shared" si="32"/>
        <v>82653.239999999991</v>
      </c>
      <c r="Q244" s="39" t="s">
        <v>178</v>
      </c>
    </row>
    <row r="245" spans="1:17" ht="15">
      <c r="A245" s="40">
        <v>51</v>
      </c>
      <c r="B245" s="40">
        <v>475</v>
      </c>
      <c r="C245" s="43" t="s">
        <v>300</v>
      </c>
      <c r="D245" s="68">
        <f t="shared" si="30"/>
        <v>0</v>
      </c>
      <c r="E245" s="35">
        <v>0</v>
      </c>
      <c r="F245" s="35"/>
      <c r="G245" s="36">
        <f t="shared" si="33"/>
        <v>0</v>
      </c>
      <c r="H245" s="41"/>
      <c r="I245" s="69">
        <f t="shared" si="31"/>
        <v>0</v>
      </c>
      <c r="J245" s="35">
        <v>0</v>
      </c>
      <c r="K245" s="35"/>
      <c r="L245" s="36">
        <f t="shared" si="34"/>
        <v>0</v>
      </c>
      <c r="M245" s="38">
        <f t="shared" si="32"/>
        <v>0</v>
      </c>
      <c r="Q245" s="39" t="s">
        <v>179</v>
      </c>
    </row>
    <row r="246" spans="1:17" ht="15">
      <c r="A246" s="40">
        <v>51</v>
      </c>
      <c r="B246" s="40">
        <v>475</v>
      </c>
      <c r="C246" s="43" t="s">
        <v>301</v>
      </c>
      <c r="D246" s="68">
        <f t="shared" si="30"/>
        <v>6230973.9499999993</v>
      </c>
      <c r="E246" s="35">
        <v>300000</v>
      </c>
      <c r="F246" s="35"/>
      <c r="G246" s="36">
        <f t="shared" si="33"/>
        <v>6530973.9499999993</v>
      </c>
      <c r="H246" s="41"/>
      <c r="I246" s="69">
        <f t="shared" si="31"/>
        <v>-3258497.4299999997</v>
      </c>
      <c r="J246" s="35">
        <v>-83143.034202414725</v>
      </c>
      <c r="K246" s="35"/>
      <c r="L246" s="36">
        <f t="shared" si="34"/>
        <v>-3341640.4642024143</v>
      </c>
      <c r="M246" s="38">
        <f t="shared" si="32"/>
        <v>3189333.485797585</v>
      </c>
      <c r="Q246" s="39" t="s">
        <v>180</v>
      </c>
    </row>
    <row r="247" spans="1:17" ht="15">
      <c r="A247" s="40">
        <v>51</v>
      </c>
      <c r="B247" s="40">
        <v>475</v>
      </c>
      <c r="C247" s="43" t="s">
        <v>302</v>
      </c>
      <c r="D247" s="68">
        <f t="shared" si="30"/>
        <v>16153236.049999999</v>
      </c>
      <c r="E247" s="35">
        <v>2180550</v>
      </c>
      <c r="F247" s="35"/>
      <c r="G247" s="36">
        <f t="shared" si="33"/>
        <v>18333786.049999997</v>
      </c>
      <c r="H247" s="41"/>
      <c r="I247" s="69">
        <f t="shared" si="31"/>
        <v>-7028203.4900000012</v>
      </c>
      <c r="J247" s="35">
        <v>-332081.78094101069</v>
      </c>
      <c r="K247" s="35"/>
      <c r="L247" s="36">
        <f t="shared" si="34"/>
        <v>-7360285.2709410116</v>
      </c>
      <c r="M247" s="38">
        <f t="shared" si="32"/>
        <v>10973500.779058985</v>
      </c>
      <c r="Q247" s="39" t="s">
        <v>181</v>
      </c>
    </row>
    <row r="248" spans="1:17" ht="15">
      <c r="A248" s="40">
        <v>8</v>
      </c>
      <c r="B248" s="40">
        <v>477</v>
      </c>
      <c r="C248" s="43" t="s">
        <v>299</v>
      </c>
      <c r="D248" s="68">
        <f t="shared" si="30"/>
        <v>2098729</v>
      </c>
      <c r="E248" s="35">
        <v>342430</v>
      </c>
      <c r="F248" s="35"/>
      <c r="G248" s="36">
        <f t="shared" si="33"/>
        <v>2441159</v>
      </c>
      <c r="H248" s="41"/>
      <c r="I248" s="69">
        <f t="shared" si="31"/>
        <v>-1026851.5700000001</v>
      </c>
      <c r="J248" s="35">
        <v>-48469.851730232942</v>
      </c>
      <c r="K248" s="35"/>
      <c r="L248" s="36">
        <f t="shared" si="34"/>
        <v>-1075321.4217302329</v>
      </c>
      <c r="M248" s="38">
        <f t="shared" si="32"/>
        <v>1365837.5782697671</v>
      </c>
      <c r="Q248" s="39" t="s">
        <v>182</v>
      </c>
    </row>
    <row r="249" spans="1:17" ht="15">
      <c r="A249" s="40">
        <v>8</v>
      </c>
      <c r="B249" s="40">
        <v>477</v>
      </c>
      <c r="C249" s="43" t="s">
        <v>355</v>
      </c>
      <c r="D249" s="68">
        <f t="shared" si="30"/>
        <v>576367.02</v>
      </c>
      <c r="E249" s="35">
        <v>0</v>
      </c>
      <c r="F249" s="35"/>
      <c r="G249" s="36">
        <f t="shared" si="33"/>
        <v>576367.02</v>
      </c>
      <c r="H249" s="41"/>
      <c r="I249" s="69">
        <f t="shared" si="31"/>
        <v>-124802.46999999999</v>
      </c>
      <c r="J249" s="35">
        <v>-21086.59</v>
      </c>
      <c r="K249" s="35"/>
      <c r="L249" s="36">
        <f t="shared" si="34"/>
        <v>-145889.06</v>
      </c>
      <c r="M249" s="38">
        <f t="shared" si="32"/>
        <v>430477.96</v>
      </c>
      <c r="Q249" s="39" t="s">
        <v>183</v>
      </c>
    </row>
    <row r="250" spans="1:17" ht="15">
      <c r="A250" s="40">
        <v>51</v>
      </c>
      <c r="B250" s="40">
        <v>478</v>
      </c>
      <c r="C250" s="43" t="s">
        <v>268</v>
      </c>
      <c r="D250" s="68">
        <f t="shared" si="30"/>
        <v>1926249.47</v>
      </c>
      <c r="E250" s="35">
        <v>160000</v>
      </c>
      <c r="F250" s="35"/>
      <c r="G250" s="36">
        <f t="shared" si="33"/>
        <v>2086249.47</v>
      </c>
      <c r="H250" s="41"/>
      <c r="I250" s="69">
        <f t="shared" si="31"/>
        <v>-1054324.28</v>
      </c>
      <c r="J250" s="35">
        <v>-82071.799810085897</v>
      </c>
      <c r="K250" s="35"/>
      <c r="L250" s="36">
        <f t="shared" si="34"/>
        <v>-1136396.0798100859</v>
      </c>
      <c r="M250" s="38">
        <f t="shared" si="32"/>
        <v>949853.39018991403</v>
      </c>
      <c r="Q250" s="39" t="s">
        <v>184</v>
      </c>
    </row>
    <row r="251" spans="1:17" ht="15">
      <c r="A251" s="40">
        <v>51</v>
      </c>
      <c r="B251" s="40">
        <v>478</v>
      </c>
      <c r="C251" s="43" t="s">
        <v>298</v>
      </c>
      <c r="D251" s="68">
        <f t="shared" si="30"/>
        <v>14139.4</v>
      </c>
      <c r="E251" s="35">
        <v>0</v>
      </c>
      <c r="F251" s="35"/>
      <c r="G251" s="36">
        <f t="shared" si="33"/>
        <v>14139.4</v>
      </c>
      <c r="H251" s="41"/>
      <c r="I251" s="69">
        <f t="shared" si="31"/>
        <v>-14139.400000000001</v>
      </c>
      <c r="J251" s="35">
        <v>0</v>
      </c>
      <c r="K251" s="35"/>
      <c r="L251" s="36">
        <f t="shared" si="34"/>
        <v>-14139.400000000001</v>
      </c>
      <c r="M251" s="38">
        <f t="shared" si="32"/>
        <v>0</v>
      </c>
      <c r="Q251" s="39" t="s">
        <v>185</v>
      </c>
    </row>
    <row r="252" spans="1:17" ht="15">
      <c r="A252" s="40">
        <v>51</v>
      </c>
      <c r="B252" s="40">
        <v>478</v>
      </c>
      <c r="C252" s="42" t="s">
        <v>297</v>
      </c>
      <c r="D252" s="68">
        <f t="shared" si="30"/>
        <v>2623113.1999999997</v>
      </c>
      <c r="E252" s="35">
        <v>824640</v>
      </c>
      <c r="F252" s="35"/>
      <c r="G252" s="36">
        <f t="shared" si="33"/>
        <v>3447753.1999999997</v>
      </c>
      <c r="H252" s="41"/>
      <c r="I252" s="69">
        <f t="shared" si="31"/>
        <v>-1505452.59</v>
      </c>
      <c r="J252" s="35">
        <v>-221063.25102557661</v>
      </c>
      <c r="K252" s="35"/>
      <c r="L252" s="36">
        <f t="shared" si="34"/>
        <v>-1726515.8410255767</v>
      </c>
      <c r="M252" s="38">
        <f t="shared" si="32"/>
        <v>1721237.358974423</v>
      </c>
      <c r="Q252" s="39" t="s">
        <v>185</v>
      </c>
    </row>
    <row r="253" spans="1:17" ht="15">
      <c r="A253" s="40">
        <v>8</v>
      </c>
      <c r="B253" s="40">
        <v>474</v>
      </c>
      <c r="C253" s="42" t="s">
        <v>270</v>
      </c>
      <c r="D253" s="68">
        <f t="shared" si="30"/>
        <v>807745.57</v>
      </c>
      <c r="E253" s="35">
        <v>305750</v>
      </c>
      <c r="F253" s="35"/>
      <c r="G253" s="36">
        <f t="shared" si="33"/>
        <v>1113495.5699999998</v>
      </c>
      <c r="H253" s="41"/>
      <c r="I253" s="69">
        <f t="shared" si="31"/>
        <v>-447083.16999999993</v>
      </c>
      <c r="J253" s="35">
        <v>-29500.783739627324</v>
      </c>
      <c r="K253" s="35"/>
      <c r="L253" s="36">
        <f t="shared" si="34"/>
        <v>-476583.95373962726</v>
      </c>
      <c r="M253" s="38">
        <f t="shared" si="32"/>
        <v>636911.61626037257</v>
      </c>
      <c r="Q253" s="39" t="s">
        <v>186</v>
      </c>
    </row>
    <row r="254" spans="1:17" ht="15">
      <c r="A254" s="40">
        <v>51</v>
      </c>
      <c r="B254" s="40">
        <v>473</v>
      </c>
      <c r="C254" s="43" t="s">
        <v>303</v>
      </c>
      <c r="D254" s="68">
        <f t="shared" si="30"/>
        <v>6614832.3200000003</v>
      </c>
      <c r="E254" s="35">
        <v>831560</v>
      </c>
      <c r="F254" s="35"/>
      <c r="G254" s="36">
        <f t="shared" si="33"/>
        <v>7446392.3200000003</v>
      </c>
      <c r="H254" s="41"/>
      <c r="I254" s="69">
        <f t="shared" si="31"/>
        <v>-3148255.7</v>
      </c>
      <c r="J254" s="35">
        <v>-102589.87742599718</v>
      </c>
      <c r="K254" s="35"/>
      <c r="L254" s="36">
        <f t="shared" si="34"/>
        <v>-3250845.5774259972</v>
      </c>
      <c r="M254" s="38">
        <f t="shared" si="32"/>
        <v>4195546.7425740026</v>
      </c>
      <c r="Q254" s="39" t="s">
        <v>187</v>
      </c>
    </row>
    <row r="255" spans="1:17" ht="15">
      <c r="A255" s="40">
        <v>12</v>
      </c>
      <c r="B255" s="40">
        <v>491</v>
      </c>
      <c r="C255" s="43" t="s">
        <v>262</v>
      </c>
      <c r="D255" s="68">
        <f t="shared" si="30"/>
        <v>748286.65999999992</v>
      </c>
      <c r="E255" s="35">
        <v>6400</v>
      </c>
      <c r="F255" s="35"/>
      <c r="G255" s="36">
        <f t="shared" si="33"/>
        <v>754686.65999999992</v>
      </c>
      <c r="H255" s="41"/>
      <c r="I255" s="69">
        <f t="shared" si="31"/>
        <v>-542247.41</v>
      </c>
      <c r="J255" s="35">
        <v>-42591.626066882833</v>
      </c>
      <c r="K255" s="35"/>
      <c r="L255" s="36">
        <f t="shared" si="34"/>
        <v>-584839.03606688289</v>
      </c>
      <c r="M255" s="38">
        <f t="shared" si="32"/>
        <v>169847.62393311702</v>
      </c>
      <c r="Q255" s="39" t="s">
        <v>188</v>
      </c>
    </row>
    <row r="256" spans="1:17" ht="15">
      <c r="A256" s="40">
        <v>1</v>
      </c>
      <c r="B256" s="40">
        <v>482</v>
      </c>
      <c r="C256" s="43" t="s">
        <v>304</v>
      </c>
      <c r="D256" s="68">
        <f t="shared" si="30"/>
        <v>782561.52</v>
      </c>
      <c r="E256" s="35">
        <v>0</v>
      </c>
      <c r="F256" s="35"/>
      <c r="G256" s="36">
        <f t="shared" si="33"/>
        <v>782561.52</v>
      </c>
      <c r="H256" s="41"/>
      <c r="I256" s="69">
        <f t="shared" si="31"/>
        <v>-340147.27000000008</v>
      </c>
      <c r="J256" s="35">
        <v>-12332.522090894938</v>
      </c>
      <c r="K256" s="35"/>
      <c r="L256" s="36">
        <f t="shared" si="34"/>
        <v>-352479.792090895</v>
      </c>
      <c r="M256" s="38">
        <f t="shared" si="32"/>
        <v>430081.72790910501</v>
      </c>
      <c r="Q256" s="39" t="s">
        <v>189</v>
      </c>
    </row>
    <row r="257" spans="1:17" ht="15">
      <c r="A257" s="40">
        <v>8</v>
      </c>
      <c r="B257" s="40">
        <v>486</v>
      </c>
      <c r="C257" s="43" t="s">
        <v>263</v>
      </c>
      <c r="D257" s="68">
        <f t="shared" si="30"/>
        <v>894278.56000000017</v>
      </c>
      <c r="E257" s="35">
        <v>23400</v>
      </c>
      <c r="F257" s="35"/>
      <c r="G257" s="36">
        <f t="shared" si="33"/>
        <v>917678.56000000017</v>
      </c>
      <c r="H257" s="41"/>
      <c r="I257" s="69">
        <f t="shared" si="31"/>
        <v>-647117.77</v>
      </c>
      <c r="J257" s="35">
        <v>-25495.402347236006</v>
      </c>
      <c r="K257" s="35"/>
      <c r="L257" s="36">
        <f t="shared" si="34"/>
        <v>-672613.17234723608</v>
      </c>
      <c r="M257" s="38">
        <f t="shared" si="32"/>
        <v>245065.3876527641</v>
      </c>
      <c r="Q257" s="39" t="s">
        <v>189</v>
      </c>
    </row>
    <row r="258" spans="1:17" ht="15">
      <c r="A258" s="40">
        <v>10</v>
      </c>
      <c r="B258" s="40">
        <v>485</v>
      </c>
      <c r="C258" s="43" t="s">
        <v>306</v>
      </c>
      <c r="D258" s="68">
        <f t="shared" si="30"/>
        <v>33032.959999999999</v>
      </c>
      <c r="E258" s="35">
        <v>0</v>
      </c>
      <c r="F258" s="35"/>
      <c r="G258" s="36">
        <f t="shared" si="33"/>
        <v>33032.959999999999</v>
      </c>
      <c r="H258" s="41"/>
      <c r="I258" s="69">
        <f t="shared" si="31"/>
        <v>-11917.939999999999</v>
      </c>
      <c r="J258" s="35">
        <v>-2335.2694694741599</v>
      </c>
      <c r="K258" s="35"/>
      <c r="L258" s="36">
        <f t="shared" si="34"/>
        <v>-14253.209469474159</v>
      </c>
      <c r="M258" s="38">
        <f t="shared" si="32"/>
        <v>18779.750530525838</v>
      </c>
      <c r="Q258" s="39" t="s">
        <v>190</v>
      </c>
    </row>
    <row r="259" spans="1:17" ht="15">
      <c r="A259" s="40">
        <v>10</v>
      </c>
      <c r="B259" s="44">
        <v>484</v>
      </c>
      <c r="C259" s="34" t="s">
        <v>305</v>
      </c>
      <c r="D259" s="68">
        <f t="shared" si="30"/>
        <v>771093.39999999991</v>
      </c>
      <c r="E259" s="35">
        <v>102400</v>
      </c>
      <c r="F259" s="35"/>
      <c r="G259" s="36">
        <f t="shared" si="33"/>
        <v>873493.39999999991</v>
      </c>
      <c r="H259" s="41"/>
      <c r="I259" s="69">
        <f t="shared" si="31"/>
        <v>-458204.74</v>
      </c>
      <c r="J259" s="35">
        <v>-84809.973088972823</v>
      </c>
      <c r="K259" s="35"/>
      <c r="L259" s="36">
        <f t="shared" si="34"/>
        <v>-543014.71308897284</v>
      </c>
      <c r="M259" s="38">
        <f t="shared" si="32"/>
        <v>330478.68691102706</v>
      </c>
      <c r="Q259" s="39" t="s">
        <v>190</v>
      </c>
    </row>
    <row r="260" spans="1:17" ht="15" hidden="1">
      <c r="A260" s="40"/>
      <c r="B260" s="44"/>
      <c r="C260" s="34"/>
      <c r="D260" s="68">
        <f t="shared" si="30"/>
        <v>0</v>
      </c>
      <c r="E260" s="35"/>
      <c r="F260" s="35"/>
      <c r="G260" s="36">
        <f t="shared" si="33"/>
        <v>0</v>
      </c>
      <c r="H260" s="41"/>
      <c r="I260" s="69">
        <f t="shared" si="31"/>
        <v>0</v>
      </c>
      <c r="J260" s="35"/>
      <c r="K260" s="35"/>
      <c r="L260" s="36">
        <f t="shared" si="34"/>
        <v>0</v>
      </c>
      <c r="M260" s="38">
        <f t="shared" si="32"/>
        <v>0</v>
      </c>
      <c r="Q260" s="39" t="s">
        <v>190</v>
      </c>
    </row>
    <row r="261" spans="1:17" ht="15" hidden="1">
      <c r="A261" s="40"/>
      <c r="B261" s="33"/>
      <c r="C261" s="43"/>
      <c r="D261" s="68">
        <f t="shared" si="30"/>
        <v>0</v>
      </c>
      <c r="E261" s="35"/>
      <c r="F261" s="35"/>
      <c r="G261" s="36">
        <f t="shared" si="33"/>
        <v>0</v>
      </c>
      <c r="H261" s="41"/>
      <c r="I261" s="69">
        <f t="shared" si="31"/>
        <v>0</v>
      </c>
      <c r="J261" s="35"/>
      <c r="K261" s="35"/>
      <c r="L261" s="36">
        <f t="shared" si="34"/>
        <v>0</v>
      </c>
      <c r="M261" s="38">
        <f t="shared" si="32"/>
        <v>0</v>
      </c>
      <c r="Q261" s="39" t="s">
        <v>191</v>
      </c>
    </row>
    <row r="262" spans="1:17" ht="15" hidden="1">
      <c r="A262" s="40"/>
      <c r="B262" s="33"/>
      <c r="C262" s="43"/>
      <c r="D262" s="68">
        <f t="shared" si="30"/>
        <v>0</v>
      </c>
      <c r="E262" s="35"/>
      <c r="F262" s="35"/>
      <c r="G262" s="36">
        <f t="shared" si="33"/>
        <v>0</v>
      </c>
      <c r="H262" s="41"/>
      <c r="I262" s="69">
        <f t="shared" si="31"/>
        <v>0</v>
      </c>
      <c r="J262" s="35"/>
      <c r="K262" s="35"/>
      <c r="L262" s="36">
        <f t="shared" si="34"/>
        <v>0</v>
      </c>
      <c r="M262" s="38">
        <f t="shared" si="32"/>
        <v>0</v>
      </c>
      <c r="Q262" s="39" t="s">
        <v>192</v>
      </c>
    </row>
    <row r="263" spans="1:17" ht="15" hidden="1">
      <c r="A263" s="40"/>
      <c r="B263" s="33"/>
      <c r="C263" s="43"/>
      <c r="D263" s="68">
        <f t="shared" si="30"/>
        <v>0</v>
      </c>
      <c r="E263" s="35"/>
      <c r="F263" s="35"/>
      <c r="G263" s="36">
        <f t="shared" si="33"/>
        <v>0</v>
      </c>
      <c r="H263" s="41"/>
      <c r="I263" s="69">
        <f t="shared" si="31"/>
        <v>0</v>
      </c>
      <c r="J263" s="35"/>
      <c r="K263" s="35"/>
      <c r="L263" s="36">
        <f t="shared" si="34"/>
        <v>0</v>
      </c>
      <c r="M263" s="38">
        <f t="shared" si="32"/>
        <v>0</v>
      </c>
      <c r="Q263" s="39" t="s">
        <v>193</v>
      </c>
    </row>
    <row r="264" spans="1:17" ht="15" hidden="1">
      <c r="A264" s="40"/>
      <c r="B264" s="33"/>
      <c r="C264" s="43"/>
      <c r="D264" s="68">
        <f t="shared" si="30"/>
        <v>0</v>
      </c>
      <c r="E264" s="35"/>
      <c r="F264" s="35"/>
      <c r="G264" s="36">
        <f t="shared" si="33"/>
        <v>0</v>
      </c>
      <c r="H264" s="41"/>
      <c r="I264" s="69">
        <f t="shared" si="31"/>
        <v>0</v>
      </c>
      <c r="J264" s="35"/>
      <c r="K264" s="35"/>
      <c r="L264" s="36">
        <f t="shared" si="34"/>
        <v>0</v>
      </c>
      <c r="M264" s="38">
        <f t="shared" si="32"/>
        <v>0</v>
      </c>
      <c r="Q264" s="39" t="s">
        <v>194</v>
      </c>
    </row>
    <row r="265" spans="1:17" ht="15" hidden="1">
      <c r="A265" s="40"/>
      <c r="B265" s="33"/>
      <c r="C265" s="43"/>
      <c r="D265" s="68">
        <f t="shared" si="30"/>
        <v>0</v>
      </c>
      <c r="E265" s="35"/>
      <c r="F265" s="35"/>
      <c r="G265" s="36">
        <f t="shared" si="33"/>
        <v>0</v>
      </c>
      <c r="H265" s="41"/>
      <c r="I265" s="69">
        <f t="shared" si="31"/>
        <v>0</v>
      </c>
      <c r="J265" s="35"/>
      <c r="K265" s="35"/>
      <c r="L265" s="36">
        <f t="shared" si="34"/>
        <v>0</v>
      </c>
      <c r="M265" s="38">
        <f t="shared" si="32"/>
        <v>0</v>
      </c>
      <c r="Q265" s="39" t="s">
        <v>195</v>
      </c>
    </row>
    <row r="266" spans="1:17" ht="15" hidden="1">
      <c r="A266" s="40"/>
      <c r="B266" s="33"/>
      <c r="C266" s="43"/>
      <c r="D266" s="68">
        <f t="shared" si="30"/>
        <v>0</v>
      </c>
      <c r="E266" s="35"/>
      <c r="F266" s="35"/>
      <c r="G266" s="36">
        <f t="shared" si="33"/>
        <v>0</v>
      </c>
      <c r="H266" s="41"/>
      <c r="I266" s="69">
        <f t="shared" si="31"/>
        <v>0</v>
      </c>
      <c r="J266" s="35"/>
      <c r="K266" s="35"/>
      <c r="L266" s="36">
        <f t="shared" si="34"/>
        <v>0</v>
      </c>
      <c r="M266" s="38">
        <f t="shared" si="32"/>
        <v>0</v>
      </c>
      <c r="Q266" s="39" t="s">
        <v>196</v>
      </c>
    </row>
    <row r="267" spans="1:17" ht="15" hidden="1">
      <c r="A267" s="44"/>
      <c r="B267" s="44"/>
      <c r="C267" s="46"/>
      <c r="D267" s="68">
        <f t="shared" si="30"/>
        <v>0</v>
      </c>
      <c r="E267" s="35"/>
      <c r="F267" s="35"/>
      <c r="G267" s="36">
        <f t="shared" si="33"/>
        <v>0</v>
      </c>
      <c r="H267" s="41"/>
      <c r="I267" s="69">
        <f t="shared" si="31"/>
        <v>0</v>
      </c>
      <c r="J267" s="35"/>
      <c r="K267" s="35"/>
      <c r="L267" s="36">
        <f t="shared" si="34"/>
        <v>0</v>
      </c>
      <c r="M267" s="38">
        <f t="shared" si="32"/>
        <v>0</v>
      </c>
      <c r="Q267" s="39" t="s">
        <v>196</v>
      </c>
    </row>
    <row r="268" spans="1:17" ht="15" hidden="1">
      <c r="A268" s="44"/>
      <c r="B268" s="47"/>
      <c r="C268" s="34"/>
      <c r="D268" s="68">
        <f t="shared" si="30"/>
        <v>0</v>
      </c>
      <c r="E268" s="35"/>
      <c r="F268" s="35"/>
      <c r="G268" s="36">
        <f t="shared" si="33"/>
        <v>0</v>
      </c>
      <c r="H268" s="41"/>
      <c r="I268" s="69">
        <f t="shared" si="31"/>
        <v>0</v>
      </c>
      <c r="J268" s="35"/>
      <c r="K268" s="35"/>
      <c r="L268" s="36">
        <f t="shared" si="34"/>
        <v>0</v>
      </c>
      <c r="M268" s="38">
        <f t="shared" si="32"/>
        <v>0</v>
      </c>
      <c r="Q268" s="39" t="s">
        <v>197</v>
      </c>
    </row>
    <row r="269" spans="1:17" ht="15" hidden="1">
      <c r="A269" s="48"/>
      <c r="B269" s="47"/>
      <c r="C269" s="43"/>
      <c r="D269" s="68">
        <f t="shared" si="30"/>
        <v>0</v>
      </c>
      <c r="E269" s="35"/>
      <c r="F269" s="35"/>
      <c r="G269" s="36">
        <f t="shared" si="33"/>
        <v>0</v>
      </c>
      <c r="H269" s="41"/>
      <c r="I269" s="69">
        <f t="shared" si="31"/>
        <v>0</v>
      </c>
      <c r="J269" s="35"/>
      <c r="K269" s="35"/>
      <c r="L269" s="36">
        <f t="shared" si="34"/>
        <v>0</v>
      </c>
      <c r="M269" s="38">
        <f t="shared" si="32"/>
        <v>0</v>
      </c>
      <c r="Q269" s="39" t="s">
        <v>198</v>
      </c>
    </row>
    <row r="270" spans="1:17" ht="15" hidden="1">
      <c r="A270" s="40"/>
      <c r="B270" s="33"/>
      <c r="C270" s="43"/>
      <c r="D270" s="68">
        <f t="shared" si="30"/>
        <v>0</v>
      </c>
      <c r="E270" s="35"/>
      <c r="F270" s="35"/>
      <c r="G270" s="36">
        <f t="shared" si="33"/>
        <v>0</v>
      </c>
      <c r="H270" s="41"/>
      <c r="I270" s="69">
        <f t="shared" si="31"/>
        <v>0</v>
      </c>
      <c r="J270" s="35"/>
      <c r="K270" s="35"/>
      <c r="L270" s="36">
        <f t="shared" si="34"/>
        <v>0</v>
      </c>
      <c r="M270" s="38">
        <f t="shared" si="32"/>
        <v>0</v>
      </c>
      <c r="Q270" s="39" t="s">
        <v>199</v>
      </c>
    </row>
    <row r="271" spans="1:17" ht="15" hidden="1">
      <c r="A271" s="40"/>
      <c r="B271" s="33"/>
      <c r="C271" s="43"/>
      <c r="D271" s="68">
        <f t="shared" si="30"/>
        <v>0</v>
      </c>
      <c r="E271" s="35"/>
      <c r="F271" s="35"/>
      <c r="G271" s="36">
        <f t="shared" si="33"/>
        <v>0</v>
      </c>
      <c r="H271" s="41"/>
      <c r="I271" s="69">
        <f t="shared" si="31"/>
        <v>0</v>
      </c>
      <c r="J271" s="35"/>
      <c r="K271" s="35"/>
      <c r="L271" s="36">
        <f t="shared" si="34"/>
        <v>0</v>
      </c>
      <c r="M271" s="38">
        <f t="shared" si="32"/>
        <v>0</v>
      </c>
      <c r="Q271" s="39" t="s">
        <v>200</v>
      </c>
    </row>
    <row r="272" spans="1:17" ht="15" hidden="1">
      <c r="A272" s="40"/>
      <c r="B272" s="33"/>
      <c r="C272" s="43"/>
      <c r="D272" s="68">
        <f t="shared" si="30"/>
        <v>0</v>
      </c>
      <c r="E272" s="35"/>
      <c r="F272" s="35"/>
      <c r="G272" s="36">
        <f t="shared" si="33"/>
        <v>0</v>
      </c>
      <c r="H272" s="41"/>
      <c r="I272" s="69">
        <f t="shared" si="31"/>
        <v>0</v>
      </c>
      <c r="J272" s="35"/>
      <c r="K272" s="35"/>
      <c r="L272" s="36">
        <f t="shared" si="34"/>
        <v>0</v>
      </c>
      <c r="M272" s="38">
        <f t="shared" si="32"/>
        <v>0</v>
      </c>
      <c r="Q272" s="39" t="s">
        <v>201</v>
      </c>
    </row>
    <row r="273" spans="1:17" ht="15" hidden="1">
      <c r="A273" s="48"/>
      <c r="B273" s="33"/>
      <c r="C273" s="49"/>
      <c r="D273" s="68">
        <f t="shared" si="30"/>
        <v>0</v>
      </c>
      <c r="E273" s="35"/>
      <c r="F273" s="35"/>
      <c r="G273" s="36">
        <f t="shared" si="33"/>
        <v>0</v>
      </c>
      <c r="H273" s="41"/>
      <c r="I273" s="69">
        <f t="shared" si="31"/>
        <v>0</v>
      </c>
      <c r="J273" s="35"/>
      <c r="K273" s="35"/>
      <c r="L273" s="36">
        <f t="shared" si="34"/>
        <v>0</v>
      </c>
      <c r="M273" s="38">
        <f t="shared" si="32"/>
        <v>0</v>
      </c>
      <c r="Q273" s="39" t="s">
        <v>202</v>
      </c>
    </row>
    <row r="274" spans="1:17" ht="15" hidden="1">
      <c r="A274" s="40"/>
      <c r="B274" s="33"/>
      <c r="C274" s="43"/>
      <c r="D274" s="68">
        <f t="shared" si="30"/>
        <v>0</v>
      </c>
      <c r="E274" s="35"/>
      <c r="F274" s="35"/>
      <c r="G274" s="36">
        <f t="shared" si="33"/>
        <v>0</v>
      </c>
      <c r="H274" s="41"/>
      <c r="I274" s="69">
        <f t="shared" si="31"/>
        <v>0</v>
      </c>
      <c r="J274" s="35"/>
      <c r="K274" s="35"/>
      <c r="L274" s="36">
        <f t="shared" si="34"/>
        <v>0</v>
      </c>
      <c r="M274" s="38">
        <f t="shared" si="32"/>
        <v>0</v>
      </c>
      <c r="Q274" s="39" t="s">
        <v>203</v>
      </c>
    </row>
    <row r="275" spans="1:17" ht="15" hidden="1">
      <c r="A275" s="40"/>
      <c r="B275" s="33"/>
      <c r="C275" s="43"/>
      <c r="D275" s="68">
        <f t="shared" si="30"/>
        <v>0</v>
      </c>
      <c r="E275" s="35"/>
      <c r="F275" s="35"/>
      <c r="G275" s="36">
        <f t="shared" si="33"/>
        <v>0</v>
      </c>
      <c r="I275" s="69">
        <f t="shared" si="31"/>
        <v>0</v>
      </c>
      <c r="J275" s="35"/>
      <c r="K275" s="35"/>
      <c r="L275" s="36">
        <f t="shared" si="34"/>
        <v>0</v>
      </c>
      <c r="M275" s="38">
        <f t="shared" si="32"/>
        <v>0</v>
      </c>
      <c r="Q275" s="39" t="s">
        <v>204</v>
      </c>
    </row>
    <row r="276" spans="1:17" ht="15" hidden="1">
      <c r="A276" s="50"/>
      <c r="B276" s="50"/>
      <c r="C276" s="51"/>
      <c r="D276" s="68">
        <f t="shared" si="30"/>
        <v>0</v>
      </c>
      <c r="E276" s="52"/>
      <c r="F276" s="52"/>
      <c r="G276" s="36">
        <f t="shared" si="33"/>
        <v>0</v>
      </c>
      <c r="I276" s="69">
        <f t="shared" si="31"/>
        <v>0</v>
      </c>
      <c r="J276" s="52"/>
      <c r="K276" s="52"/>
      <c r="L276" s="36">
        <f t="shared" si="34"/>
        <v>0</v>
      </c>
      <c r="M276" s="38">
        <f t="shared" si="32"/>
        <v>0</v>
      </c>
      <c r="Q276" s="39" t="s">
        <v>205</v>
      </c>
    </row>
    <row r="277" spans="1:17">
      <c r="A277" s="50"/>
      <c r="B277" s="50"/>
      <c r="C277" s="53" t="s">
        <v>2</v>
      </c>
      <c r="D277" s="54">
        <f>SUM(D236:D276)</f>
        <v>41155761.099999994</v>
      </c>
      <c r="E277" s="54">
        <f>SUM(E236:E276)</f>
        <v>5044940</v>
      </c>
      <c r="F277" s="54">
        <f>SUM(F236:F276)</f>
        <v>0</v>
      </c>
      <c r="G277" s="54">
        <f>SUM(G236:G276)</f>
        <v>46200701.099999994</v>
      </c>
      <c r="H277" s="55"/>
      <c r="I277" s="54">
        <f>SUM(I236:I276)</f>
        <v>-20859816.34</v>
      </c>
      <c r="J277" s="54">
        <f>SUM(J236:J276)</f>
        <v>-1159429.7590210175</v>
      </c>
      <c r="K277" s="54">
        <f>SUM(K236:K276)</f>
        <v>0</v>
      </c>
      <c r="L277" s="54">
        <f>SUM(L236:L276)</f>
        <v>-22019246.099021021</v>
      </c>
      <c r="M277" s="54">
        <f>SUM(M236:M276)</f>
        <v>24181455.00097898</v>
      </c>
    </row>
    <row r="278" spans="1:17" ht="37.5" hidden="1">
      <c r="A278" s="50"/>
      <c r="B278" s="50"/>
      <c r="C278" s="56" t="s">
        <v>80</v>
      </c>
      <c r="D278" s="52"/>
      <c r="E278" s="52"/>
      <c r="F278" s="52"/>
      <c r="G278" s="36">
        <f>D278+E278+F278</f>
        <v>0</v>
      </c>
      <c r="I278" s="52"/>
      <c r="J278" s="52"/>
      <c r="K278" s="52"/>
      <c r="L278" s="36">
        <f>I278+J278+K278</f>
        <v>0</v>
      </c>
      <c r="M278" s="38">
        <f>G278+L278</f>
        <v>0</v>
      </c>
    </row>
    <row r="279" spans="1:17" ht="25.5">
      <c r="A279" s="50"/>
      <c r="B279" s="50"/>
      <c r="C279" s="57" t="s">
        <v>81</v>
      </c>
      <c r="D279" s="52"/>
      <c r="E279" s="52"/>
      <c r="F279" s="52"/>
      <c r="G279" s="36">
        <f>D279+E279+F279</f>
        <v>0</v>
      </c>
      <c r="I279" s="52"/>
      <c r="J279" s="52"/>
      <c r="K279" s="52"/>
      <c r="L279" s="36">
        <f>I279+J279+K279</f>
        <v>0</v>
      </c>
      <c r="M279" s="38">
        <f>G279+L279</f>
        <v>0</v>
      </c>
    </row>
    <row r="280" spans="1:17">
      <c r="A280" s="50"/>
      <c r="B280" s="50"/>
      <c r="C280" s="53" t="s">
        <v>82</v>
      </c>
      <c r="D280" s="54">
        <f>SUM(D277:D279)</f>
        <v>41155761.099999994</v>
      </c>
      <c r="E280" s="54">
        <f>SUM(E277:E279)</f>
        <v>5044940</v>
      </c>
      <c r="F280" s="54">
        <f>SUM(F277:F279)</f>
        <v>0</v>
      </c>
      <c r="G280" s="54">
        <f>SUM(G277:G279)</f>
        <v>46200701.099999994</v>
      </c>
      <c r="H280" s="55"/>
      <c r="I280" s="54">
        <f>SUM(I277:I279)</f>
        <v>-20859816.34</v>
      </c>
      <c r="J280" s="54">
        <f>SUM(J277:J279)</f>
        <v>-1159429.7590210175</v>
      </c>
      <c r="K280" s="54">
        <f>SUM(K277:K279)</f>
        <v>0</v>
      </c>
      <c r="L280" s="54">
        <f>SUM(L277:L279)</f>
        <v>-22019246.099021021</v>
      </c>
      <c r="M280" s="54">
        <f>SUM(M277:M279)</f>
        <v>24181455.00097898</v>
      </c>
    </row>
    <row r="281" spans="1:17" ht="15">
      <c r="A281" s="50"/>
      <c r="B281" s="50"/>
      <c r="C281" s="58" t="s">
        <v>83</v>
      </c>
      <c r="D281" s="35">
        <v>188447.43999999994</v>
      </c>
      <c r="E281" s="35">
        <f>-188447.44</f>
        <v>-188447.44</v>
      </c>
      <c r="F281" s="35"/>
      <c r="G281" s="36">
        <f t="shared" ref="G281" si="35">D281+E281+F281</f>
        <v>-5.8207660913467407E-11</v>
      </c>
      <c r="H281" s="41"/>
      <c r="L281" s="36">
        <f t="shared" ref="L281" si="36">I281+J281+K281</f>
        <v>0</v>
      </c>
      <c r="M281" s="38">
        <f>G281+L281</f>
        <v>-5.8207660913467407E-11</v>
      </c>
    </row>
    <row r="282" spans="1:17">
      <c r="A282" s="50"/>
      <c r="B282" s="50"/>
      <c r="C282" s="58" t="s">
        <v>84</v>
      </c>
      <c r="D282" s="54">
        <f>SUM(D280:D281)</f>
        <v>41344208.539999992</v>
      </c>
      <c r="E282" s="54">
        <f t="shared" ref="E282:M282" si="37">SUM(E280:E281)</f>
        <v>4856492.5599999996</v>
      </c>
      <c r="F282" s="54">
        <f t="shared" si="37"/>
        <v>0</v>
      </c>
      <c r="G282" s="54">
        <f t="shared" si="37"/>
        <v>46200701.099999994</v>
      </c>
      <c r="H282" s="54">
        <f t="shared" si="37"/>
        <v>0</v>
      </c>
      <c r="I282" s="54">
        <f t="shared" si="37"/>
        <v>-20859816.34</v>
      </c>
      <c r="J282" s="54">
        <f t="shared" si="37"/>
        <v>-1159429.7590210175</v>
      </c>
      <c r="K282" s="54">
        <f t="shared" si="37"/>
        <v>0</v>
      </c>
      <c r="L282" s="54">
        <f t="shared" si="37"/>
        <v>-22019246.099021021</v>
      </c>
      <c r="M282" s="54">
        <f t="shared" si="37"/>
        <v>24181455.00097898</v>
      </c>
    </row>
    <row r="283" spans="1:17" ht="15">
      <c r="A283" s="50"/>
      <c r="B283" s="50"/>
      <c r="C283" s="585" t="s">
        <v>85</v>
      </c>
      <c r="D283" s="586"/>
      <c r="E283" s="586"/>
      <c r="F283" s="586"/>
      <c r="G283" s="586"/>
      <c r="H283" s="586"/>
      <c r="I283" s="587"/>
      <c r="J283" s="52"/>
      <c r="K283" s="59"/>
      <c r="L283" s="60"/>
      <c r="M283" s="61"/>
    </row>
    <row r="284" spans="1:17" ht="15">
      <c r="A284" s="50"/>
      <c r="B284" s="50"/>
      <c r="C284" s="585" t="s">
        <v>482</v>
      </c>
      <c r="D284" s="586"/>
      <c r="E284" s="586"/>
      <c r="F284" s="586"/>
      <c r="G284" s="586"/>
      <c r="H284" s="586"/>
      <c r="I284" s="587"/>
      <c r="J284" s="54">
        <f>J282+J283</f>
        <v>-1159429.7590210175</v>
      </c>
      <c r="K284" s="59"/>
      <c r="L284" s="60"/>
      <c r="M284" s="61"/>
    </row>
    <row r="285" spans="1:17"/>
    <row r="286" spans="1:17" ht="13.5" thickBot="1"/>
    <row r="287" spans="1:17" ht="15.75" hidden="1" thickBot="1">
      <c r="E287" s="11" t="s">
        <v>25</v>
      </c>
      <c r="F287" s="21" t="str">
        <f>F231</f>
        <v>MIFRS</v>
      </c>
      <c r="H287" s="15"/>
    </row>
    <row r="288" spans="1:17" ht="15.75" thickBot="1">
      <c r="C288" s="19"/>
      <c r="E288" s="11" t="s">
        <v>27</v>
      </c>
      <c r="F288" s="183" t="s">
        <v>219</v>
      </c>
      <c r="G288" s="23"/>
    </row>
    <row r="289" spans="1:17"/>
    <row r="290" spans="1:17">
      <c r="D290" s="581" t="s">
        <v>28</v>
      </c>
      <c r="E290" s="582"/>
      <c r="F290" s="582"/>
      <c r="G290" s="583"/>
      <c r="I290" s="581" t="s">
        <v>483</v>
      </c>
      <c r="J290" s="582"/>
      <c r="K290" s="582"/>
      <c r="L290" s="583"/>
      <c r="M290" s="16"/>
    </row>
    <row r="291" spans="1:17" ht="30" customHeight="1">
      <c r="A291" s="27" t="s">
        <v>30</v>
      </c>
      <c r="B291" s="27" t="s">
        <v>31</v>
      </c>
      <c r="C291" s="28" t="s">
        <v>32</v>
      </c>
      <c r="D291" s="27" t="s">
        <v>33</v>
      </c>
      <c r="E291" s="29" t="s">
        <v>34</v>
      </c>
      <c r="F291" s="29" t="s">
        <v>35</v>
      </c>
      <c r="G291" s="27" t="s">
        <v>36</v>
      </c>
      <c r="H291" s="30"/>
      <c r="I291" s="27" t="s">
        <v>33</v>
      </c>
      <c r="J291" s="31" t="s">
        <v>37</v>
      </c>
      <c r="K291" s="31" t="s">
        <v>35</v>
      </c>
      <c r="L291" s="32" t="s">
        <v>36</v>
      </c>
      <c r="M291" s="27" t="s">
        <v>38</v>
      </c>
    </row>
    <row r="292" spans="1:17" ht="25.5" customHeight="1">
      <c r="A292" s="40">
        <v>50</v>
      </c>
      <c r="B292" s="33">
        <v>488</v>
      </c>
      <c r="C292" s="34" t="s">
        <v>264</v>
      </c>
      <c r="D292" s="68">
        <f t="shared" ref="D292:D332" si="38">G236</f>
        <v>325533.45999999996</v>
      </c>
      <c r="E292" s="35">
        <v>17525</v>
      </c>
      <c r="F292" s="35"/>
      <c r="G292" s="36">
        <f>D292+E292+F292</f>
        <v>343058.45999999996</v>
      </c>
      <c r="H292" s="30"/>
      <c r="I292" s="69">
        <f t="shared" ref="I292:I332" si="39">L236</f>
        <v>-218317.82675969857</v>
      </c>
      <c r="J292" s="35">
        <v>-12277.565765760544</v>
      </c>
      <c r="K292" s="35"/>
      <c r="L292" s="36">
        <f>I292+J292+K292</f>
        <v>-230595.39252545912</v>
      </c>
      <c r="M292" s="38">
        <f t="shared" ref="M292:M332" si="40">G292+L292</f>
        <v>112463.06747454085</v>
      </c>
      <c r="Q292" s="39" t="s">
        <v>170</v>
      </c>
    </row>
    <row r="293" spans="1:17" ht="15">
      <c r="A293" s="40">
        <v>50</v>
      </c>
      <c r="B293" s="33">
        <v>490</v>
      </c>
      <c r="C293" s="34" t="s">
        <v>261</v>
      </c>
      <c r="D293" s="68">
        <f t="shared" si="38"/>
        <v>608630.5</v>
      </c>
      <c r="E293" s="35">
        <v>57525</v>
      </c>
      <c r="F293" s="35"/>
      <c r="G293" s="36">
        <f>D293+E293+F293</f>
        <v>666155.5</v>
      </c>
      <c r="H293" s="41"/>
      <c r="I293" s="69">
        <f t="shared" si="39"/>
        <v>-550816.67179301661</v>
      </c>
      <c r="J293" s="35">
        <v>-32628.313559192396</v>
      </c>
      <c r="K293" s="35"/>
      <c r="L293" s="36">
        <f>I293+J293+K293</f>
        <v>-583444.98535220895</v>
      </c>
      <c r="M293" s="38">
        <f t="shared" si="40"/>
        <v>82710.514647791046</v>
      </c>
      <c r="Q293" s="39" t="s">
        <v>171</v>
      </c>
    </row>
    <row r="294" spans="1:17" ht="15">
      <c r="A294" s="40">
        <v>51</v>
      </c>
      <c r="B294" s="33">
        <v>499</v>
      </c>
      <c r="C294" s="34" t="s">
        <v>350</v>
      </c>
      <c r="D294" s="68">
        <f t="shared" si="38"/>
        <v>-376287.94</v>
      </c>
      <c r="E294" s="35">
        <v>0</v>
      </c>
      <c r="F294" s="35"/>
      <c r="G294" s="36">
        <f>D294+E294+F294</f>
        <v>-376287.94</v>
      </c>
      <c r="H294" s="41"/>
      <c r="I294" s="69">
        <f t="shared" si="39"/>
        <v>50080.943125149723</v>
      </c>
      <c r="J294" s="35">
        <v>8331.2631251497223</v>
      </c>
      <c r="K294" s="35"/>
      <c r="L294" s="36">
        <f>I294+J294+K294</f>
        <v>58412.206250299445</v>
      </c>
      <c r="M294" s="38">
        <f t="shared" si="40"/>
        <v>-317875.73374970054</v>
      </c>
      <c r="Q294" s="39" t="s">
        <v>172</v>
      </c>
    </row>
    <row r="295" spans="1:17" ht="15">
      <c r="A295" s="40">
        <v>51</v>
      </c>
      <c r="B295" s="40">
        <v>499</v>
      </c>
      <c r="C295" s="42" t="s">
        <v>351</v>
      </c>
      <c r="D295" s="68">
        <f t="shared" si="38"/>
        <v>-317496.40000000002</v>
      </c>
      <c r="E295" s="35">
        <v>-25000</v>
      </c>
      <c r="F295" s="35"/>
      <c r="G295" s="36">
        <f>D295+E295+F295</f>
        <v>-342496.4</v>
      </c>
      <c r="H295" s="41"/>
      <c r="I295" s="69">
        <f t="shared" si="39"/>
        <v>26736.434029633452</v>
      </c>
      <c r="J295" s="35">
        <v>8130.9287117143776</v>
      </c>
      <c r="K295" s="35"/>
      <c r="L295" s="36">
        <f>I295+J295+K295</f>
        <v>34867.362741347832</v>
      </c>
      <c r="M295" s="38">
        <f t="shared" si="40"/>
        <v>-307629.03725865221</v>
      </c>
      <c r="Q295" s="39" t="s">
        <v>173</v>
      </c>
    </row>
    <row r="296" spans="1:17" ht="15">
      <c r="A296" s="40">
        <v>51</v>
      </c>
      <c r="B296" s="40">
        <v>499</v>
      </c>
      <c r="C296" s="43" t="s">
        <v>352</v>
      </c>
      <c r="D296" s="68">
        <f t="shared" si="38"/>
        <v>-13207.81</v>
      </c>
      <c r="E296" s="35">
        <v>0</v>
      </c>
      <c r="F296" s="35"/>
      <c r="G296" s="36">
        <f t="shared" ref="G296:G332" si="41">D296+E296+F296</f>
        <v>-13207.81</v>
      </c>
      <c r="H296" s="41"/>
      <c r="I296" s="69">
        <f t="shared" si="39"/>
        <v>2640.7458523317096</v>
      </c>
      <c r="J296" s="35">
        <v>361.44585233170966</v>
      </c>
      <c r="K296" s="35"/>
      <c r="L296" s="36">
        <f t="shared" ref="L296:L332" si="42">I296+J296+K296</f>
        <v>3002.1917046634194</v>
      </c>
      <c r="M296" s="38">
        <f t="shared" si="40"/>
        <v>-10205.618295336581</v>
      </c>
      <c r="Q296" s="39" t="s">
        <v>174</v>
      </c>
    </row>
    <row r="297" spans="1:17" ht="15">
      <c r="A297" s="40">
        <v>51</v>
      </c>
      <c r="B297" s="40">
        <v>499</v>
      </c>
      <c r="C297" s="43" t="s">
        <v>353</v>
      </c>
      <c r="D297" s="68">
        <f t="shared" si="38"/>
        <v>-504279.73</v>
      </c>
      <c r="E297" s="35">
        <v>-47250</v>
      </c>
      <c r="F297" s="35"/>
      <c r="G297" s="36">
        <f t="shared" si="41"/>
        <v>-551529.73</v>
      </c>
      <c r="H297" s="41"/>
      <c r="I297" s="69">
        <f t="shared" si="39"/>
        <v>40190.410568235202</v>
      </c>
      <c r="J297" s="35">
        <v>12033.343036854445</v>
      </c>
      <c r="K297" s="35"/>
      <c r="L297" s="36">
        <f t="shared" si="42"/>
        <v>52223.753605089645</v>
      </c>
      <c r="M297" s="38">
        <f t="shared" si="40"/>
        <v>-499305.97639491037</v>
      </c>
      <c r="Q297" s="39" t="s">
        <v>175</v>
      </c>
    </row>
    <row r="298" spans="1:17" ht="15">
      <c r="A298" s="40"/>
      <c r="B298" s="40">
        <v>401</v>
      </c>
      <c r="C298" s="43" t="s">
        <v>354</v>
      </c>
      <c r="D298" s="68">
        <f t="shared" si="38"/>
        <v>842666.73999999987</v>
      </c>
      <c r="E298" s="35">
        <v>0</v>
      </c>
      <c r="F298" s="35"/>
      <c r="G298" s="36">
        <f t="shared" si="41"/>
        <v>842666.73999999987</v>
      </c>
      <c r="H298" s="41"/>
      <c r="I298" s="69">
        <f t="shared" si="39"/>
        <v>-544403.18999999994</v>
      </c>
      <c r="J298" s="35">
        <v>-35232</v>
      </c>
      <c r="K298" s="35"/>
      <c r="L298" s="36">
        <f t="shared" si="42"/>
        <v>-579635.18999999994</v>
      </c>
      <c r="M298" s="38">
        <f t="shared" si="40"/>
        <v>263031.54999999993</v>
      </c>
      <c r="Q298" s="39" t="s">
        <v>176</v>
      </c>
    </row>
    <row r="299" spans="1:17" ht="15">
      <c r="A299" s="40"/>
      <c r="B299" s="40">
        <v>483</v>
      </c>
      <c r="C299" s="34" t="s">
        <v>260</v>
      </c>
      <c r="D299" s="68">
        <f t="shared" si="38"/>
        <v>200719.96</v>
      </c>
      <c r="E299" s="35">
        <v>0</v>
      </c>
      <c r="F299" s="35"/>
      <c r="G299" s="36">
        <f t="shared" si="41"/>
        <v>200719.96</v>
      </c>
      <c r="H299" s="41"/>
      <c r="I299" s="69">
        <f t="shared" si="39"/>
        <v>-130539.95210524612</v>
      </c>
      <c r="J299" s="35">
        <v>-7773.9921052461441</v>
      </c>
      <c r="K299" s="35"/>
      <c r="L299" s="36">
        <f t="shared" si="42"/>
        <v>-138313.94421049228</v>
      </c>
      <c r="M299" s="38">
        <f t="shared" si="40"/>
        <v>62406.015789507714</v>
      </c>
      <c r="Q299" s="39" t="s">
        <v>177</v>
      </c>
    </row>
    <row r="300" spans="1:17" ht="15">
      <c r="A300" s="40"/>
      <c r="B300" s="40">
        <v>480</v>
      </c>
      <c r="C300" s="43" t="s">
        <v>44</v>
      </c>
      <c r="D300" s="68">
        <f t="shared" si="38"/>
        <v>82653.239999999991</v>
      </c>
      <c r="E300" s="35">
        <v>0</v>
      </c>
      <c r="F300" s="35"/>
      <c r="G300" s="36">
        <f t="shared" si="41"/>
        <v>82653.239999999991</v>
      </c>
      <c r="H300" s="41"/>
      <c r="I300" s="69">
        <f t="shared" si="39"/>
        <v>0</v>
      </c>
      <c r="J300" s="35">
        <v>0</v>
      </c>
      <c r="K300" s="35"/>
      <c r="L300" s="36">
        <f t="shared" si="42"/>
        <v>0</v>
      </c>
      <c r="M300" s="38">
        <f t="shared" si="40"/>
        <v>82653.239999999991</v>
      </c>
      <c r="Q300" s="39" t="s">
        <v>178</v>
      </c>
    </row>
    <row r="301" spans="1:17" ht="15">
      <c r="A301" s="40">
        <v>51</v>
      </c>
      <c r="B301" s="40">
        <v>475</v>
      </c>
      <c r="C301" s="43" t="s">
        <v>300</v>
      </c>
      <c r="D301" s="68">
        <f t="shared" si="38"/>
        <v>0</v>
      </c>
      <c r="E301" s="35">
        <v>0</v>
      </c>
      <c r="F301" s="35"/>
      <c r="G301" s="36">
        <f t="shared" si="41"/>
        <v>0</v>
      </c>
      <c r="H301" s="41"/>
      <c r="I301" s="69">
        <f t="shared" si="39"/>
        <v>0</v>
      </c>
      <c r="J301" s="35">
        <v>0</v>
      </c>
      <c r="K301" s="35"/>
      <c r="L301" s="36">
        <f t="shared" si="42"/>
        <v>0</v>
      </c>
      <c r="M301" s="38">
        <f t="shared" si="40"/>
        <v>0</v>
      </c>
      <c r="Q301" s="39" t="s">
        <v>179</v>
      </c>
    </row>
    <row r="302" spans="1:17" ht="15">
      <c r="A302" s="40">
        <v>51</v>
      </c>
      <c r="B302" s="40">
        <v>475</v>
      </c>
      <c r="C302" s="43" t="s">
        <v>301</v>
      </c>
      <c r="D302" s="68">
        <f t="shared" si="38"/>
        <v>6530973.9499999993</v>
      </c>
      <c r="E302" s="35">
        <v>300000</v>
      </c>
      <c r="F302" s="35"/>
      <c r="G302" s="36">
        <f t="shared" si="41"/>
        <v>6830973.9499999993</v>
      </c>
      <c r="H302" s="41"/>
      <c r="I302" s="69">
        <f t="shared" si="39"/>
        <v>-3341640.4642024143</v>
      </c>
      <c r="J302" s="35">
        <v>-89083.628261820675</v>
      </c>
      <c r="K302" s="35"/>
      <c r="L302" s="36">
        <f t="shared" si="42"/>
        <v>-3430724.0924642351</v>
      </c>
      <c r="M302" s="38">
        <f t="shared" si="40"/>
        <v>3400249.8575357641</v>
      </c>
      <c r="Q302" s="39" t="s">
        <v>180</v>
      </c>
    </row>
    <row r="303" spans="1:17" ht="15">
      <c r="A303" s="40">
        <v>51</v>
      </c>
      <c r="B303" s="40">
        <v>475</v>
      </c>
      <c r="C303" s="43" t="s">
        <v>302</v>
      </c>
      <c r="D303" s="68">
        <f t="shared" si="38"/>
        <v>18333786.049999997</v>
      </c>
      <c r="E303" s="35">
        <v>1381350</v>
      </c>
      <c r="F303" s="35"/>
      <c r="G303" s="36">
        <f t="shared" si="41"/>
        <v>19715136.049999997</v>
      </c>
      <c r="H303" s="41"/>
      <c r="I303" s="69">
        <f t="shared" si="39"/>
        <v>-7360285.2709410116</v>
      </c>
      <c r="J303" s="35">
        <v>-373259.81562309165</v>
      </c>
      <c r="K303" s="35"/>
      <c r="L303" s="36">
        <f t="shared" si="42"/>
        <v>-7733545.0865641031</v>
      </c>
      <c r="M303" s="38">
        <f t="shared" si="40"/>
        <v>11981590.963435894</v>
      </c>
      <c r="Q303" s="39" t="s">
        <v>181</v>
      </c>
    </row>
    <row r="304" spans="1:17" ht="15">
      <c r="A304" s="40">
        <v>8</v>
      </c>
      <c r="B304" s="40">
        <v>477</v>
      </c>
      <c r="C304" s="43" t="s">
        <v>299</v>
      </c>
      <c r="D304" s="68">
        <f t="shared" si="38"/>
        <v>2441159</v>
      </c>
      <c r="E304" s="35">
        <v>97940</v>
      </c>
      <c r="F304" s="35"/>
      <c r="G304" s="36">
        <f t="shared" si="41"/>
        <v>2539099</v>
      </c>
      <c r="H304" s="41"/>
      <c r="I304" s="69">
        <f t="shared" si="39"/>
        <v>-1075321.4217302329</v>
      </c>
      <c r="J304" s="35">
        <v>-56525.400510720749</v>
      </c>
      <c r="K304" s="35"/>
      <c r="L304" s="36">
        <f t="shared" si="42"/>
        <v>-1131846.8222409536</v>
      </c>
      <c r="M304" s="38">
        <f t="shared" si="40"/>
        <v>1407252.1777590464</v>
      </c>
      <c r="Q304" s="39" t="s">
        <v>182</v>
      </c>
    </row>
    <row r="305" spans="1:17" ht="15">
      <c r="A305" s="40">
        <v>8</v>
      </c>
      <c r="B305" s="40">
        <v>477</v>
      </c>
      <c r="C305" s="43" t="s">
        <v>355</v>
      </c>
      <c r="D305" s="68">
        <f t="shared" si="38"/>
        <v>576367.02</v>
      </c>
      <c r="E305" s="35">
        <v>0</v>
      </c>
      <c r="F305" s="35"/>
      <c r="G305" s="36">
        <f t="shared" si="41"/>
        <v>576367.02</v>
      </c>
      <c r="H305" s="41"/>
      <c r="I305" s="69">
        <f t="shared" si="39"/>
        <v>-145889.06</v>
      </c>
      <c r="J305" s="35">
        <v>-21086.59</v>
      </c>
      <c r="K305" s="35"/>
      <c r="L305" s="36">
        <f t="shared" si="42"/>
        <v>-166975.65</v>
      </c>
      <c r="M305" s="38">
        <f t="shared" si="40"/>
        <v>409391.37</v>
      </c>
      <c r="Q305" s="39" t="s">
        <v>183</v>
      </c>
    </row>
    <row r="306" spans="1:17" ht="15">
      <c r="A306" s="40">
        <v>51</v>
      </c>
      <c r="B306" s="40">
        <v>478</v>
      </c>
      <c r="C306" s="43" t="s">
        <v>268</v>
      </c>
      <c r="D306" s="68">
        <f t="shared" si="38"/>
        <v>2086249.47</v>
      </c>
      <c r="E306" s="35">
        <v>157000</v>
      </c>
      <c r="F306" s="35"/>
      <c r="G306" s="36">
        <f t="shared" si="41"/>
        <v>2243249.4699999997</v>
      </c>
      <c r="H306" s="41"/>
      <c r="I306" s="69">
        <f t="shared" si="39"/>
        <v>-1136396.0798100859</v>
      </c>
      <c r="J306" s="35">
        <v>-89996.799810085897</v>
      </c>
      <c r="K306" s="35"/>
      <c r="L306" s="36">
        <f t="shared" si="42"/>
        <v>-1226392.8796201719</v>
      </c>
      <c r="M306" s="38">
        <f t="shared" si="40"/>
        <v>1016856.5903798279</v>
      </c>
      <c r="Q306" s="39" t="s">
        <v>184</v>
      </c>
    </row>
    <row r="307" spans="1:17" ht="15">
      <c r="A307" s="40">
        <v>51</v>
      </c>
      <c r="B307" s="40">
        <v>478</v>
      </c>
      <c r="C307" s="43" t="s">
        <v>298</v>
      </c>
      <c r="D307" s="68">
        <f t="shared" si="38"/>
        <v>14139.4</v>
      </c>
      <c r="E307" s="35">
        <v>0</v>
      </c>
      <c r="F307" s="35"/>
      <c r="G307" s="36">
        <f t="shared" si="41"/>
        <v>14139.4</v>
      </c>
      <c r="H307" s="41"/>
      <c r="I307" s="69">
        <f t="shared" si="39"/>
        <v>-14139.400000000001</v>
      </c>
      <c r="J307" s="35">
        <v>0</v>
      </c>
      <c r="K307" s="35"/>
      <c r="L307" s="36">
        <f t="shared" si="42"/>
        <v>-14139.400000000001</v>
      </c>
      <c r="M307" s="38">
        <f t="shared" si="40"/>
        <v>0</v>
      </c>
      <c r="Q307" s="39" t="s">
        <v>185</v>
      </c>
    </row>
    <row r="308" spans="1:17" ht="15">
      <c r="A308" s="40">
        <v>51</v>
      </c>
      <c r="B308" s="40">
        <v>478</v>
      </c>
      <c r="C308" s="42" t="s">
        <v>297</v>
      </c>
      <c r="D308" s="68">
        <f t="shared" si="38"/>
        <v>3447753.1999999997</v>
      </c>
      <c r="E308" s="35">
        <v>820860</v>
      </c>
      <c r="F308" s="35"/>
      <c r="G308" s="36">
        <f t="shared" si="41"/>
        <v>4268613.1999999993</v>
      </c>
      <c r="H308" s="41"/>
      <c r="I308" s="69">
        <f t="shared" si="39"/>
        <v>-1726515.8410255767</v>
      </c>
      <c r="J308" s="35">
        <v>-293692.54285961087</v>
      </c>
      <c r="K308" s="35"/>
      <c r="L308" s="36">
        <f t="shared" si="42"/>
        <v>-2020208.3838851876</v>
      </c>
      <c r="M308" s="38">
        <f t="shared" si="40"/>
        <v>2248404.8161148117</v>
      </c>
      <c r="Q308" s="39" t="s">
        <v>185</v>
      </c>
    </row>
    <row r="309" spans="1:17" ht="15">
      <c r="A309" s="40">
        <v>8</v>
      </c>
      <c r="B309" s="40">
        <v>474</v>
      </c>
      <c r="C309" s="42" t="s">
        <v>270</v>
      </c>
      <c r="D309" s="68">
        <f t="shared" si="38"/>
        <v>1113495.5699999998</v>
      </c>
      <c r="E309" s="35">
        <v>255740</v>
      </c>
      <c r="F309" s="35"/>
      <c r="G309" s="36">
        <f t="shared" si="41"/>
        <v>1369235.5699999998</v>
      </c>
      <c r="H309" s="41"/>
      <c r="I309" s="69">
        <f t="shared" si="39"/>
        <v>-476583.95373962726</v>
      </c>
      <c r="J309" s="35">
        <v>-43538.033739627324</v>
      </c>
      <c r="K309" s="35"/>
      <c r="L309" s="36">
        <f t="shared" si="42"/>
        <v>-520121.9874792546</v>
      </c>
      <c r="M309" s="38">
        <f t="shared" si="40"/>
        <v>849113.58252074523</v>
      </c>
      <c r="Q309" s="39" t="s">
        <v>186</v>
      </c>
    </row>
    <row r="310" spans="1:17" ht="15">
      <c r="A310" s="40">
        <v>51</v>
      </c>
      <c r="B310" s="40">
        <v>473</v>
      </c>
      <c r="C310" s="43" t="s">
        <v>303</v>
      </c>
      <c r="D310" s="68">
        <f t="shared" si="38"/>
        <v>7446392.3200000003</v>
      </c>
      <c r="E310" s="35">
        <v>816160</v>
      </c>
      <c r="F310" s="35"/>
      <c r="G310" s="36">
        <f t="shared" si="41"/>
        <v>8262552.3200000003</v>
      </c>
      <c r="H310" s="41"/>
      <c r="I310" s="69">
        <f t="shared" si="39"/>
        <v>-3250845.5774259972</v>
      </c>
      <c r="J310" s="35">
        <v>-123272.55525026497</v>
      </c>
      <c r="K310" s="35"/>
      <c r="L310" s="36">
        <f t="shared" si="42"/>
        <v>-3374118.1326762624</v>
      </c>
      <c r="M310" s="38">
        <f t="shared" si="40"/>
        <v>4888434.1873237379</v>
      </c>
      <c r="Q310" s="39" t="s">
        <v>187</v>
      </c>
    </row>
    <row r="311" spans="1:17" ht="15">
      <c r="A311" s="40">
        <v>12</v>
      </c>
      <c r="B311" s="40">
        <v>491</v>
      </c>
      <c r="C311" s="43" t="s">
        <v>262</v>
      </c>
      <c r="D311" s="68">
        <f t="shared" si="38"/>
        <v>754686.65999999992</v>
      </c>
      <c r="E311" s="35">
        <v>10000</v>
      </c>
      <c r="F311" s="35"/>
      <c r="G311" s="36">
        <f t="shared" si="41"/>
        <v>764686.65999999992</v>
      </c>
      <c r="H311" s="41"/>
      <c r="I311" s="69">
        <f t="shared" si="39"/>
        <v>-584839.03606688289</v>
      </c>
      <c r="J311" s="35">
        <v>-43063.906066882832</v>
      </c>
      <c r="K311" s="35"/>
      <c r="L311" s="36">
        <f t="shared" si="42"/>
        <v>-627902.94213376567</v>
      </c>
      <c r="M311" s="38">
        <f t="shared" si="40"/>
        <v>136783.71786623425</v>
      </c>
      <c r="Q311" s="39" t="s">
        <v>188</v>
      </c>
    </row>
    <row r="312" spans="1:17" ht="15">
      <c r="A312" s="40">
        <v>1</v>
      </c>
      <c r="B312" s="40">
        <v>482</v>
      </c>
      <c r="C312" s="43" t="s">
        <v>304</v>
      </c>
      <c r="D312" s="68">
        <f t="shared" si="38"/>
        <v>782561.52</v>
      </c>
      <c r="E312" s="35">
        <v>123530</v>
      </c>
      <c r="F312" s="35"/>
      <c r="G312" s="36">
        <f t="shared" si="41"/>
        <v>906091.52000000002</v>
      </c>
      <c r="H312" s="41"/>
      <c r="I312" s="69">
        <f t="shared" si="39"/>
        <v>-352479.792090895</v>
      </c>
      <c r="J312" s="35">
        <v>-13518.410090894937</v>
      </c>
      <c r="K312" s="35"/>
      <c r="L312" s="36">
        <f t="shared" si="42"/>
        <v>-365998.20218178997</v>
      </c>
      <c r="M312" s="38">
        <f t="shared" si="40"/>
        <v>540093.31781820999</v>
      </c>
      <c r="Q312" s="39" t="s">
        <v>189</v>
      </c>
    </row>
    <row r="313" spans="1:17" ht="15">
      <c r="A313" s="40">
        <v>8</v>
      </c>
      <c r="B313" s="40">
        <v>486</v>
      </c>
      <c r="C313" s="43" t="s">
        <v>263</v>
      </c>
      <c r="D313" s="68">
        <f t="shared" si="38"/>
        <v>917678.56000000017</v>
      </c>
      <c r="E313" s="35">
        <v>23030</v>
      </c>
      <c r="F313" s="35"/>
      <c r="G313" s="36">
        <f t="shared" si="41"/>
        <v>940708.56000000017</v>
      </c>
      <c r="H313" s="41"/>
      <c r="I313" s="69">
        <f t="shared" si="39"/>
        <v>-672613.17234723608</v>
      </c>
      <c r="J313" s="35">
        <v>-27043.069013902674</v>
      </c>
      <c r="K313" s="35"/>
      <c r="L313" s="36">
        <f t="shared" si="42"/>
        <v>-699656.24136113876</v>
      </c>
      <c r="M313" s="38">
        <f t="shared" si="40"/>
        <v>241052.31863886141</v>
      </c>
      <c r="Q313" s="39" t="s">
        <v>189</v>
      </c>
    </row>
    <row r="314" spans="1:17" ht="15">
      <c r="A314" s="40">
        <v>10</v>
      </c>
      <c r="B314" s="40">
        <v>485</v>
      </c>
      <c r="C314" s="43" t="s">
        <v>306</v>
      </c>
      <c r="D314" s="68">
        <f t="shared" si="38"/>
        <v>33032.959999999999</v>
      </c>
      <c r="E314" s="35">
        <v>0</v>
      </c>
      <c r="F314" s="35"/>
      <c r="G314" s="36">
        <f t="shared" si="41"/>
        <v>33032.959999999999</v>
      </c>
      <c r="H314" s="41"/>
      <c r="I314" s="69">
        <f t="shared" si="39"/>
        <v>-14253.209469474159</v>
      </c>
      <c r="J314" s="35">
        <v>-2335.2694694741599</v>
      </c>
      <c r="K314" s="35"/>
      <c r="L314" s="36">
        <f t="shared" si="42"/>
        <v>-16588.478938948319</v>
      </c>
      <c r="M314" s="38">
        <f t="shared" si="40"/>
        <v>16444.48106105168</v>
      </c>
      <c r="Q314" s="39" t="s">
        <v>190</v>
      </c>
    </row>
    <row r="315" spans="1:17" ht="15">
      <c r="A315" s="40">
        <v>10</v>
      </c>
      <c r="B315" s="44">
        <v>484</v>
      </c>
      <c r="C315" s="34" t="s">
        <v>305</v>
      </c>
      <c r="D315" s="68">
        <f t="shared" si="38"/>
        <v>873493.39999999991</v>
      </c>
      <c r="E315" s="35">
        <v>75520</v>
      </c>
      <c r="F315" s="35"/>
      <c r="G315" s="36">
        <f t="shared" si="41"/>
        <v>949013.39999999991</v>
      </c>
      <c r="H315" s="41"/>
      <c r="I315" s="69">
        <f t="shared" si="39"/>
        <v>-543014.71308897284</v>
      </c>
      <c r="J315" s="35">
        <v>-85328.385482700702</v>
      </c>
      <c r="K315" s="35"/>
      <c r="L315" s="36">
        <f t="shared" si="42"/>
        <v>-628343.0985716735</v>
      </c>
      <c r="M315" s="38">
        <f t="shared" si="40"/>
        <v>320670.30142832641</v>
      </c>
      <c r="Q315" s="39" t="s">
        <v>190</v>
      </c>
    </row>
    <row r="316" spans="1:17" ht="15" hidden="1">
      <c r="A316" s="40"/>
      <c r="B316" s="44"/>
      <c r="C316" s="34"/>
      <c r="D316" s="68">
        <f t="shared" si="38"/>
        <v>0</v>
      </c>
      <c r="E316" s="35"/>
      <c r="F316" s="35"/>
      <c r="G316" s="36">
        <f t="shared" si="41"/>
        <v>0</v>
      </c>
      <c r="H316" s="41"/>
      <c r="I316" s="69">
        <f t="shared" si="39"/>
        <v>0</v>
      </c>
      <c r="J316" s="35"/>
      <c r="K316" s="35"/>
      <c r="L316" s="36">
        <f t="shared" si="42"/>
        <v>0</v>
      </c>
      <c r="M316" s="38">
        <f t="shared" si="40"/>
        <v>0</v>
      </c>
      <c r="Q316" s="39" t="s">
        <v>190</v>
      </c>
    </row>
    <row r="317" spans="1:17" ht="15" hidden="1">
      <c r="A317" s="40"/>
      <c r="B317" s="33"/>
      <c r="C317" s="43"/>
      <c r="D317" s="68">
        <f t="shared" si="38"/>
        <v>0</v>
      </c>
      <c r="E317" s="35"/>
      <c r="F317" s="35"/>
      <c r="G317" s="36">
        <f t="shared" si="41"/>
        <v>0</v>
      </c>
      <c r="H317" s="41"/>
      <c r="I317" s="69">
        <f t="shared" si="39"/>
        <v>0</v>
      </c>
      <c r="J317" s="35"/>
      <c r="K317" s="35"/>
      <c r="L317" s="36">
        <f t="shared" si="42"/>
        <v>0</v>
      </c>
      <c r="M317" s="38">
        <f t="shared" si="40"/>
        <v>0</v>
      </c>
      <c r="Q317" s="39" t="s">
        <v>191</v>
      </c>
    </row>
    <row r="318" spans="1:17" ht="15" hidden="1">
      <c r="A318" s="40"/>
      <c r="B318" s="33"/>
      <c r="C318" s="43"/>
      <c r="D318" s="68">
        <f t="shared" si="38"/>
        <v>0</v>
      </c>
      <c r="E318" s="35"/>
      <c r="F318" s="35"/>
      <c r="G318" s="36">
        <f t="shared" si="41"/>
        <v>0</v>
      </c>
      <c r="H318" s="41"/>
      <c r="I318" s="69">
        <f t="shared" si="39"/>
        <v>0</v>
      </c>
      <c r="J318" s="35"/>
      <c r="K318" s="35"/>
      <c r="L318" s="36">
        <f t="shared" si="42"/>
        <v>0</v>
      </c>
      <c r="M318" s="38">
        <f t="shared" si="40"/>
        <v>0</v>
      </c>
      <c r="Q318" s="39" t="s">
        <v>192</v>
      </c>
    </row>
    <row r="319" spans="1:17" ht="15" hidden="1">
      <c r="A319" s="40"/>
      <c r="B319" s="33"/>
      <c r="C319" s="43"/>
      <c r="D319" s="68">
        <f t="shared" si="38"/>
        <v>0</v>
      </c>
      <c r="E319" s="35"/>
      <c r="F319" s="35"/>
      <c r="G319" s="36">
        <f t="shared" si="41"/>
        <v>0</v>
      </c>
      <c r="H319" s="41"/>
      <c r="I319" s="69">
        <f t="shared" si="39"/>
        <v>0</v>
      </c>
      <c r="J319" s="35"/>
      <c r="K319" s="35"/>
      <c r="L319" s="36">
        <f t="shared" si="42"/>
        <v>0</v>
      </c>
      <c r="M319" s="38">
        <f t="shared" si="40"/>
        <v>0</v>
      </c>
      <c r="Q319" s="39" t="s">
        <v>193</v>
      </c>
    </row>
    <row r="320" spans="1:17" ht="15" hidden="1">
      <c r="A320" s="40"/>
      <c r="B320" s="33"/>
      <c r="C320" s="43"/>
      <c r="D320" s="68">
        <f t="shared" si="38"/>
        <v>0</v>
      </c>
      <c r="E320" s="35"/>
      <c r="F320" s="35"/>
      <c r="G320" s="36">
        <f t="shared" si="41"/>
        <v>0</v>
      </c>
      <c r="H320" s="41"/>
      <c r="I320" s="69">
        <f t="shared" si="39"/>
        <v>0</v>
      </c>
      <c r="J320" s="35"/>
      <c r="K320" s="35"/>
      <c r="L320" s="36">
        <f t="shared" si="42"/>
        <v>0</v>
      </c>
      <c r="M320" s="38">
        <f t="shared" si="40"/>
        <v>0</v>
      </c>
      <c r="Q320" s="39" t="s">
        <v>194</v>
      </c>
    </row>
    <row r="321" spans="1:17" ht="15" hidden="1">
      <c r="A321" s="40"/>
      <c r="B321" s="33"/>
      <c r="C321" s="43"/>
      <c r="D321" s="68">
        <f t="shared" si="38"/>
        <v>0</v>
      </c>
      <c r="E321" s="35"/>
      <c r="F321" s="35"/>
      <c r="G321" s="36">
        <f t="shared" si="41"/>
        <v>0</v>
      </c>
      <c r="H321" s="41"/>
      <c r="I321" s="69">
        <f t="shared" si="39"/>
        <v>0</v>
      </c>
      <c r="J321" s="35"/>
      <c r="K321" s="35"/>
      <c r="L321" s="36">
        <f t="shared" si="42"/>
        <v>0</v>
      </c>
      <c r="M321" s="38">
        <f t="shared" si="40"/>
        <v>0</v>
      </c>
      <c r="Q321" s="39" t="s">
        <v>195</v>
      </c>
    </row>
    <row r="322" spans="1:17" ht="15" hidden="1">
      <c r="A322" s="40"/>
      <c r="B322" s="33"/>
      <c r="C322" s="43"/>
      <c r="D322" s="68">
        <f t="shared" si="38"/>
        <v>0</v>
      </c>
      <c r="E322" s="35"/>
      <c r="F322" s="35"/>
      <c r="G322" s="36">
        <f t="shared" si="41"/>
        <v>0</v>
      </c>
      <c r="H322" s="41"/>
      <c r="I322" s="69">
        <f t="shared" si="39"/>
        <v>0</v>
      </c>
      <c r="J322" s="35"/>
      <c r="K322" s="35"/>
      <c r="L322" s="36">
        <f t="shared" si="42"/>
        <v>0</v>
      </c>
      <c r="M322" s="38">
        <f t="shared" si="40"/>
        <v>0</v>
      </c>
      <c r="Q322" s="39" t="s">
        <v>196</v>
      </c>
    </row>
    <row r="323" spans="1:17" ht="15" hidden="1">
      <c r="A323" s="44"/>
      <c r="B323" s="44"/>
      <c r="C323" s="46"/>
      <c r="D323" s="68">
        <f t="shared" si="38"/>
        <v>0</v>
      </c>
      <c r="E323" s="35"/>
      <c r="F323" s="35"/>
      <c r="G323" s="36">
        <f t="shared" si="41"/>
        <v>0</v>
      </c>
      <c r="H323" s="41"/>
      <c r="I323" s="69">
        <f t="shared" si="39"/>
        <v>0</v>
      </c>
      <c r="J323" s="35"/>
      <c r="K323" s="35"/>
      <c r="L323" s="36">
        <f t="shared" si="42"/>
        <v>0</v>
      </c>
      <c r="M323" s="38">
        <f t="shared" si="40"/>
        <v>0</v>
      </c>
      <c r="Q323" s="39" t="s">
        <v>196</v>
      </c>
    </row>
    <row r="324" spans="1:17" ht="15" hidden="1">
      <c r="A324" s="44"/>
      <c r="B324" s="47"/>
      <c r="C324" s="34"/>
      <c r="D324" s="68">
        <f t="shared" si="38"/>
        <v>0</v>
      </c>
      <c r="E324" s="35"/>
      <c r="F324" s="35"/>
      <c r="G324" s="36">
        <f t="shared" si="41"/>
        <v>0</v>
      </c>
      <c r="H324" s="41"/>
      <c r="I324" s="69">
        <f t="shared" si="39"/>
        <v>0</v>
      </c>
      <c r="J324" s="35"/>
      <c r="K324" s="35"/>
      <c r="L324" s="36">
        <f t="shared" si="42"/>
        <v>0</v>
      </c>
      <c r="M324" s="38">
        <f t="shared" si="40"/>
        <v>0</v>
      </c>
      <c r="Q324" s="39" t="s">
        <v>197</v>
      </c>
    </row>
    <row r="325" spans="1:17" ht="15" hidden="1">
      <c r="A325" s="48"/>
      <c r="B325" s="47"/>
      <c r="C325" s="43"/>
      <c r="D325" s="68">
        <f t="shared" si="38"/>
        <v>0</v>
      </c>
      <c r="E325" s="35"/>
      <c r="F325" s="35"/>
      <c r="G325" s="36">
        <f t="shared" si="41"/>
        <v>0</v>
      </c>
      <c r="H325" s="41"/>
      <c r="I325" s="69">
        <f t="shared" si="39"/>
        <v>0</v>
      </c>
      <c r="J325" s="35"/>
      <c r="K325" s="35"/>
      <c r="L325" s="36">
        <f t="shared" si="42"/>
        <v>0</v>
      </c>
      <c r="M325" s="38">
        <f t="shared" si="40"/>
        <v>0</v>
      </c>
      <c r="Q325" s="39" t="s">
        <v>198</v>
      </c>
    </row>
    <row r="326" spans="1:17" ht="15" hidden="1">
      <c r="A326" s="40"/>
      <c r="B326" s="33"/>
      <c r="C326" s="43"/>
      <c r="D326" s="68">
        <f t="shared" si="38"/>
        <v>0</v>
      </c>
      <c r="E326" s="35"/>
      <c r="F326" s="35"/>
      <c r="G326" s="36">
        <f t="shared" si="41"/>
        <v>0</v>
      </c>
      <c r="H326" s="41"/>
      <c r="I326" s="69">
        <f t="shared" si="39"/>
        <v>0</v>
      </c>
      <c r="J326" s="35"/>
      <c r="K326" s="35"/>
      <c r="L326" s="36">
        <f t="shared" si="42"/>
        <v>0</v>
      </c>
      <c r="M326" s="38">
        <f t="shared" si="40"/>
        <v>0</v>
      </c>
      <c r="Q326" s="39" t="s">
        <v>199</v>
      </c>
    </row>
    <row r="327" spans="1:17" ht="15" hidden="1">
      <c r="A327" s="40"/>
      <c r="B327" s="33"/>
      <c r="C327" s="43"/>
      <c r="D327" s="68">
        <f t="shared" si="38"/>
        <v>0</v>
      </c>
      <c r="E327" s="35"/>
      <c r="F327" s="35"/>
      <c r="G327" s="36">
        <f t="shared" si="41"/>
        <v>0</v>
      </c>
      <c r="H327" s="41"/>
      <c r="I327" s="69">
        <f t="shared" si="39"/>
        <v>0</v>
      </c>
      <c r="J327" s="35"/>
      <c r="K327" s="35"/>
      <c r="L327" s="36">
        <f t="shared" si="42"/>
        <v>0</v>
      </c>
      <c r="M327" s="38">
        <f t="shared" si="40"/>
        <v>0</v>
      </c>
      <c r="Q327" s="39" t="s">
        <v>200</v>
      </c>
    </row>
    <row r="328" spans="1:17" ht="15" hidden="1">
      <c r="A328" s="40"/>
      <c r="B328" s="33"/>
      <c r="C328" s="43"/>
      <c r="D328" s="68">
        <f t="shared" si="38"/>
        <v>0</v>
      </c>
      <c r="E328" s="35"/>
      <c r="F328" s="35"/>
      <c r="G328" s="36">
        <f t="shared" si="41"/>
        <v>0</v>
      </c>
      <c r="H328" s="41"/>
      <c r="I328" s="69">
        <f t="shared" si="39"/>
        <v>0</v>
      </c>
      <c r="J328" s="35"/>
      <c r="K328" s="35"/>
      <c r="L328" s="36">
        <f t="shared" si="42"/>
        <v>0</v>
      </c>
      <c r="M328" s="38">
        <f t="shared" si="40"/>
        <v>0</v>
      </c>
      <c r="Q328" s="39" t="s">
        <v>201</v>
      </c>
    </row>
    <row r="329" spans="1:17" ht="15" hidden="1">
      <c r="A329" s="48"/>
      <c r="B329" s="33"/>
      <c r="C329" s="49"/>
      <c r="D329" s="68">
        <f t="shared" si="38"/>
        <v>0</v>
      </c>
      <c r="E329" s="35"/>
      <c r="F329" s="35"/>
      <c r="G329" s="36">
        <f t="shared" si="41"/>
        <v>0</v>
      </c>
      <c r="H329" s="41"/>
      <c r="I329" s="69">
        <f t="shared" si="39"/>
        <v>0</v>
      </c>
      <c r="J329" s="35"/>
      <c r="K329" s="35"/>
      <c r="L329" s="36">
        <f t="shared" si="42"/>
        <v>0</v>
      </c>
      <c r="M329" s="38">
        <f t="shared" si="40"/>
        <v>0</v>
      </c>
      <c r="Q329" s="39" t="s">
        <v>202</v>
      </c>
    </row>
    <row r="330" spans="1:17" ht="15" hidden="1">
      <c r="A330" s="40"/>
      <c r="B330" s="33"/>
      <c r="C330" s="43"/>
      <c r="D330" s="68">
        <f t="shared" si="38"/>
        <v>0</v>
      </c>
      <c r="E330" s="35"/>
      <c r="F330" s="35"/>
      <c r="G330" s="36">
        <f t="shared" si="41"/>
        <v>0</v>
      </c>
      <c r="H330" s="41"/>
      <c r="I330" s="69">
        <f t="shared" si="39"/>
        <v>0</v>
      </c>
      <c r="J330" s="35"/>
      <c r="K330" s="35"/>
      <c r="L330" s="36">
        <f t="shared" si="42"/>
        <v>0</v>
      </c>
      <c r="M330" s="38">
        <f t="shared" si="40"/>
        <v>0</v>
      </c>
      <c r="Q330" s="39" t="s">
        <v>203</v>
      </c>
    </row>
    <row r="331" spans="1:17" ht="15" hidden="1">
      <c r="A331" s="40"/>
      <c r="B331" s="33"/>
      <c r="C331" s="43"/>
      <c r="D331" s="68">
        <f t="shared" si="38"/>
        <v>0</v>
      </c>
      <c r="E331" s="35"/>
      <c r="F331" s="35"/>
      <c r="G331" s="36">
        <f t="shared" si="41"/>
        <v>0</v>
      </c>
      <c r="I331" s="69">
        <f t="shared" si="39"/>
        <v>0</v>
      </c>
      <c r="J331" s="35"/>
      <c r="K331" s="35"/>
      <c r="L331" s="36">
        <f t="shared" si="42"/>
        <v>0</v>
      </c>
      <c r="M331" s="38">
        <f t="shared" si="40"/>
        <v>0</v>
      </c>
      <c r="Q331" s="39" t="s">
        <v>204</v>
      </c>
    </row>
    <row r="332" spans="1:17" ht="15" hidden="1">
      <c r="A332" s="50"/>
      <c r="B332" s="50"/>
      <c r="C332" s="51"/>
      <c r="D332" s="68">
        <f t="shared" si="38"/>
        <v>0</v>
      </c>
      <c r="E332" s="52"/>
      <c r="F332" s="52"/>
      <c r="G332" s="36">
        <f t="shared" si="41"/>
        <v>0</v>
      </c>
      <c r="I332" s="69">
        <f t="shared" si="39"/>
        <v>0</v>
      </c>
      <c r="J332" s="52"/>
      <c r="K332" s="52"/>
      <c r="L332" s="36">
        <f t="shared" si="42"/>
        <v>0</v>
      </c>
      <c r="M332" s="38">
        <f t="shared" si="40"/>
        <v>0</v>
      </c>
      <c r="Q332" s="39" t="s">
        <v>205</v>
      </c>
    </row>
    <row r="333" spans="1:17">
      <c r="A333" s="50"/>
      <c r="B333" s="50"/>
      <c r="C333" s="53" t="s">
        <v>2</v>
      </c>
      <c r="D333" s="54">
        <f>SUM(D292:D332)</f>
        <v>46200701.099999994</v>
      </c>
      <c r="E333" s="54">
        <f>SUM(E292:E332)</f>
        <v>4063930</v>
      </c>
      <c r="F333" s="54">
        <f>SUM(F292:F332)</f>
        <v>0</v>
      </c>
      <c r="G333" s="54">
        <f>SUM(G292:G332)</f>
        <v>50264631.099999994</v>
      </c>
      <c r="H333" s="55"/>
      <c r="I333" s="54">
        <f>SUM(I292:I332)</f>
        <v>-22019246.099021021</v>
      </c>
      <c r="J333" s="54">
        <f>SUM(J292:J332)</f>
        <v>-1320799.2968832264</v>
      </c>
      <c r="K333" s="54">
        <f>SUM(K292:K332)</f>
        <v>0</v>
      </c>
      <c r="L333" s="54">
        <f>SUM(L292:L332)</f>
        <v>-23340045.395904243</v>
      </c>
      <c r="M333" s="54">
        <f>SUM(M292:M332)</f>
        <v>26924585.704095751</v>
      </c>
    </row>
    <row r="334" spans="1:17" ht="37.5" hidden="1">
      <c r="A334" s="50"/>
      <c r="B334" s="50"/>
      <c r="C334" s="56" t="s">
        <v>80</v>
      </c>
      <c r="D334" s="52"/>
      <c r="E334" s="52"/>
      <c r="F334" s="52"/>
      <c r="G334" s="36">
        <f>D334+E334+F334</f>
        <v>0</v>
      </c>
      <c r="I334" s="52"/>
      <c r="J334" s="52"/>
      <c r="K334" s="52"/>
      <c r="L334" s="36">
        <f>I334+J334+K334</f>
        <v>0</v>
      </c>
      <c r="M334" s="38">
        <f>G334+L334</f>
        <v>0</v>
      </c>
    </row>
    <row r="335" spans="1:17" ht="25.5">
      <c r="A335" s="50"/>
      <c r="B335" s="50"/>
      <c r="C335" s="57" t="s">
        <v>81</v>
      </c>
      <c r="D335" s="52"/>
      <c r="E335" s="52"/>
      <c r="F335" s="52"/>
      <c r="G335" s="36">
        <f>D335+E335+F335</f>
        <v>0</v>
      </c>
      <c r="I335" s="52"/>
      <c r="J335" s="52"/>
      <c r="K335" s="52"/>
      <c r="L335" s="36">
        <f>I335+J335+K335</f>
        <v>0</v>
      </c>
      <c r="M335" s="38">
        <f>G335+L335</f>
        <v>0</v>
      </c>
    </row>
    <row r="336" spans="1:17">
      <c r="A336" s="50"/>
      <c r="B336" s="50"/>
      <c r="C336" s="53" t="s">
        <v>82</v>
      </c>
      <c r="D336" s="54">
        <f>SUM(D333:D335)</f>
        <v>46200701.099999994</v>
      </c>
      <c r="E336" s="54">
        <f>SUM(E333:E335)</f>
        <v>4063930</v>
      </c>
      <c r="F336" s="54">
        <f>SUM(F333:F335)</f>
        <v>0</v>
      </c>
      <c r="G336" s="54">
        <f>SUM(G333:G335)</f>
        <v>50264631.099999994</v>
      </c>
      <c r="H336" s="55"/>
      <c r="I336" s="54">
        <f>SUM(I333:I335)</f>
        <v>-22019246.099021021</v>
      </c>
      <c r="J336" s="54">
        <f>SUM(J333:J335)</f>
        <v>-1320799.2968832264</v>
      </c>
      <c r="K336" s="54">
        <f>SUM(K333:K335)</f>
        <v>0</v>
      </c>
      <c r="L336" s="54">
        <f>SUM(L333:L335)</f>
        <v>-23340045.395904243</v>
      </c>
      <c r="M336" s="54">
        <f>SUM(M333:M335)</f>
        <v>26924585.704095751</v>
      </c>
    </row>
    <row r="337" spans="1:17" ht="15">
      <c r="A337" s="50"/>
      <c r="B337" s="50"/>
      <c r="C337" s="58" t="s">
        <v>83</v>
      </c>
      <c r="D337" s="35">
        <v>0</v>
      </c>
      <c r="E337" s="35">
        <v>0</v>
      </c>
      <c r="F337" s="35"/>
      <c r="G337" s="36">
        <f t="shared" ref="G337" si="43">D337+E337+F337</f>
        <v>0</v>
      </c>
      <c r="H337" s="41"/>
      <c r="L337" s="36">
        <f t="shared" ref="L337" si="44">I337+J337+K337</f>
        <v>0</v>
      </c>
      <c r="M337" s="38">
        <f>G337+L337</f>
        <v>0</v>
      </c>
    </row>
    <row r="338" spans="1:17">
      <c r="A338" s="50"/>
      <c r="B338" s="50"/>
      <c r="C338" s="58" t="s">
        <v>84</v>
      </c>
      <c r="D338" s="54">
        <f>SUM(D336:D337)</f>
        <v>46200701.099999994</v>
      </c>
      <c r="E338" s="54">
        <f t="shared" ref="E338:M338" si="45">SUM(E336:E337)</f>
        <v>4063930</v>
      </c>
      <c r="F338" s="54">
        <f t="shared" si="45"/>
        <v>0</v>
      </c>
      <c r="G338" s="54">
        <f t="shared" si="45"/>
        <v>50264631.099999994</v>
      </c>
      <c r="H338" s="54">
        <f t="shared" si="45"/>
        <v>0</v>
      </c>
      <c r="I338" s="54">
        <f t="shared" si="45"/>
        <v>-22019246.099021021</v>
      </c>
      <c r="J338" s="54">
        <f t="shared" si="45"/>
        <v>-1320799.2968832264</v>
      </c>
      <c r="K338" s="54">
        <f t="shared" si="45"/>
        <v>0</v>
      </c>
      <c r="L338" s="54">
        <f t="shared" si="45"/>
        <v>-23340045.395904243</v>
      </c>
      <c r="M338" s="54">
        <f t="shared" si="45"/>
        <v>26924585.704095751</v>
      </c>
    </row>
    <row r="339" spans="1:17" ht="15">
      <c r="A339" s="50"/>
      <c r="B339" s="50"/>
      <c r="C339" s="585" t="s">
        <v>85</v>
      </c>
      <c r="D339" s="586"/>
      <c r="E339" s="586"/>
      <c r="F339" s="586"/>
      <c r="G339" s="586"/>
      <c r="H339" s="586"/>
      <c r="I339" s="587"/>
      <c r="J339" s="52"/>
      <c r="K339" s="59"/>
      <c r="L339" s="60"/>
      <c r="M339" s="61"/>
    </row>
    <row r="340" spans="1:17" ht="15">
      <c r="A340" s="50"/>
      <c r="B340" s="50"/>
      <c r="C340" s="585" t="s">
        <v>482</v>
      </c>
      <c r="D340" s="586"/>
      <c r="E340" s="586"/>
      <c r="F340" s="586"/>
      <c r="G340" s="586"/>
      <c r="H340" s="586"/>
      <c r="I340" s="587"/>
      <c r="J340" s="54">
        <f>J338+J339</f>
        <v>-1320799.2968832264</v>
      </c>
      <c r="K340" s="59"/>
      <c r="L340" s="60"/>
      <c r="M340" s="61"/>
    </row>
    <row r="341" spans="1:17"/>
    <row r="342" spans="1:17"/>
    <row r="343" spans="1:17"/>
    <row r="344" spans="1:17" ht="15" hidden="1">
      <c r="E344" s="11" t="s">
        <v>25</v>
      </c>
      <c r="F344" s="21" t="str">
        <f>F287</f>
        <v>MIFRS</v>
      </c>
      <c r="H344" s="15"/>
    </row>
    <row r="345" spans="1:17" ht="15.75" hidden="1" thickBot="1">
      <c r="C345" s="19"/>
      <c r="E345" s="11" t="s">
        <v>27</v>
      </c>
      <c r="F345" s="183" t="e">
        <f>F288+1</f>
        <v>#VALUE!</v>
      </c>
      <c r="G345" s="23"/>
    </row>
    <row r="346" spans="1:17" hidden="1"/>
    <row r="347" spans="1:17" hidden="1">
      <c r="D347" s="581" t="s">
        <v>28</v>
      </c>
      <c r="E347" s="582"/>
      <c r="F347" s="582"/>
      <c r="G347" s="582"/>
      <c r="I347" s="24"/>
      <c r="J347" s="25" t="s">
        <v>29</v>
      </c>
      <c r="K347" s="25"/>
      <c r="L347" s="26"/>
      <c r="M347" s="16"/>
    </row>
    <row r="348" spans="1:17" ht="30" hidden="1" customHeight="1">
      <c r="A348" s="27" t="s">
        <v>30</v>
      </c>
      <c r="B348" s="27" t="s">
        <v>31</v>
      </c>
      <c r="C348" s="28" t="s">
        <v>32</v>
      </c>
      <c r="D348" s="27" t="s">
        <v>33</v>
      </c>
      <c r="E348" s="29" t="s">
        <v>34</v>
      </c>
      <c r="F348" s="29" t="s">
        <v>35</v>
      </c>
      <c r="G348" s="27" t="s">
        <v>36</v>
      </c>
      <c r="H348" s="30"/>
      <c r="I348" s="27" t="s">
        <v>33</v>
      </c>
      <c r="J348" s="31" t="s">
        <v>37</v>
      </c>
      <c r="K348" s="31" t="s">
        <v>35</v>
      </c>
      <c r="L348" s="32" t="s">
        <v>36</v>
      </c>
      <c r="M348" s="27" t="s">
        <v>38</v>
      </c>
    </row>
    <row r="349" spans="1:17" ht="25.5" hidden="1" customHeight="1">
      <c r="A349" s="27"/>
      <c r="B349" s="33">
        <v>1609</v>
      </c>
      <c r="C349" s="34" t="s">
        <v>39</v>
      </c>
      <c r="D349" s="68">
        <f t="shared" ref="D349:D389" si="46">G292</f>
        <v>343058.45999999996</v>
      </c>
      <c r="E349" s="35"/>
      <c r="F349" s="35"/>
      <c r="G349" s="36">
        <f>D349+E349+F349</f>
        <v>343058.45999999996</v>
      </c>
      <c r="H349" s="30"/>
      <c r="I349" s="69">
        <f t="shared" ref="I349:I389" si="47">L292</f>
        <v>-230595.39252545912</v>
      </c>
      <c r="J349" s="35"/>
      <c r="K349" s="35"/>
      <c r="L349" s="36">
        <f>I349+J349+K349</f>
        <v>-230595.39252545912</v>
      </c>
      <c r="M349" s="38">
        <f t="shared" ref="M349:M389" si="48">G349+L349</f>
        <v>112463.06747454085</v>
      </c>
      <c r="Q349" s="39" t="s">
        <v>170</v>
      </c>
    </row>
    <row r="350" spans="1:17" ht="25.5" hidden="1">
      <c r="A350" s="40">
        <v>12</v>
      </c>
      <c r="B350" s="33">
        <v>1611</v>
      </c>
      <c r="C350" s="34" t="s">
        <v>40</v>
      </c>
      <c r="D350" s="68">
        <f t="shared" si="46"/>
        <v>666155.5</v>
      </c>
      <c r="E350" s="35"/>
      <c r="F350" s="35"/>
      <c r="G350" s="36">
        <f>D350+E350+F350</f>
        <v>666155.5</v>
      </c>
      <c r="H350" s="41"/>
      <c r="I350" s="69">
        <f t="shared" si="47"/>
        <v>-583444.98535220895</v>
      </c>
      <c r="J350" s="35"/>
      <c r="K350" s="35"/>
      <c r="L350" s="36">
        <f>I350+J350+K350</f>
        <v>-583444.98535220895</v>
      </c>
      <c r="M350" s="38">
        <f t="shared" si="48"/>
        <v>82710.514647791046</v>
      </c>
      <c r="Q350" s="39" t="s">
        <v>171</v>
      </c>
    </row>
    <row r="351" spans="1:17" ht="25.5" hidden="1">
      <c r="A351" s="40" t="s">
        <v>41</v>
      </c>
      <c r="B351" s="33">
        <v>1612</v>
      </c>
      <c r="C351" s="34" t="s">
        <v>42</v>
      </c>
      <c r="D351" s="68">
        <f t="shared" si="46"/>
        <v>-376287.94</v>
      </c>
      <c r="E351" s="35"/>
      <c r="F351" s="35"/>
      <c r="G351" s="36">
        <f>D351+E351+F351</f>
        <v>-376287.94</v>
      </c>
      <c r="H351" s="41"/>
      <c r="I351" s="69">
        <f t="shared" si="47"/>
        <v>58412.206250299445</v>
      </c>
      <c r="J351" s="35"/>
      <c r="K351" s="35"/>
      <c r="L351" s="36">
        <f>I351+J351+K351</f>
        <v>58412.206250299445</v>
      </c>
      <c r="M351" s="38">
        <f t="shared" si="48"/>
        <v>-317875.73374970054</v>
      </c>
      <c r="Q351" s="39" t="s">
        <v>172</v>
      </c>
    </row>
    <row r="352" spans="1:17" ht="15" hidden="1">
      <c r="A352" s="40" t="s">
        <v>43</v>
      </c>
      <c r="B352" s="40">
        <v>1805</v>
      </c>
      <c r="C352" s="42" t="s">
        <v>44</v>
      </c>
      <c r="D352" s="68">
        <f t="shared" si="46"/>
        <v>-342496.4</v>
      </c>
      <c r="E352" s="35"/>
      <c r="F352" s="35"/>
      <c r="G352" s="36">
        <f>D352+E352+F352</f>
        <v>-342496.4</v>
      </c>
      <c r="H352" s="41"/>
      <c r="I352" s="69">
        <f t="shared" si="47"/>
        <v>34867.362741347832</v>
      </c>
      <c r="J352" s="35"/>
      <c r="K352" s="35"/>
      <c r="L352" s="36">
        <f>I352+J352+K352</f>
        <v>34867.362741347832</v>
      </c>
      <c r="M352" s="38">
        <f t="shared" si="48"/>
        <v>-307629.03725865221</v>
      </c>
      <c r="Q352" s="39" t="s">
        <v>173</v>
      </c>
    </row>
    <row r="353" spans="1:17" ht="15" hidden="1">
      <c r="A353" s="40">
        <v>47</v>
      </c>
      <c r="B353" s="40">
        <v>1808</v>
      </c>
      <c r="C353" s="43" t="s">
        <v>45</v>
      </c>
      <c r="D353" s="68">
        <f t="shared" si="46"/>
        <v>-13207.81</v>
      </c>
      <c r="E353" s="35"/>
      <c r="F353" s="35"/>
      <c r="G353" s="36">
        <f t="shared" ref="G353:G389" si="49">D353+E353+F353</f>
        <v>-13207.81</v>
      </c>
      <c r="H353" s="41"/>
      <c r="I353" s="69">
        <f t="shared" si="47"/>
        <v>3002.1917046634194</v>
      </c>
      <c r="J353" s="35"/>
      <c r="K353" s="35"/>
      <c r="L353" s="36">
        <f t="shared" ref="L353:L389" si="50">I353+J353+K353</f>
        <v>3002.1917046634194</v>
      </c>
      <c r="M353" s="38">
        <f t="shared" si="48"/>
        <v>-10205.618295336581</v>
      </c>
      <c r="Q353" s="39" t="s">
        <v>174</v>
      </c>
    </row>
    <row r="354" spans="1:17" ht="15" hidden="1">
      <c r="A354" s="40">
        <v>13</v>
      </c>
      <c r="B354" s="40">
        <v>1810</v>
      </c>
      <c r="C354" s="43" t="s">
        <v>46</v>
      </c>
      <c r="D354" s="68">
        <f t="shared" si="46"/>
        <v>-551529.73</v>
      </c>
      <c r="E354" s="35"/>
      <c r="F354" s="35"/>
      <c r="G354" s="36">
        <f t="shared" si="49"/>
        <v>-551529.73</v>
      </c>
      <c r="H354" s="41"/>
      <c r="I354" s="69">
        <f t="shared" si="47"/>
        <v>52223.753605089645</v>
      </c>
      <c r="J354" s="35"/>
      <c r="K354" s="35"/>
      <c r="L354" s="36">
        <f t="shared" si="50"/>
        <v>52223.753605089645</v>
      </c>
      <c r="M354" s="38">
        <f t="shared" si="48"/>
        <v>-499305.97639491037</v>
      </c>
      <c r="Q354" s="39" t="s">
        <v>175</v>
      </c>
    </row>
    <row r="355" spans="1:17" ht="15" hidden="1">
      <c r="A355" s="40">
        <v>47</v>
      </c>
      <c r="B355" s="40">
        <v>1815</v>
      </c>
      <c r="C355" s="43" t="s">
        <v>47</v>
      </c>
      <c r="D355" s="68">
        <f t="shared" si="46"/>
        <v>842666.73999999987</v>
      </c>
      <c r="E355" s="35"/>
      <c r="F355" s="35"/>
      <c r="G355" s="36">
        <f t="shared" si="49"/>
        <v>842666.73999999987</v>
      </c>
      <c r="H355" s="41"/>
      <c r="I355" s="69">
        <f t="shared" si="47"/>
        <v>-579635.18999999994</v>
      </c>
      <c r="J355" s="35"/>
      <c r="K355" s="35"/>
      <c r="L355" s="36">
        <f t="shared" si="50"/>
        <v>-579635.18999999994</v>
      </c>
      <c r="M355" s="38">
        <f t="shared" si="48"/>
        <v>263031.54999999993</v>
      </c>
      <c r="Q355" s="39" t="s">
        <v>176</v>
      </c>
    </row>
    <row r="356" spans="1:17" ht="15" hidden="1">
      <c r="A356" s="40">
        <v>47</v>
      </c>
      <c r="B356" s="40">
        <v>1820</v>
      </c>
      <c r="C356" s="34" t="s">
        <v>48</v>
      </c>
      <c r="D356" s="68">
        <f t="shared" si="46"/>
        <v>200719.96</v>
      </c>
      <c r="E356" s="35"/>
      <c r="F356" s="35"/>
      <c r="G356" s="36">
        <f t="shared" si="49"/>
        <v>200719.96</v>
      </c>
      <c r="H356" s="41"/>
      <c r="I356" s="69">
        <f t="shared" si="47"/>
        <v>-138313.94421049228</v>
      </c>
      <c r="J356" s="35"/>
      <c r="K356" s="35"/>
      <c r="L356" s="36">
        <f t="shared" si="50"/>
        <v>-138313.94421049228</v>
      </c>
      <c r="M356" s="38">
        <f t="shared" si="48"/>
        <v>62406.015789507714</v>
      </c>
      <c r="Q356" s="39" t="s">
        <v>177</v>
      </c>
    </row>
    <row r="357" spans="1:17" ht="15" hidden="1">
      <c r="A357" s="40">
        <v>47</v>
      </c>
      <c r="B357" s="40">
        <v>1825</v>
      </c>
      <c r="C357" s="43" t="s">
        <v>49</v>
      </c>
      <c r="D357" s="68">
        <f t="shared" si="46"/>
        <v>82653.239999999991</v>
      </c>
      <c r="E357" s="35"/>
      <c r="F357" s="35"/>
      <c r="G357" s="36">
        <f t="shared" si="49"/>
        <v>82653.239999999991</v>
      </c>
      <c r="H357" s="41"/>
      <c r="I357" s="69">
        <f t="shared" si="47"/>
        <v>0</v>
      </c>
      <c r="J357" s="35"/>
      <c r="K357" s="35"/>
      <c r="L357" s="36">
        <f t="shared" si="50"/>
        <v>0</v>
      </c>
      <c r="M357" s="38">
        <f t="shared" si="48"/>
        <v>82653.239999999991</v>
      </c>
      <c r="Q357" s="39" t="s">
        <v>178</v>
      </c>
    </row>
    <row r="358" spans="1:17" ht="15" hidden="1">
      <c r="A358" s="40">
        <v>47</v>
      </c>
      <c r="B358" s="40">
        <v>1830</v>
      </c>
      <c r="C358" s="43" t="s">
        <v>50</v>
      </c>
      <c r="D358" s="68">
        <f t="shared" si="46"/>
        <v>0</v>
      </c>
      <c r="E358" s="35"/>
      <c r="F358" s="35"/>
      <c r="G358" s="36">
        <f t="shared" si="49"/>
        <v>0</v>
      </c>
      <c r="H358" s="41"/>
      <c r="I358" s="69">
        <f t="shared" si="47"/>
        <v>0</v>
      </c>
      <c r="J358" s="35"/>
      <c r="K358" s="35"/>
      <c r="L358" s="36">
        <f t="shared" si="50"/>
        <v>0</v>
      </c>
      <c r="M358" s="38">
        <f t="shared" si="48"/>
        <v>0</v>
      </c>
      <c r="Q358" s="39" t="s">
        <v>179</v>
      </c>
    </row>
    <row r="359" spans="1:17" ht="15" hidden="1">
      <c r="A359" s="40">
        <v>47</v>
      </c>
      <c r="B359" s="40">
        <v>1835</v>
      </c>
      <c r="C359" s="43" t="s">
        <v>51</v>
      </c>
      <c r="D359" s="68">
        <f t="shared" si="46"/>
        <v>6830973.9499999993</v>
      </c>
      <c r="E359" s="35"/>
      <c r="F359" s="35"/>
      <c r="G359" s="36">
        <f t="shared" si="49"/>
        <v>6830973.9499999993</v>
      </c>
      <c r="H359" s="41"/>
      <c r="I359" s="69">
        <f t="shared" si="47"/>
        <v>-3430724.0924642351</v>
      </c>
      <c r="J359" s="35"/>
      <c r="K359" s="35"/>
      <c r="L359" s="36">
        <f t="shared" si="50"/>
        <v>-3430724.0924642351</v>
      </c>
      <c r="M359" s="38">
        <f t="shared" si="48"/>
        <v>3400249.8575357641</v>
      </c>
      <c r="Q359" s="39" t="s">
        <v>180</v>
      </c>
    </row>
    <row r="360" spans="1:17" ht="15" hidden="1">
      <c r="A360" s="40">
        <v>47</v>
      </c>
      <c r="B360" s="40">
        <v>1840</v>
      </c>
      <c r="C360" s="43" t="s">
        <v>52</v>
      </c>
      <c r="D360" s="68">
        <f t="shared" si="46"/>
        <v>19715136.049999997</v>
      </c>
      <c r="E360" s="35"/>
      <c r="F360" s="35"/>
      <c r="G360" s="36">
        <f t="shared" si="49"/>
        <v>19715136.049999997</v>
      </c>
      <c r="H360" s="41"/>
      <c r="I360" s="69">
        <f t="shared" si="47"/>
        <v>-7733545.0865641031</v>
      </c>
      <c r="J360" s="35"/>
      <c r="K360" s="35"/>
      <c r="L360" s="36">
        <f t="shared" si="50"/>
        <v>-7733545.0865641031</v>
      </c>
      <c r="M360" s="38">
        <f t="shared" si="48"/>
        <v>11981590.963435894</v>
      </c>
      <c r="Q360" s="39" t="s">
        <v>181</v>
      </c>
    </row>
    <row r="361" spans="1:17" ht="15" hidden="1">
      <c r="A361" s="40">
        <v>47</v>
      </c>
      <c r="B361" s="40">
        <v>1845</v>
      </c>
      <c r="C361" s="43" t="s">
        <v>53</v>
      </c>
      <c r="D361" s="68">
        <f t="shared" si="46"/>
        <v>2539099</v>
      </c>
      <c r="E361" s="35"/>
      <c r="F361" s="35"/>
      <c r="G361" s="36">
        <f t="shared" si="49"/>
        <v>2539099</v>
      </c>
      <c r="H361" s="41"/>
      <c r="I361" s="69">
        <f t="shared" si="47"/>
        <v>-1131846.8222409536</v>
      </c>
      <c r="J361" s="35"/>
      <c r="K361" s="35"/>
      <c r="L361" s="36">
        <f t="shared" si="50"/>
        <v>-1131846.8222409536</v>
      </c>
      <c r="M361" s="38">
        <f t="shared" si="48"/>
        <v>1407252.1777590464</v>
      </c>
      <c r="Q361" s="39" t="s">
        <v>182</v>
      </c>
    </row>
    <row r="362" spans="1:17" ht="15" hidden="1">
      <c r="A362" s="40">
        <v>47</v>
      </c>
      <c r="B362" s="40">
        <v>1850</v>
      </c>
      <c r="C362" s="43" t="s">
        <v>54</v>
      </c>
      <c r="D362" s="68">
        <f t="shared" si="46"/>
        <v>576367.02</v>
      </c>
      <c r="E362" s="35"/>
      <c r="F362" s="35"/>
      <c r="G362" s="36">
        <f t="shared" si="49"/>
        <v>576367.02</v>
      </c>
      <c r="H362" s="41"/>
      <c r="I362" s="69">
        <f t="shared" si="47"/>
        <v>-166975.65</v>
      </c>
      <c r="J362" s="35"/>
      <c r="K362" s="35"/>
      <c r="L362" s="36">
        <f t="shared" si="50"/>
        <v>-166975.65</v>
      </c>
      <c r="M362" s="38">
        <f t="shared" si="48"/>
        <v>409391.37</v>
      </c>
      <c r="Q362" s="39" t="s">
        <v>183</v>
      </c>
    </row>
    <row r="363" spans="1:17" ht="15" hidden="1">
      <c r="A363" s="40">
        <v>47</v>
      </c>
      <c r="B363" s="40">
        <v>1855</v>
      </c>
      <c r="C363" s="43" t="s">
        <v>55</v>
      </c>
      <c r="D363" s="68">
        <f t="shared" si="46"/>
        <v>2243249.4699999997</v>
      </c>
      <c r="E363" s="35"/>
      <c r="F363" s="35"/>
      <c r="G363" s="36">
        <f t="shared" si="49"/>
        <v>2243249.4699999997</v>
      </c>
      <c r="H363" s="41"/>
      <c r="I363" s="69">
        <f t="shared" si="47"/>
        <v>-1226392.8796201719</v>
      </c>
      <c r="J363" s="35"/>
      <c r="K363" s="35"/>
      <c r="L363" s="36">
        <f t="shared" si="50"/>
        <v>-1226392.8796201719</v>
      </c>
      <c r="M363" s="38">
        <f t="shared" si="48"/>
        <v>1016856.5903798279</v>
      </c>
      <c r="Q363" s="39" t="s">
        <v>184</v>
      </c>
    </row>
    <row r="364" spans="1:17" ht="15" hidden="1">
      <c r="A364" s="40">
        <v>47</v>
      </c>
      <c r="B364" s="40">
        <v>1860</v>
      </c>
      <c r="C364" s="43" t="s">
        <v>56</v>
      </c>
      <c r="D364" s="68">
        <f t="shared" si="46"/>
        <v>14139.4</v>
      </c>
      <c r="E364" s="35"/>
      <c r="F364" s="35"/>
      <c r="G364" s="36">
        <f t="shared" si="49"/>
        <v>14139.4</v>
      </c>
      <c r="H364" s="41"/>
      <c r="I364" s="69">
        <f t="shared" si="47"/>
        <v>-14139.400000000001</v>
      </c>
      <c r="J364" s="35"/>
      <c r="K364" s="35"/>
      <c r="L364" s="36">
        <f t="shared" si="50"/>
        <v>-14139.400000000001</v>
      </c>
      <c r="M364" s="38">
        <f t="shared" si="48"/>
        <v>0</v>
      </c>
      <c r="Q364" s="39" t="s">
        <v>185</v>
      </c>
    </row>
    <row r="365" spans="1:17" ht="15" hidden="1">
      <c r="A365" s="40">
        <v>47</v>
      </c>
      <c r="B365" s="40">
        <v>1860</v>
      </c>
      <c r="C365" s="42" t="s">
        <v>57</v>
      </c>
      <c r="D365" s="68">
        <f t="shared" si="46"/>
        <v>4268613.1999999993</v>
      </c>
      <c r="E365" s="35"/>
      <c r="F365" s="35"/>
      <c r="G365" s="36">
        <f t="shared" si="49"/>
        <v>4268613.1999999993</v>
      </c>
      <c r="H365" s="41"/>
      <c r="I365" s="69">
        <f t="shared" si="47"/>
        <v>-2020208.3838851876</v>
      </c>
      <c r="J365" s="35"/>
      <c r="K365" s="35"/>
      <c r="L365" s="36">
        <f t="shared" si="50"/>
        <v>-2020208.3838851876</v>
      </c>
      <c r="M365" s="38">
        <f t="shared" si="48"/>
        <v>2248404.8161148117</v>
      </c>
      <c r="Q365" s="39" t="s">
        <v>185</v>
      </c>
    </row>
    <row r="366" spans="1:17" ht="15" hidden="1">
      <c r="A366" s="40" t="s">
        <v>43</v>
      </c>
      <c r="B366" s="40">
        <v>1905</v>
      </c>
      <c r="C366" s="42" t="s">
        <v>44</v>
      </c>
      <c r="D366" s="68">
        <f t="shared" si="46"/>
        <v>1369235.5699999998</v>
      </c>
      <c r="E366" s="35"/>
      <c r="F366" s="35"/>
      <c r="G366" s="36">
        <f t="shared" si="49"/>
        <v>1369235.5699999998</v>
      </c>
      <c r="H366" s="41"/>
      <c r="I366" s="69">
        <f t="shared" si="47"/>
        <v>-520121.9874792546</v>
      </c>
      <c r="J366" s="35"/>
      <c r="K366" s="35"/>
      <c r="L366" s="36">
        <f t="shared" si="50"/>
        <v>-520121.9874792546</v>
      </c>
      <c r="M366" s="38">
        <f t="shared" si="48"/>
        <v>849113.58252074523</v>
      </c>
      <c r="Q366" s="39" t="s">
        <v>186</v>
      </c>
    </row>
    <row r="367" spans="1:17" ht="15" hidden="1">
      <c r="A367" s="40">
        <v>47</v>
      </c>
      <c r="B367" s="40">
        <v>1908</v>
      </c>
      <c r="C367" s="43" t="s">
        <v>58</v>
      </c>
      <c r="D367" s="68">
        <f t="shared" si="46"/>
        <v>8262552.3200000003</v>
      </c>
      <c r="E367" s="35"/>
      <c r="F367" s="35"/>
      <c r="G367" s="36">
        <f t="shared" si="49"/>
        <v>8262552.3200000003</v>
      </c>
      <c r="H367" s="41"/>
      <c r="I367" s="69">
        <f t="shared" si="47"/>
        <v>-3374118.1326762624</v>
      </c>
      <c r="J367" s="35"/>
      <c r="K367" s="35"/>
      <c r="L367" s="36">
        <f t="shared" si="50"/>
        <v>-3374118.1326762624</v>
      </c>
      <c r="M367" s="38">
        <f t="shared" si="48"/>
        <v>4888434.1873237379</v>
      </c>
      <c r="Q367" s="39" t="s">
        <v>187</v>
      </c>
    </row>
    <row r="368" spans="1:17" ht="15" hidden="1">
      <c r="A368" s="40">
        <v>13</v>
      </c>
      <c r="B368" s="40">
        <v>1910</v>
      </c>
      <c r="C368" s="43" t="s">
        <v>46</v>
      </c>
      <c r="D368" s="68">
        <f t="shared" si="46"/>
        <v>764686.65999999992</v>
      </c>
      <c r="E368" s="35"/>
      <c r="F368" s="35"/>
      <c r="G368" s="36">
        <f t="shared" si="49"/>
        <v>764686.65999999992</v>
      </c>
      <c r="H368" s="41"/>
      <c r="I368" s="69">
        <f t="shared" si="47"/>
        <v>-627902.94213376567</v>
      </c>
      <c r="J368" s="35"/>
      <c r="K368" s="35"/>
      <c r="L368" s="36">
        <f t="shared" si="50"/>
        <v>-627902.94213376567</v>
      </c>
      <c r="M368" s="38">
        <f t="shared" si="48"/>
        <v>136783.71786623425</v>
      </c>
      <c r="Q368" s="39" t="s">
        <v>188</v>
      </c>
    </row>
    <row r="369" spans="1:17" ht="15" hidden="1">
      <c r="A369" s="40">
        <v>8</v>
      </c>
      <c r="B369" s="40">
        <v>1915</v>
      </c>
      <c r="C369" s="43" t="s">
        <v>59</v>
      </c>
      <c r="D369" s="68">
        <f t="shared" si="46"/>
        <v>906091.52000000002</v>
      </c>
      <c r="E369" s="35"/>
      <c r="F369" s="35"/>
      <c r="G369" s="36">
        <f t="shared" si="49"/>
        <v>906091.52000000002</v>
      </c>
      <c r="H369" s="41"/>
      <c r="I369" s="69">
        <f t="shared" si="47"/>
        <v>-365998.20218178997</v>
      </c>
      <c r="J369" s="35"/>
      <c r="K369" s="35"/>
      <c r="L369" s="36">
        <f t="shared" si="50"/>
        <v>-365998.20218178997</v>
      </c>
      <c r="M369" s="38">
        <f t="shared" si="48"/>
        <v>540093.31781820999</v>
      </c>
      <c r="Q369" s="39" t="s">
        <v>189</v>
      </c>
    </row>
    <row r="370" spans="1:17" ht="15" hidden="1">
      <c r="A370" s="40">
        <v>8</v>
      </c>
      <c r="B370" s="40">
        <v>1915</v>
      </c>
      <c r="C370" s="43" t="s">
        <v>60</v>
      </c>
      <c r="D370" s="68">
        <f t="shared" si="46"/>
        <v>940708.56000000017</v>
      </c>
      <c r="E370" s="35"/>
      <c r="F370" s="35"/>
      <c r="G370" s="36">
        <f t="shared" si="49"/>
        <v>940708.56000000017</v>
      </c>
      <c r="H370" s="41"/>
      <c r="I370" s="69">
        <f t="shared" si="47"/>
        <v>-699656.24136113876</v>
      </c>
      <c r="J370" s="35"/>
      <c r="K370" s="35"/>
      <c r="L370" s="36">
        <f t="shared" si="50"/>
        <v>-699656.24136113876</v>
      </c>
      <c r="M370" s="38">
        <f t="shared" si="48"/>
        <v>241052.31863886141</v>
      </c>
      <c r="Q370" s="39" t="s">
        <v>189</v>
      </c>
    </row>
    <row r="371" spans="1:17" ht="15" hidden="1">
      <c r="A371" s="40">
        <v>10</v>
      </c>
      <c r="B371" s="40">
        <v>1920</v>
      </c>
      <c r="C371" s="43" t="s">
        <v>61</v>
      </c>
      <c r="D371" s="68">
        <f t="shared" si="46"/>
        <v>33032.959999999999</v>
      </c>
      <c r="E371" s="35"/>
      <c r="F371" s="35"/>
      <c r="G371" s="36">
        <f t="shared" si="49"/>
        <v>33032.959999999999</v>
      </c>
      <c r="H371" s="41"/>
      <c r="I371" s="69">
        <f t="shared" si="47"/>
        <v>-16588.478938948319</v>
      </c>
      <c r="J371" s="35"/>
      <c r="K371" s="35"/>
      <c r="L371" s="36">
        <f t="shared" si="50"/>
        <v>-16588.478938948319</v>
      </c>
      <c r="M371" s="38">
        <f t="shared" si="48"/>
        <v>16444.48106105168</v>
      </c>
      <c r="Q371" s="39" t="s">
        <v>190</v>
      </c>
    </row>
    <row r="372" spans="1:17" ht="25.5" hidden="1">
      <c r="A372" s="40">
        <v>45</v>
      </c>
      <c r="B372" s="44">
        <v>1920</v>
      </c>
      <c r="C372" s="34" t="s">
        <v>62</v>
      </c>
      <c r="D372" s="68">
        <f t="shared" si="46"/>
        <v>949013.39999999991</v>
      </c>
      <c r="E372" s="35"/>
      <c r="F372" s="35"/>
      <c r="G372" s="36">
        <f t="shared" si="49"/>
        <v>949013.39999999991</v>
      </c>
      <c r="H372" s="41"/>
      <c r="I372" s="69">
        <f t="shared" si="47"/>
        <v>-628343.0985716735</v>
      </c>
      <c r="J372" s="35"/>
      <c r="K372" s="35"/>
      <c r="L372" s="36">
        <f t="shared" si="50"/>
        <v>-628343.0985716735</v>
      </c>
      <c r="M372" s="38">
        <f t="shared" si="48"/>
        <v>320670.30142832641</v>
      </c>
      <c r="Q372" s="39" t="s">
        <v>190</v>
      </c>
    </row>
    <row r="373" spans="1:17" ht="25.5" hidden="1">
      <c r="A373" s="40">
        <v>50</v>
      </c>
      <c r="B373" s="44">
        <v>1920</v>
      </c>
      <c r="C373" s="34" t="s">
        <v>63</v>
      </c>
      <c r="D373" s="68">
        <f t="shared" si="46"/>
        <v>0</v>
      </c>
      <c r="E373" s="35"/>
      <c r="F373" s="35"/>
      <c r="G373" s="36">
        <f t="shared" si="49"/>
        <v>0</v>
      </c>
      <c r="H373" s="41"/>
      <c r="I373" s="69">
        <f t="shared" si="47"/>
        <v>0</v>
      </c>
      <c r="J373" s="35"/>
      <c r="K373" s="35"/>
      <c r="L373" s="36">
        <f t="shared" si="50"/>
        <v>0</v>
      </c>
      <c r="M373" s="38">
        <f t="shared" si="48"/>
        <v>0</v>
      </c>
      <c r="Q373" s="39" t="s">
        <v>190</v>
      </c>
    </row>
    <row r="374" spans="1:17" ht="15" hidden="1">
      <c r="A374" s="40">
        <v>10</v>
      </c>
      <c r="B374" s="33">
        <v>1930</v>
      </c>
      <c r="C374" s="43" t="s">
        <v>64</v>
      </c>
      <c r="D374" s="68">
        <f t="shared" si="46"/>
        <v>0</v>
      </c>
      <c r="E374" s="35"/>
      <c r="F374" s="35"/>
      <c r="G374" s="36">
        <f t="shared" si="49"/>
        <v>0</v>
      </c>
      <c r="H374" s="41"/>
      <c r="I374" s="69">
        <f t="shared" si="47"/>
        <v>0</v>
      </c>
      <c r="J374" s="35"/>
      <c r="K374" s="35"/>
      <c r="L374" s="36">
        <f t="shared" si="50"/>
        <v>0</v>
      </c>
      <c r="M374" s="38">
        <f t="shared" si="48"/>
        <v>0</v>
      </c>
      <c r="Q374" s="39" t="s">
        <v>191</v>
      </c>
    </row>
    <row r="375" spans="1:17" ht="15" hidden="1">
      <c r="A375" s="40">
        <v>8</v>
      </c>
      <c r="B375" s="33">
        <v>1935</v>
      </c>
      <c r="C375" s="43" t="s">
        <v>65</v>
      </c>
      <c r="D375" s="68">
        <f t="shared" si="46"/>
        <v>0</v>
      </c>
      <c r="E375" s="35"/>
      <c r="F375" s="35"/>
      <c r="G375" s="36">
        <f t="shared" si="49"/>
        <v>0</v>
      </c>
      <c r="H375" s="41"/>
      <c r="I375" s="69">
        <f t="shared" si="47"/>
        <v>0</v>
      </c>
      <c r="J375" s="35"/>
      <c r="K375" s="35"/>
      <c r="L375" s="36">
        <f t="shared" si="50"/>
        <v>0</v>
      </c>
      <c r="M375" s="38">
        <f t="shared" si="48"/>
        <v>0</v>
      </c>
      <c r="Q375" s="39" t="s">
        <v>192</v>
      </c>
    </row>
    <row r="376" spans="1:17" ht="15" hidden="1">
      <c r="A376" s="40">
        <v>8</v>
      </c>
      <c r="B376" s="33">
        <v>1940</v>
      </c>
      <c r="C376" s="43" t="s">
        <v>66</v>
      </c>
      <c r="D376" s="68">
        <f t="shared" si="46"/>
        <v>0</v>
      </c>
      <c r="E376" s="35"/>
      <c r="F376" s="35"/>
      <c r="G376" s="36">
        <f t="shared" si="49"/>
        <v>0</v>
      </c>
      <c r="H376" s="41"/>
      <c r="I376" s="69">
        <f t="shared" si="47"/>
        <v>0</v>
      </c>
      <c r="J376" s="35"/>
      <c r="K376" s="35"/>
      <c r="L376" s="36">
        <f t="shared" si="50"/>
        <v>0</v>
      </c>
      <c r="M376" s="38">
        <f t="shared" si="48"/>
        <v>0</v>
      </c>
      <c r="Q376" s="39" t="s">
        <v>193</v>
      </c>
    </row>
    <row r="377" spans="1:17" ht="15" hidden="1">
      <c r="A377" s="40">
        <v>8</v>
      </c>
      <c r="B377" s="33">
        <v>1945</v>
      </c>
      <c r="C377" s="43" t="s">
        <v>67</v>
      </c>
      <c r="D377" s="68">
        <f t="shared" si="46"/>
        <v>0</v>
      </c>
      <c r="E377" s="35"/>
      <c r="F377" s="35"/>
      <c r="G377" s="36">
        <f t="shared" si="49"/>
        <v>0</v>
      </c>
      <c r="H377" s="41"/>
      <c r="I377" s="69">
        <f t="shared" si="47"/>
        <v>0</v>
      </c>
      <c r="J377" s="35"/>
      <c r="K377" s="35"/>
      <c r="L377" s="36">
        <f t="shared" si="50"/>
        <v>0</v>
      </c>
      <c r="M377" s="38">
        <f t="shared" si="48"/>
        <v>0</v>
      </c>
      <c r="Q377" s="39" t="s">
        <v>194</v>
      </c>
    </row>
    <row r="378" spans="1:17" ht="15" hidden="1">
      <c r="A378" s="40">
        <v>8</v>
      </c>
      <c r="B378" s="33">
        <v>1950</v>
      </c>
      <c r="C378" s="43" t="s">
        <v>68</v>
      </c>
      <c r="D378" s="68">
        <f t="shared" si="46"/>
        <v>0</v>
      </c>
      <c r="E378" s="35"/>
      <c r="F378" s="35"/>
      <c r="G378" s="36">
        <f t="shared" si="49"/>
        <v>0</v>
      </c>
      <c r="H378" s="41"/>
      <c r="I378" s="69">
        <f t="shared" si="47"/>
        <v>0</v>
      </c>
      <c r="J378" s="35"/>
      <c r="K378" s="35"/>
      <c r="L378" s="36">
        <f t="shared" si="50"/>
        <v>0</v>
      </c>
      <c r="M378" s="38">
        <f t="shared" si="48"/>
        <v>0</v>
      </c>
      <c r="Q378" s="39" t="s">
        <v>195</v>
      </c>
    </row>
    <row r="379" spans="1:17" ht="15" hidden="1">
      <c r="A379" s="40">
        <v>8</v>
      </c>
      <c r="B379" s="33">
        <v>1955</v>
      </c>
      <c r="C379" s="43" t="s">
        <v>69</v>
      </c>
      <c r="D379" s="68">
        <f t="shared" si="46"/>
        <v>0</v>
      </c>
      <c r="E379" s="35"/>
      <c r="F379" s="35"/>
      <c r="G379" s="36">
        <f t="shared" si="49"/>
        <v>0</v>
      </c>
      <c r="H379" s="41"/>
      <c r="I379" s="69">
        <f t="shared" si="47"/>
        <v>0</v>
      </c>
      <c r="J379" s="35"/>
      <c r="K379" s="35"/>
      <c r="L379" s="36">
        <f t="shared" si="50"/>
        <v>0</v>
      </c>
      <c r="M379" s="38">
        <f t="shared" si="48"/>
        <v>0</v>
      </c>
      <c r="Q379" s="39" t="s">
        <v>196</v>
      </c>
    </row>
    <row r="380" spans="1:17" ht="15" hidden="1">
      <c r="A380" s="44">
        <v>8</v>
      </c>
      <c r="B380" s="44">
        <v>1955</v>
      </c>
      <c r="C380" s="46" t="s">
        <v>70</v>
      </c>
      <c r="D380" s="68">
        <f t="shared" si="46"/>
        <v>0</v>
      </c>
      <c r="E380" s="35"/>
      <c r="F380" s="35"/>
      <c r="G380" s="36">
        <f t="shared" si="49"/>
        <v>0</v>
      </c>
      <c r="H380" s="41"/>
      <c r="I380" s="69">
        <f t="shared" si="47"/>
        <v>0</v>
      </c>
      <c r="J380" s="35"/>
      <c r="K380" s="35"/>
      <c r="L380" s="36">
        <f t="shared" si="50"/>
        <v>0</v>
      </c>
      <c r="M380" s="38">
        <f t="shared" si="48"/>
        <v>0</v>
      </c>
      <c r="Q380" s="39" t="s">
        <v>196</v>
      </c>
    </row>
    <row r="381" spans="1:17" ht="15" hidden="1">
      <c r="A381" s="44">
        <v>8</v>
      </c>
      <c r="B381" s="47">
        <v>1960</v>
      </c>
      <c r="C381" s="34" t="s">
        <v>71</v>
      </c>
      <c r="D381" s="68">
        <f t="shared" si="46"/>
        <v>0</v>
      </c>
      <c r="E381" s="35"/>
      <c r="F381" s="35"/>
      <c r="G381" s="36">
        <f t="shared" si="49"/>
        <v>0</v>
      </c>
      <c r="H381" s="41"/>
      <c r="I381" s="69">
        <f t="shared" si="47"/>
        <v>0</v>
      </c>
      <c r="J381" s="35"/>
      <c r="K381" s="35"/>
      <c r="L381" s="36">
        <f t="shared" si="50"/>
        <v>0</v>
      </c>
      <c r="M381" s="38">
        <f t="shared" si="48"/>
        <v>0</v>
      </c>
      <c r="Q381" s="39" t="s">
        <v>197</v>
      </c>
    </row>
    <row r="382" spans="1:17" ht="25.5" hidden="1">
      <c r="A382" s="48">
        <v>47</v>
      </c>
      <c r="B382" s="47">
        <v>1970</v>
      </c>
      <c r="C382" s="43" t="s">
        <v>72</v>
      </c>
      <c r="D382" s="68">
        <f t="shared" si="46"/>
        <v>0</v>
      </c>
      <c r="E382" s="35"/>
      <c r="F382" s="35"/>
      <c r="G382" s="36">
        <f t="shared" si="49"/>
        <v>0</v>
      </c>
      <c r="H382" s="41"/>
      <c r="I382" s="69">
        <f t="shared" si="47"/>
        <v>0</v>
      </c>
      <c r="J382" s="35"/>
      <c r="K382" s="35"/>
      <c r="L382" s="36">
        <f t="shared" si="50"/>
        <v>0</v>
      </c>
      <c r="M382" s="38">
        <f t="shared" si="48"/>
        <v>0</v>
      </c>
      <c r="Q382" s="39" t="s">
        <v>198</v>
      </c>
    </row>
    <row r="383" spans="1:17" ht="25.5" hidden="1">
      <c r="A383" s="40">
        <v>47</v>
      </c>
      <c r="B383" s="33">
        <v>1975</v>
      </c>
      <c r="C383" s="43" t="s">
        <v>73</v>
      </c>
      <c r="D383" s="68">
        <f t="shared" si="46"/>
        <v>0</v>
      </c>
      <c r="E383" s="35"/>
      <c r="F383" s="35"/>
      <c r="G383" s="36">
        <f t="shared" si="49"/>
        <v>0</v>
      </c>
      <c r="H383" s="41"/>
      <c r="I383" s="69">
        <f t="shared" si="47"/>
        <v>0</v>
      </c>
      <c r="J383" s="35"/>
      <c r="K383" s="35"/>
      <c r="L383" s="36">
        <f t="shared" si="50"/>
        <v>0</v>
      </c>
      <c r="M383" s="38">
        <f t="shared" si="48"/>
        <v>0</v>
      </c>
      <c r="Q383" s="39" t="s">
        <v>199</v>
      </c>
    </row>
    <row r="384" spans="1:17" ht="15" hidden="1">
      <c r="A384" s="40">
        <v>47</v>
      </c>
      <c r="B384" s="33">
        <v>1980</v>
      </c>
      <c r="C384" s="43" t="s">
        <v>74</v>
      </c>
      <c r="D384" s="68">
        <f t="shared" si="46"/>
        <v>0</v>
      </c>
      <c r="E384" s="35"/>
      <c r="F384" s="35"/>
      <c r="G384" s="36">
        <f t="shared" si="49"/>
        <v>0</v>
      </c>
      <c r="H384" s="41"/>
      <c r="I384" s="69">
        <f t="shared" si="47"/>
        <v>0</v>
      </c>
      <c r="J384" s="35"/>
      <c r="K384" s="35"/>
      <c r="L384" s="36">
        <f t="shared" si="50"/>
        <v>0</v>
      </c>
      <c r="M384" s="38">
        <f t="shared" si="48"/>
        <v>0</v>
      </c>
      <c r="Q384" s="39" t="s">
        <v>200</v>
      </c>
    </row>
    <row r="385" spans="1:17" ht="15" hidden="1">
      <c r="A385" s="40">
        <v>47</v>
      </c>
      <c r="B385" s="33">
        <v>1985</v>
      </c>
      <c r="C385" s="43" t="s">
        <v>75</v>
      </c>
      <c r="D385" s="68">
        <f t="shared" si="46"/>
        <v>0</v>
      </c>
      <c r="E385" s="35"/>
      <c r="F385" s="35"/>
      <c r="G385" s="36">
        <f t="shared" si="49"/>
        <v>0</v>
      </c>
      <c r="H385" s="41"/>
      <c r="I385" s="69">
        <f t="shared" si="47"/>
        <v>0</v>
      </c>
      <c r="J385" s="35"/>
      <c r="K385" s="35"/>
      <c r="L385" s="36">
        <f t="shared" si="50"/>
        <v>0</v>
      </c>
      <c r="M385" s="38">
        <f t="shared" si="48"/>
        <v>0</v>
      </c>
      <c r="Q385" s="39" t="s">
        <v>201</v>
      </c>
    </row>
    <row r="386" spans="1:17" ht="15" hidden="1">
      <c r="A386" s="48">
        <v>47</v>
      </c>
      <c r="B386" s="33">
        <v>1990</v>
      </c>
      <c r="C386" s="49" t="s">
        <v>76</v>
      </c>
      <c r="D386" s="68">
        <f t="shared" si="46"/>
        <v>0</v>
      </c>
      <c r="E386" s="35"/>
      <c r="F386" s="35"/>
      <c r="G386" s="36">
        <f t="shared" si="49"/>
        <v>0</v>
      </c>
      <c r="H386" s="41"/>
      <c r="I386" s="69">
        <f t="shared" si="47"/>
        <v>0</v>
      </c>
      <c r="J386" s="35"/>
      <c r="K386" s="35"/>
      <c r="L386" s="36">
        <f t="shared" si="50"/>
        <v>0</v>
      </c>
      <c r="M386" s="38">
        <f t="shared" si="48"/>
        <v>0</v>
      </c>
      <c r="Q386" s="39" t="s">
        <v>202</v>
      </c>
    </row>
    <row r="387" spans="1:17" ht="15" hidden="1">
      <c r="A387" s="40">
        <v>47</v>
      </c>
      <c r="B387" s="33">
        <v>1995</v>
      </c>
      <c r="C387" s="43" t="s">
        <v>77</v>
      </c>
      <c r="D387" s="68">
        <f t="shared" si="46"/>
        <v>0</v>
      </c>
      <c r="E387" s="35"/>
      <c r="F387" s="35"/>
      <c r="G387" s="36">
        <f t="shared" si="49"/>
        <v>0</v>
      </c>
      <c r="H387" s="41"/>
      <c r="I387" s="69">
        <f t="shared" si="47"/>
        <v>0</v>
      </c>
      <c r="J387" s="35"/>
      <c r="K387" s="35"/>
      <c r="L387" s="36">
        <f t="shared" si="50"/>
        <v>0</v>
      </c>
      <c r="M387" s="38">
        <f t="shared" si="48"/>
        <v>0</v>
      </c>
      <c r="Q387" s="39" t="s">
        <v>203</v>
      </c>
    </row>
    <row r="388" spans="1:17" ht="15" hidden="1">
      <c r="A388" s="40">
        <v>47</v>
      </c>
      <c r="B388" s="33">
        <v>2440</v>
      </c>
      <c r="C388" s="43" t="s">
        <v>78</v>
      </c>
      <c r="D388" s="68">
        <f t="shared" si="46"/>
        <v>0</v>
      </c>
      <c r="E388" s="35"/>
      <c r="F388" s="35"/>
      <c r="G388" s="36">
        <f t="shared" si="49"/>
        <v>0</v>
      </c>
      <c r="I388" s="69">
        <f t="shared" si="47"/>
        <v>0</v>
      </c>
      <c r="J388" s="35"/>
      <c r="K388" s="35"/>
      <c r="L388" s="36">
        <f t="shared" si="50"/>
        <v>0</v>
      </c>
      <c r="M388" s="38">
        <f t="shared" si="48"/>
        <v>0</v>
      </c>
      <c r="Q388" s="39" t="s">
        <v>204</v>
      </c>
    </row>
    <row r="389" spans="1:17" ht="15" hidden="1">
      <c r="A389" s="50"/>
      <c r="B389" s="50">
        <v>2005</v>
      </c>
      <c r="C389" s="51" t="s">
        <v>79</v>
      </c>
      <c r="D389" s="68">
        <f t="shared" si="46"/>
        <v>0</v>
      </c>
      <c r="E389" s="52"/>
      <c r="F389" s="52"/>
      <c r="G389" s="36">
        <f t="shared" si="49"/>
        <v>0</v>
      </c>
      <c r="I389" s="69">
        <f t="shared" si="47"/>
        <v>0</v>
      </c>
      <c r="J389" s="52"/>
      <c r="K389" s="52"/>
      <c r="L389" s="36">
        <f t="shared" si="50"/>
        <v>0</v>
      </c>
      <c r="M389" s="38">
        <f t="shared" si="48"/>
        <v>0</v>
      </c>
      <c r="Q389" s="39" t="s">
        <v>205</v>
      </c>
    </row>
    <row r="390" spans="1:17" hidden="1">
      <c r="A390" s="50"/>
      <c r="B390" s="50"/>
      <c r="C390" s="53" t="s">
        <v>2</v>
      </c>
      <c r="D390" s="54">
        <f>SUM(D349:D389)</f>
        <v>50264631.099999994</v>
      </c>
      <c r="E390" s="54">
        <f>SUM(E349:E389)</f>
        <v>0</v>
      </c>
      <c r="F390" s="54">
        <f>SUM(F349:F389)</f>
        <v>0</v>
      </c>
      <c r="G390" s="54">
        <f>SUM(G349:G389)</f>
        <v>50264631.099999994</v>
      </c>
      <c r="H390" s="55"/>
      <c r="I390" s="54">
        <f>SUM(I349:I389)</f>
        <v>-23340045.395904243</v>
      </c>
      <c r="J390" s="54">
        <f>SUM(J349:J389)</f>
        <v>0</v>
      </c>
      <c r="K390" s="54">
        <f>SUM(K349:K389)</f>
        <v>0</v>
      </c>
      <c r="L390" s="54">
        <f>SUM(L349:L389)</f>
        <v>-23340045.395904243</v>
      </c>
      <c r="M390" s="54">
        <f>SUM(M349:M389)</f>
        <v>26924585.704095751</v>
      </c>
    </row>
    <row r="391" spans="1:17" ht="37.5" hidden="1">
      <c r="A391" s="50"/>
      <c r="B391" s="50"/>
      <c r="C391" s="56" t="s">
        <v>80</v>
      </c>
      <c r="D391" s="52"/>
      <c r="E391" s="52"/>
      <c r="F391" s="52"/>
      <c r="G391" s="36">
        <f>D391+E391+F391</f>
        <v>0</v>
      </c>
      <c r="I391" s="52"/>
      <c r="J391" s="52"/>
      <c r="K391" s="52"/>
      <c r="L391" s="36">
        <f>I391+J391+K391</f>
        <v>0</v>
      </c>
      <c r="M391" s="38">
        <f>G391+L391</f>
        <v>0</v>
      </c>
    </row>
    <row r="392" spans="1:17" ht="25.5" hidden="1">
      <c r="A392" s="50"/>
      <c r="B392" s="50"/>
      <c r="C392" s="57" t="s">
        <v>81</v>
      </c>
      <c r="D392" s="52"/>
      <c r="E392" s="52"/>
      <c r="F392" s="52"/>
      <c r="G392" s="36">
        <f>D392+E392+F392</f>
        <v>0</v>
      </c>
      <c r="I392" s="52"/>
      <c r="J392" s="52"/>
      <c r="K392" s="52"/>
      <c r="L392" s="36">
        <f>I392+J392+K392</f>
        <v>0</v>
      </c>
      <c r="M392" s="38">
        <f>G392+L392</f>
        <v>0</v>
      </c>
    </row>
    <row r="393" spans="1:17" hidden="1">
      <c r="A393" s="50"/>
      <c r="B393" s="50"/>
      <c r="C393" s="53" t="s">
        <v>82</v>
      </c>
      <c r="D393" s="54">
        <f>SUM(D390:D392)</f>
        <v>50264631.099999994</v>
      </c>
      <c r="E393" s="54">
        <f>SUM(E390:E392)</f>
        <v>0</v>
      </c>
      <c r="F393" s="54">
        <f>SUM(F390:F392)</f>
        <v>0</v>
      </c>
      <c r="G393" s="54">
        <f>SUM(G390:G392)</f>
        <v>50264631.099999994</v>
      </c>
      <c r="H393" s="55"/>
      <c r="I393" s="54">
        <f>SUM(I390:I392)</f>
        <v>-23340045.395904243</v>
      </c>
      <c r="J393" s="54">
        <f>SUM(J390:J392)</f>
        <v>0</v>
      </c>
      <c r="K393" s="54">
        <f>SUM(K390:K392)</f>
        <v>0</v>
      </c>
      <c r="L393" s="54">
        <f>SUM(L390:L392)</f>
        <v>-23340045.395904243</v>
      </c>
      <c r="M393" s="54">
        <f>SUM(M390:M392)</f>
        <v>26924585.704095751</v>
      </c>
    </row>
    <row r="394" spans="1:17" ht="15" hidden="1">
      <c r="A394" s="50"/>
      <c r="B394" s="50"/>
      <c r="C394" s="58" t="s">
        <v>83</v>
      </c>
      <c r="D394" s="35"/>
      <c r="E394" s="35"/>
      <c r="F394" s="35"/>
      <c r="G394" s="36">
        <f t="shared" ref="G394" si="51">D394+E394+F394</f>
        <v>0</v>
      </c>
      <c r="H394" s="41"/>
      <c r="L394" s="36">
        <f t="shared" ref="L394" si="52">I394+J394+K394</f>
        <v>0</v>
      </c>
      <c r="M394" s="38">
        <f>G394+L394</f>
        <v>0</v>
      </c>
    </row>
    <row r="395" spans="1:17" hidden="1">
      <c r="A395" s="50"/>
      <c r="B395" s="50"/>
      <c r="C395" s="58" t="s">
        <v>84</v>
      </c>
      <c r="D395" s="54">
        <f>SUM(D393:D394)</f>
        <v>50264631.099999994</v>
      </c>
      <c r="E395" s="54">
        <f t="shared" ref="E395:M395" si="53">SUM(E393:E394)</f>
        <v>0</v>
      </c>
      <c r="F395" s="54">
        <f t="shared" si="53"/>
        <v>0</v>
      </c>
      <c r="G395" s="54">
        <f t="shared" si="53"/>
        <v>50264631.099999994</v>
      </c>
      <c r="H395" s="54">
        <f t="shared" si="53"/>
        <v>0</v>
      </c>
      <c r="I395" s="54">
        <f t="shared" si="53"/>
        <v>-23340045.395904243</v>
      </c>
      <c r="J395" s="54">
        <f t="shared" si="53"/>
        <v>0</v>
      </c>
      <c r="K395" s="54">
        <f t="shared" si="53"/>
        <v>0</v>
      </c>
      <c r="L395" s="54">
        <f t="shared" si="53"/>
        <v>-23340045.395904243</v>
      </c>
      <c r="M395" s="54">
        <f t="shared" si="53"/>
        <v>26924585.704095751</v>
      </c>
    </row>
    <row r="396" spans="1:17" ht="15" hidden="1">
      <c r="A396" s="50"/>
      <c r="B396" s="50"/>
      <c r="C396" s="585" t="s">
        <v>85</v>
      </c>
      <c r="D396" s="586"/>
      <c r="E396" s="586"/>
      <c r="F396" s="586"/>
      <c r="G396" s="586"/>
      <c r="H396" s="586"/>
      <c r="I396" s="587"/>
      <c r="J396" s="52"/>
      <c r="K396" s="59"/>
      <c r="L396" s="60"/>
      <c r="M396" s="61"/>
    </row>
    <row r="397" spans="1:17" ht="15" hidden="1">
      <c r="A397" s="50"/>
      <c r="B397" s="50"/>
      <c r="C397" s="585" t="s">
        <v>6</v>
      </c>
      <c r="D397" s="586"/>
      <c r="E397" s="586"/>
      <c r="F397" s="586"/>
      <c r="G397" s="586"/>
      <c r="H397" s="586"/>
      <c r="I397" s="587"/>
      <c r="J397" s="54">
        <f>J395+J396</f>
        <v>0</v>
      </c>
      <c r="K397" s="59"/>
      <c r="L397" s="60"/>
      <c r="M397" s="61"/>
    </row>
    <row r="398" spans="1:17" hidden="1"/>
    <row r="399" spans="1:17" hidden="1">
      <c r="I399" s="62" t="s">
        <v>86</v>
      </c>
      <c r="J399" s="63"/>
    </row>
    <row r="400" spans="1:17" ht="15" hidden="1">
      <c r="A400" s="50">
        <v>10</v>
      </c>
      <c r="B400" s="50"/>
      <c r="C400" s="64" t="s">
        <v>87</v>
      </c>
      <c r="D400" s="65"/>
      <c r="E400" s="65"/>
      <c r="F400" s="65"/>
      <c r="G400" s="65"/>
      <c r="H400" s="65"/>
      <c r="I400" s="66" t="s">
        <v>87</v>
      </c>
      <c r="J400" s="66"/>
      <c r="K400" s="37"/>
    </row>
    <row r="401" spans="1:17" ht="15" hidden="1">
      <c r="A401" s="50">
        <v>8</v>
      </c>
      <c r="B401" s="50"/>
      <c r="C401" s="64" t="s">
        <v>65</v>
      </c>
      <c r="D401" s="65"/>
      <c r="E401" s="65"/>
      <c r="F401" s="65"/>
      <c r="G401" s="65"/>
      <c r="H401" s="65"/>
      <c r="I401" s="66" t="s">
        <v>65</v>
      </c>
      <c r="J401" s="66"/>
      <c r="K401" s="37"/>
    </row>
    <row r="402" spans="1:17" ht="15" hidden="1">
      <c r="A402" s="50">
        <v>47</v>
      </c>
      <c r="B402" s="50"/>
      <c r="C402" s="64" t="s">
        <v>88</v>
      </c>
      <c r="D402" s="65"/>
      <c r="E402" s="65"/>
      <c r="F402" s="65"/>
      <c r="G402" s="65"/>
      <c r="H402" s="65"/>
      <c r="I402" s="66" t="s">
        <v>88</v>
      </c>
      <c r="J402" s="66"/>
      <c r="K402" s="37"/>
    </row>
    <row r="403" spans="1:17" hidden="1">
      <c r="I403" s="588" t="s">
        <v>89</v>
      </c>
      <c r="J403" s="589"/>
      <c r="K403" s="67">
        <f>J397-K400-K401-K402</f>
        <v>0</v>
      </c>
    </row>
    <row r="404" spans="1:17" hidden="1"/>
    <row r="405" spans="1:17" hidden="1"/>
    <row r="406" spans="1:17" hidden="1"/>
    <row r="407" spans="1:17" ht="15" hidden="1">
      <c r="E407" s="11" t="s">
        <v>25</v>
      </c>
      <c r="F407" s="21" t="str">
        <f>F344</f>
        <v>MIFRS</v>
      </c>
      <c r="H407" s="15"/>
    </row>
    <row r="408" spans="1:17" ht="15.75" hidden="1" thickBot="1">
      <c r="C408" s="19"/>
      <c r="E408" s="11" t="s">
        <v>27</v>
      </c>
      <c r="F408" s="183" t="e">
        <f>F345+1</f>
        <v>#VALUE!</v>
      </c>
      <c r="G408" s="23"/>
    </row>
    <row r="409" spans="1:17" hidden="1"/>
    <row r="410" spans="1:17" hidden="1">
      <c r="D410" s="581" t="s">
        <v>28</v>
      </c>
      <c r="E410" s="582"/>
      <c r="F410" s="582"/>
      <c r="G410" s="582"/>
      <c r="I410" s="24"/>
      <c r="J410" s="25" t="s">
        <v>29</v>
      </c>
      <c r="K410" s="25"/>
      <c r="L410" s="26"/>
      <c r="M410" s="16"/>
    </row>
    <row r="411" spans="1:17" ht="30" hidden="1" customHeight="1">
      <c r="A411" s="27" t="s">
        <v>30</v>
      </c>
      <c r="B411" s="27" t="s">
        <v>31</v>
      </c>
      <c r="C411" s="28" t="s">
        <v>32</v>
      </c>
      <c r="D411" s="27" t="s">
        <v>33</v>
      </c>
      <c r="E411" s="29" t="s">
        <v>34</v>
      </c>
      <c r="F411" s="29" t="s">
        <v>35</v>
      </c>
      <c r="G411" s="27" t="s">
        <v>36</v>
      </c>
      <c r="H411" s="30"/>
      <c r="I411" s="27" t="s">
        <v>33</v>
      </c>
      <c r="J411" s="31" t="s">
        <v>37</v>
      </c>
      <c r="K411" s="31" t="s">
        <v>35</v>
      </c>
      <c r="L411" s="32" t="s">
        <v>36</v>
      </c>
      <c r="M411" s="27" t="s">
        <v>38</v>
      </c>
    </row>
    <row r="412" spans="1:17" ht="25.5" hidden="1" customHeight="1">
      <c r="A412" s="27"/>
      <c r="B412" s="33">
        <v>1609</v>
      </c>
      <c r="C412" s="34" t="s">
        <v>39</v>
      </c>
      <c r="D412" s="68">
        <f t="shared" ref="D412:D452" si="54">G349</f>
        <v>343058.45999999996</v>
      </c>
      <c r="E412" s="35"/>
      <c r="F412" s="35"/>
      <c r="G412" s="36">
        <f>D412+E412+F412</f>
        <v>343058.45999999996</v>
      </c>
      <c r="H412" s="30"/>
      <c r="I412" s="69">
        <f t="shared" ref="I412:I452" si="55">L349</f>
        <v>-230595.39252545912</v>
      </c>
      <c r="J412" s="35"/>
      <c r="K412" s="35"/>
      <c r="L412" s="36">
        <f>I412+J412+K412</f>
        <v>-230595.39252545912</v>
      </c>
      <c r="M412" s="38">
        <f t="shared" ref="M412:M452" si="56">G412+L412</f>
        <v>112463.06747454085</v>
      </c>
      <c r="Q412" s="39" t="s">
        <v>170</v>
      </c>
    </row>
    <row r="413" spans="1:17" ht="25.5" hidden="1">
      <c r="A413" s="40">
        <v>12</v>
      </c>
      <c r="B413" s="33">
        <v>1611</v>
      </c>
      <c r="C413" s="34" t="s">
        <v>40</v>
      </c>
      <c r="D413" s="68">
        <f t="shared" si="54"/>
        <v>666155.5</v>
      </c>
      <c r="E413" s="35"/>
      <c r="F413" s="35"/>
      <c r="G413" s="36">
        <f>D413+E413+F413</f>
        <v>666155.5</v>
      </c>
      <c r="H413" s="41"/>
      <c r="I413" s="69">
        <f t="shared" si="55"/>
        <v>-583444.98535220895</v>
      </c>
      <c r="J413" s="35"/>
      <c r="K413" s="35"/>
      <c r="L413" s="36">
        <f>I413+J413+K413</f>
        <v>-583444.98535220895</v>
      </c>
      <c r="M413" s="38">
        <f t="shared" si="56"/>
        <v>82710.514647791046</v>
      </c>
      <c r="Q413" s="39" t="s">
        <v>171</v>
      </c>
    </row>
    <row r="414" spans="1:17" ht="25.5" hidden="1">
      <c r="A414" s="40" t="s">
        <v>41</v>
      </c>
      <c r="B414" s="33">
        <v>1612</v>
      </c>
      <c r="C414" s="34" t="s">
        <v>42</v>
      </c>
      <c r="D414" s="68">
        <f t="shared" si="54"/>
        <v>-376287.94</v>
      </c>
      <c r="E414" s="35"/>
      <c r="F414" s="35"/>
      <c r="G414" s="36">
        <f>D414+E414+F414</f>
        <v>-376287.94</v>
      </c>
      <c r="H414" s="41"/>
      <c r="I414" s="69">
        <f t="shared" si="55"/>
        <v>58412.206250299445</v>
      </c>
      <c r="J414" s="35"/>
      <c r="K414" s="35"/>
      <c r="L414" s="36">
        <f>I414+J414+K414</f>
        <v>58412.206250299445</v>
      </c>
      <c r="M414" s="38">
        <f t="shared" si="56"/>
        <v>-317875.73374970054</v>
      </c>
      <c r="Q414" s="39" t="s">
        <v>172</v>
      </c>
    </row>
    <row r="415" spans="1:17" ht="15" hidden="1">
      <c r="A415" s="40" t="s">
        <v>43</v>
      </c>
      <c r="B415" s="40">
        <v>1805</v>
      </c>
      <c r="C415" s="42" t="s">
        <v>44</v>
      </c>
      <c r="D415" s="68">
        <f t="shared" si="54"/>
        <v>-342496.4</v>
      </c>
      <c r="E415" s="35"/>
      <c r="F415" s="35"/>
      <c r="G415" s="36">
        <f>D415+E415+F415</f>
        <v>-342496.4</v>
      </c>
      <c r="H415" s="41"/>
      <c r="I415" s="69">
        <f t="shared" si="55"/>
        <v>34867.362741347832</v>
      </c>
      <c r="J415" s="35"/>
      <c r="K415" s="35"/>
      <c r="L415" s="36">
        <f>I415+J415+K415</f>
        <v>34867.362741347832</v>
      </c>
      <c r="M415" s="38">
        <f t="shared" si="56"/>
        <v>-307629.03725865221</v>
      </c>
      <c r="Q415" s="39" t="s">
        <v>173</v>
      </c>
    </row>
    <row r="416" spans="1:17" ht="15" hidden="1">
      <c r="A416" s="40">
        <v>47</v>
      </c>
      <c r="B416" s="40">
        <v>1808</v>
      </c>
      <c r="C416" s="43" t="s">
        <v>45</v>
      </c>
      <c r="D416" s="68">
        <f t="shared" si="54"/>
        <v>-13207.81</v>
      </c>
      <c r="E416" s="35"/>
      <c r="F416" s="35"/>
      <c r="G416" s="36">
        <f t="shared" ref="G416:G452" si="57">D416+E416+F416</f>
        <v>-13207.81</v>
      </c>
      <c r="H416" s="41"/>
      <c r="I416" s="69">
        <f t="shared" si="55"/>
        <v>3002.1917046634194</v>
      </c>
      <c r="J416" s="35"/>
      <c r="K416" s="35"/>
      <c r="L416" s="36">
        <f t="shared" ref="L416:L452" si="58">I416+J416+K416</f>
        <v>3002.1917046634194</v>
      </c>
      <c r="M416" s="38">
        <f t="shared" si="56"/>
        <v>-10205.618295336581</v>
      </c>
      <c r="Q416" s="39" t="s">
        <v>174</v>
      </c>
    </row>
    <row r="417" spans="1:17" ht="15" hidden="1">
      <c r="A417" s="40">
        <v>13</v>
      </c>
      <c r="B417" s="40">
        <v>1810</v>
      </c>
      <c r="C417" s="43" t="s">
        <v>46</v>
      </c>
      <c r="D417" s="68">
        <f t="shared" si="54"/>
        <v>-551529.73</v>
      </c>
      <c r="E417" s="35"/>
      <c r="F417" s="35"/>
      <c r="G417" s="36">
        <f t="shared" si="57"/>
        <v>-551529.73</v>
      </c>
      <c r="H417" s="41"/>
      <c r="I417" s="69">
        <f t="shared" si="55"/>
        <v>52223.753605089645</v>
      </c>
      <c r="J417" s="35"/>
      <c r="K417" s="35"/>
      <c r="L417" s="36">
        <f t="shared" si="58"/>
        <v>52223.753605089645</v>
      </c>
      <c r="M417" s="38">
        <f t="shared" si="56"/>
        <v>-499305.97639491037</v>
      </c>
      <c r="Q417" s="39" t="s">
        <v>175</v>
      </c>
    </row>
    <row r="418" spans="1:17" ht="15" hidden="1">
      <c r="A418" s="40">
        <v>47</v>
      </c>
      <c r="B418" s="40">
        <v>1815</v>
      </c>
      <c r="C418" s="43" t="s">
        <v>47</v>
      </c>
      <c r="D418" s="68">
        <f t="shared" si="54"/>
        <v>842666.73999999987</v>
      </c>
      <c r="E418" s="35"/>
      <c r="F418" s="35"/>
      <c r="G418" s="36">
        <f t="shared" si="57"/>
        <v>842666.73999999987</v>
      </c>
      <c r="H418" s="41"/>
      <c r="I418" s="69">
        <f t="shared" si="55"/>
        <v>-579635.18999999994</v>
      </c>
      <c r="J418" s="35"/>
      <c r="K418" s="35"/>
      <c r="L418" s="36">
        <f t="shared" si="58"/>
        <v>-579635.18999999994</v>
      </c>
      <c r="M418" s="38">
        <f t="shared" si="56"/>
        <v>263031.54999999993</v>
      </c>
      <c r="Q418" s="39" t="s">
        <v>176</v>
      </c>
    </row>
    <row r="419" spans="1:17" ht="15" hidden="1">
      <c r="A419" s="40">
        <v>47</v>
      </c>
      <c r="B419" s="40">
        <v>1820</v>
      </c>
      <c r="C419" s="34" t="s">
        <v>48</v>
      </c>
      <c r="D419" s="68">
        <f t="shared" si="54"/>
        <v>200719.96</v>
      </c>
      <c r="E419" s="35"/>
      <c r="F419" s="35"/>
      <c r="G419" s="36">
        <f t="shared" si="57"/>
        <v>200719.96</v>
      </c>
      <c r="H419" s="41"/>
      <c r="I419" s="69">
        <f t="shared" si="55"/>
        <v>-138313.94421049228</v>
      </c>
      <c r="J419" s="35"/>
      <c r="K419" s="35"/>
      <c r="L419" s="36">
        <f t="shared" si="58"/>
        <v>-138313.94421049228</v>
      </c>
      <c r="M419" s="38">
        <f t="shared" si="56"/>
        <v>62406.015789507714</v>
      </c>
      <c r="Q419" s="39" t="s">
        <v>177</v>
      </c>
    </row>
    <row r="420" spans="1:17" ht="15" hidden="1">
      <c r="A420" s="40">
        <v>47</v>
      </c>
      <c r="B420" s="40">
        <v>1825</v>
      </c>
      <c r="C420" s="43" t="s">
        <v>49</v>
      </c>
      <c r="D420" s="68">
        <f t="shared" si="54"/>
        <v>82653.239999999991</v>
      </c>
      <c r="E420" s="35"/>
      <c r="F420" s="35"/>
      <c r="G420" s="36">
        <f t="shared" si="57"/>
        <v>82653.239999999991</v>
      </c>
      <c r="H420" s="41"/>
      <c r="I420" s="69">
        <f t="shared" si="55"/>
        <v>0</v>
      </c>
      <c r="J420" s="35"/>
      <c r="K420" s="35"/>
      <c r="L420" s="36">
        <f t="shared" si="58"/>
        <v>0</v>
      </c>
      <c r="M420" s="38">
        <f t="shared" si="56"/>
        <v>82653.239999999991</v>
      </c>
      <c r="Q420" s="39" t="s">
        <v>178</v>
      </c>
    </row>
    <row r="421" spans="1:17" ht="15" hidden="1">
      <c r="A421" s="40">
        <v>47</v>
      </c>
      <c r="B421" s="40">
        <v>1830</v>
      </c>
      <c r="C421" s="43" t="s">
        <v>50</v>
      </c>
      <c r="D421" s="68">
        <f t="shared" si="54"/>
        <v>0</v>
      </c>
      <c r="E421" s="35"/>
      <c r="F421" s="35"/>
      <c r="G421" s="36">
        <f t="shared" si="57"/>
        <v>0</v>
      </c>
      <c r="H421" s="41"/>
      <c r="I421" s="69">
        <f t="shared" si="55"/>
        <v>0</v>
      </c>
      <c r="J421" s="35"/>
      <c r="K421" s="35"/>
      <c r="L421" s="36">
        <f t="shared" si="58"/>
        <v>0</v>
      </c>
      <c r="M421" s="38">
        <f t="shared" si="56"/>
        <v>0</v>
      </c>
      <c r="Q421" s="39" t="s">
        <v>179</v>
      </c>
    </row>
    <row r="422" spans="1:17" ht="15" hidden="1">
      <c r="A422" s="40">
        <v>47</v>
      </c>
      <c r="B422" s="40">
        <v>1835</v>
      </c>
      <c r="C422" s="43" t="s">
        <v>51</v>
      </c>
      <c r="D422" s="68">
        <f t="shared" si="54"/>
        <v>6830973.9499999993</v>
      </c>
      <c r="E422" s="35"/>
      <c r="F422" s="35"/>
      <c r="G422" s="36">
        <f t="shared" si="57"/>
        <v>6830973.9499999993</v>
      </c>
      <c r="H422" s="41"/>
      <c r="I422" s="69">
        <f t="shared" si="55"/>
        <v>-3430724.0924642351</v>
      </c>
      <c r="J422" s="35"/>
      <c r="K422" s="35"/>
      <c r="L422" s="36">
        <f t="shared" si="58"/>
        <v>-3430724.0924642351</v>
      </c>
      <c r="M422" s="38">
        <f t="shared" si="56"/>
        <v>3400249.8575357641</v>
      </c>
      <c r="Q422" s="39" t="s">
        <v>180</v>
      </c>
    </row>
    <row r="423" spans="1:17" ht="15" hidden="1">
      <c r="A423" s="40">
        <v>47</v>
      </c>
      <c r="B423" s="40">
        <v>1840</v>
      </c>
      <c r="C423" s="43" t="s">
        <v>52</v>
      </c>
      <c r="D423" s="68">
        <f t="shared" si="54"/>
        <v>19715136.049999997</v>
      </c>
      <c r="E423" s="35"/>
      <c r="F423" s="35"/>
      <c r="G423" s="36">
        <f t="shared" si="57"/>
        <v>19715136.049999997</v>
      </c>
      <c r="H423" s="41"/>
      <c r="I423" s="69">
        <f t="shared" si="55"/>
        <v>-7733545.0865641031</v>
      </c>
      <c r="J423" s="35"/>
      <c r="K423" s="35"/>
      <c r="L423" s="36">
        <f t="shared" si="58"/>
        <v>-7733545.0865641031</v>
      </c>
      <c r="M423" s="38">
        <f t="shared" si="56"/>
        <v>11981590.963435894</v>
      </c>
      <c r="Q423" s="39" t="s">
        <v>181</v>
      </c>
    </row>
    <row r="424" spans="1:17" ht="15" hidden="1">
      <c r="A424" s="40">
        <v>47</v>
      </c>
      <c r="B424" s="40">
        <v>1845</v>
      </c>
      <c r="C424" s="43" t="s">
        <v>53</v>
      </c>
      <c r="D424" s="68">
        <f t="shared" si="54"/>
        <v>2539099</v>
      </c>
      <c r="E424" s="35"/>
      <c r="F424" s="35"/>
      <c r="G424" s="36">
        <f t="shared" si="57"/>
        <v>2539099</v>
      </c>
      <c r="H424" s="41"/>
      <c r="I424" s="69">
        <f t="shared" si="55"/>
        <v>-1131846.8222409536</v>
      </c>
      <c r="J424" s="35"/>
      <c r="K424" s="35"/>
      <c r="L424" s="36">
        <f t="shared" si="58"/>
        <v>-1131846.8222409536</v>
      </c>
      <c r="M424" s="38">
        <f t="shared" si="56"/>
        <v>1407252.1777590464</v>
      </c>
      <c r="Q424" s="39" t="s">
        <v>182</v>
      </c>
    </row>
    <row r="425" spans="1:17" ht="15" hidden="1">
      <c r="A425" s="40">
        <v>47</v>
      </c>
      <c r="B425" s="40">
        <v>1850</v>
      </c>
      <c r="C425" s="43" t="s">
        <v>54</v>
      </c>
      <c r="D425" s="68">
        <f t="shared" si="54"/>
        <v>576367.02</v>
      </c>
      <c r="E425" s="35"/>
      <c r="F425" s="35"/>
      <c r="G425" s="36">
        <f t="shared" si="57"/>
        <v>576367.02</v>
      </c>
      <c r="H425" s="41"/>
      <c r="I425" s="69">
        <f t="shared" si="55"/>
        <v>-166975.65</v>
      </c>
      <c r="J425" s="35"/>
      <c r="K425" s="35"/>
      <c r="L425" s="36">
        <f t="shared" si="58"/>
        <v>-166975.65</v>
      </c>
      <c r="M425" s="38">
        <f t="shared" si="56"/>
        <v>409391.37</v>
      </c>
      <c r="Q425" s="39" t="s">
        <v>183</v>
      </c>
    </row>
    <row r="426" spans="1:17" ht="15" hidden="1">
      <c r="A426" s="40">
        <v>47</v>
      </c>
      <c r="B426" s="40">
        <v>1855</v>
      </c>
      <c r="C426" s="43" t="s">
        <v>55</v>
      </c>
      <c r="D426" s="68">
        <f t="shared" si="54"/>
        <v>2243249.4699999997</v>
      </c>
      <c r="E426" s="35"/>
      <c r="F426" s="35"/>
      <c r="G426" s="36">
        <f t="shared" si="57"/>
        <v>2243249.4699999997</v>
      </c>
      <c r="H426" s="41"/>
      <c r="I426" s="69">
        <f t="shared" si="55"/>
        <v>-1226392.8796201719</v>
      </c>
      <c r="J426" s="35"/>
      <c r="K426" s="35"/>
      <c r="L426" s="36">
        <f t="shared" si="58"/>
        <v>-1226392.8796201719</v>
      </c>
      <c r="M426" s="38">
        <f t="shared" si="56"/>
        <v>1016856.5903798279</v>
      </c>
      <c r="Q426" s="39" t="s">
        <v>184</v>
      </c>
    </row>
    <row r="427" spans="1:17" ht="15" hidden="1">
      <c r="A427" s="40">
        <v>47</v>
      </c>
      <c r="B427" s="40">
        <v>1860</v>
      </c>
      <c r="C427" s="43" t="s">
        <v>56</v>
      </c>
      <c r="D427" s="68">
        <f t="shared" si="54"/>
        <v>14139.4</v>
      </c>
      <c r="E427" s="35"/>
      <c r="F427" s="35"/>
      <c r="G427" s="36">
        <f t="shared" si="57"/>
        <v>14139.4</v>
      </c>
      <c r="H427" s="41"/>
      <c r="I427" s="69">
        <f t="shared" si="55"/>
        <v>-14139.400000000001</v>
      </c>
      <c r="J427" s="35"/>
      <c r="K427" s="35"/>
      <c r="L427" s="36">
        <f t="shared" si="58"/>
        <v>-14139.400000000001</v>
      </c>
      <c r="M427" s="38">
        <f t="shared" si="56"/>
        <v>0</v>
      </c>
      <c r="Q427" s="39" t="s">
        <v>185</v>
      </c>
    </row>
    <row r="428" spans="1:17" ht="15" hidden="1">
      <c r="A428" s="40">
        <v>47</v>
      </c>
      <c r="B428" s="40">
        <v>1860</v>
      </c>
      <c r="C428" s="42" t="s">
        <v>57</v>
      </c>
      <c r="D428" s="68">
        <f t="shared" si="54"/>
        <v>4268613.1999999993</v>
      </c>
      <c r="E428" s="35"/>
      <c r="F428" s="35"/>
      <c r="G428" s="36">
        <f t="shared" si="57"/>
        <v>4268613.1999999993</v>
      </c>
      <c r="H428" s="41"/>
      <c r="I428" s="69">
        <f t="shared" si="55"/>
        <v>-2020208.3838851876</v>
      </c>
      <c r="J428" s="35"/>
      <c r="K428" s="35"/>
      <c r="L428" s="36">
        <f t="shared" si="58"/>
        <v>-2020208.3838851876</v>
      </c>
      <c r="M428" s="38">
        <f t="shared" si="56"/>
        <v>2248404.8161148117</v>
      </c>
      <c r="Q428" s="39" t="s">
        <v>185</v>
      </c>
    </row>
    <row r="429" spans="1:17" ht="15" hidden="1">
      <c r="A429" s="40" t="s">
        <v>43</v>
      </c>
      <c r="B429" s="40">
        <v>1905</v>
      </c>
      <c r="C429" s="42" t="s">
        <v>44</v>
      </c>
      <c r="D429" s="68">
        <f t="shared" si="54"/>
        <v>1369235.5699999998</v>
      </c>
      <c r="E429" s="35"/>
      <c r="F429" s="35"/>
      <c r="G429" s="36">
        <f t="shared" si="57"/>
        <v>1369235.5699999998</v>
      </c>
      <c r="H429" s="41"/>
      <c r="I429" s="69">
        <f t="shared" si="55"/>
        <v>-520121.9874792546</v>
      </c>
      <c r="J429" s="35"/>
      <c r="K429" s="35"/>
      <c r="L429" s="36">
        <f t="shared" si="58"/>
        <v>-520121.9874792546</v>
      </c>
      <c r="M429" s="38">
        <f t="shared" si="56"/>
        <v>849113.58252074523</v>
      </c>
      <c r="Q429" s="39" t="s">
        <v>186</v>
      </c>
    </row>
    <row r="430" spans="1:17" ht="15" hidden="1">
      <c r="A430" s="40">
        <v>47</v>
      </c>
      <c r="B430" s="40">
        <v>1908</v>
      </c>
      <c r="C430" s="43" t="s">
        <v>58</v>
      </c>
      <c r="D430" s="68">
        <f t="shared" si="54"/>
        <v>8262552.3200000003</v>
      </c>
      <c r="E430" s="35"/>
      <c r="F430" s="35"/>
      <c r="G430" s="36">
        <f t="shared" si="57"/>
        <v>8262552.3200000003</v>
      </c>
      <c r="H430" s="41"/>
      <c r="I430" s="69">
        <f t="shared" si="55"/>
        <v>-3374118.1326762624</v>
      </c>
      <c r="J430" s="35"/>
      <c r="K430" s="35"/>
      <c r="L430" s="36">
        <f t="shared" si="58"/>
        <v>-3374118.1326762624</v>
      </c>
      <c r="M430" s="38">
        <f t="shared" si="56"/>
        <v>4888434.1873237379</v>
      </c>
      <c r="Q430" s="39" t="s">
        <v>187</v>
      </c>
    </row>
    <row r="431" spans="1:17" ht="15" hidden="1">
      <c r="A431" s="40">
        <v>13</v>
      </c>
      <c r="B431" s="40">
        <v>1910</v>
      </c>
      <c r="C431" s="43" t="s">
        <v>46</v>
      </c>
      <c r="D431" s="68">
        <f t="shared" si="54"/>
        <v>764686.65999999992</v>
      </c>
      <c r="E431" s="35"/>
      <c r="F431" s="35"/>
      <c r="G431" s="36">
        <f t="shared" si="57"/>
        <v>764686.65999999992</v>
      </c>
      <c r="H431" s="41"/>
      <c r="I431" s="69">
        <f t="shared" si="55"/>
        <v>-627902.94213376567</v>
      </c>
      <c r="J431" s="35"/>
      <c r="K431" s="35"/>
      <c r="L431" s="36">
        <f t="shared" si="58"/>
        <v>-627902.94213376567</v>
      </c>
      <c r="M431" s="38">
        <f t="shared" si="56"/>
        <v>136783.71786623425</v>
      </c>
      <c r="Q431" s="39" t="s">
        <v>188</v>
      </c>
    </row>
    <row r="432" spans="1:17" ht="15" hidden="1">
      <c r="A432" s="40">
        <v>8</v>
      </c>
      <c r="B432" s="40">
        <v>1915</v>
      </c>
      <c r="C432" s="43" t="s">
        <v>59</v>
      </c>
      <c r="D432" s="68">
        <f t="shared" si="54"/>
        <v>906091.52000000002</v>
      </c>
      <c r="E432" s="35"/>
      <c r="F432" s="35"/>
      <c r="G432" s="36">
        <f t="shared" si="57"/>
        <v>906091.52000000002</v>
      </c>
      <c r="H432" s="41"/>
      <c r="I432" s="69">
        <f t="shared" si="55"/>
        <v>-365998.20218178997</v>
      </c>
      <c r="J432" s="35"/>
      <c r="K432" s="35"/>
      <c r="L432" s="36">
        <f t="shared" si="58"/>
        <v>-365998.20218178997</v>
      </c>
      <c r="M432" s="38">
        <f t="shared" si="56"/>
        <v>540093.31781820999</v>
      </c>
      <c r="Q432" s="39" t="s">
        <v>189</v>
      </c>
    </row>
    <row r="433" spans="1:17" ht="15" hidden="1">
      <c r="A433" s="40">
        <v>8</v>
      </c>
      <c r="B433" s="40">
        <v>1915</v>
      </c>
      <c r="C433" s="43" t="s">
        <v>60</v>
      </c>
      <c r="D433" s="68">
        <f t="shared" si="54"/>
        <v>940708.56000000017</v>
      </c>
      <c r="E433" s="35"/>
      <c r="F433" s="35"/>
      <c r="G433" s="36">
        <f t="shared" si="57"/>
        <v>940708.56000000017</v>
      </c>
      <c r="H433" s="41"/>
      <c r="I433" s="69">
        <f t="shared" si="55"/>
        <v>-699656.24136113876</v>
      </c>
      <c r="J433" s="35"/>
      <c r="K433" s="35"/>
      <c r="L433" s="36">
        <f t="shared" si="58"/>
        <v>-699656.24136113876</v>
      </c>
      <c r="M433" s="38">
        <f t="shared" si="56"/>
        <v>241052.31863886141</v>
      </c>
      <c r="Q433" s="39" t="s">
        <v>189</v>
      </c>
    </row>
    <row r="434" spans="1:17" ht="15" hidden="1">
      <c r="A434" s="40">
        <v>10</v>
      </c>
      <c r="B434" s="40">
        <v>1920</v>
      </c>
      <c r="C434" s="43" t="s">
        <v>61</v>
      </c>
      <c r="D434" s="68">
        <f t="shared" si="54"/>
        <v>33032.959999999999</v>
      </c>
      <c r="E434" s="35"/>
      <c r="F434" s="35"/>
      <c r="G434" s="36">
        <f t="shared" si="57"/>
        <v>33032.959999999999</v>
      </c>
      <c r="H434" s="41"/>
      <c r="I434" s="69">
        <f t="shared" si="55"/>
        <v>-16588.478938948319</v>
      </c>
      <c r="J434" s="35"/>
      <c r="K434" s="35"/>
      <c r="L434" s="36">
        <f t="shared" si="58"/>
        <v>-16588.478938948319</v>
      </c>
      <c r="M434" s="38">
        <f t="shared" si="56"/>
        <v>16444.48106105168</v>
      </c>
      <c r="Q434" s="39" t="s">
        <v>190</v>
      </c>
    </row>
    <row r="435" spans="1:17" ht="25.5" hidden="1">
      <c r="A435" s="40">
        <v>45</v>
      </c>
      <c r="B435" s="44">
        <v>1920</v>
      </c>
      <c r="C435" s="34" t="s">
        <v>62</v>
      </c>
      <c r="D435" s="68">
        <f t="shared" si="54"/>
        <v>949013.39999999991</v>
      </c>
      <c r="E435" s="35"/>
      <c r="F435" s="35"/>
      <c r="G435" s="36">
        <f t="shared" si="57"/>
        <v>949013.39999999991</v>
      </c>
      <c r="H435" s="41"/>
      <c r="I435" s="69">
        <f t="shared" si="55"/>
        <v>-628343.0985716735</v>
      </c>
      <c r="J435" s="35"/>
      <c r="K435" s="35"/>
      <c r="L435" s="36">
        <f t="shared" si="58"/>
        <v>-628343.0985716735</v>
      </c>
      <c r="M435" s="38">
        <f t="shared" si="56"/>
        <v>320670.30142832641</v>
      </c>
      <c r="Q435" s="39" t="s">
        <v>190</v>
      </c>
    </row>
    <row r="436" spans="1:17" ht="25.5" hidden="1">
      <c r="A436" s="40">
        <v>50</v>
      </c>
      <c r="B436" s="44">
        <v>1920</v>
      </c>
      <c r="C436" s="34" t="s">
        <v>63</v>
      </c>
      <c r="D436" s="68">
        <f t="shared" si="54"/>
        <v>0</v>
      </c>
      <c r="E436" s="35"/>
      <c r="F436" s="35"/>
      <c r="G436" s="36">
        <f t="shared" si="57"/>
        <v>0</v>
      </c>
      <c r="H436" s="41"/>
      <c r="I436" s="69">
        <f t="shared" si="55"/>
        <v>0</v>
      </c>
      <c r="J436" s="35"/>
      <c r="K436" s="35"/>
      <c r="L436" s="36">
        <f t="shared" si="58"/>
        <v>0</v>
      </c>
      <c r="M436" s="38">
        <f t="shared" si="56"/>
        <v>0</v>
      </c>
      <c r="Q436" s="39" t="s">
        <v>190</v>
      </c>
    </row>
    <row r="437" spans="1:17" ht="15" hidden="1">
      <c r="A437" s="40">
        <v>10</v>
      </c>
      <c r="B437" s="33">
        <v>1930</v>
      </c>
      <c r="C437" s="43" t="s">
        <v>64</v>
      </c>
      <c r="D437" s="68">
        <f t="shared" si="54"/>
        <v>0</v>
      </c>
      <c r="E437" s="35"/>
      <c r="F437" s="35"/>
      <c r="G437" s="36">
        <f t="shared" si="57"/>
        <v>0</v>
      </c>
      <c r="H437" s="41"/>
      <c r="I437" s="69">
        <f t="shared" si="55"/>
        <v>0</v>
      </c>
      <c r="J437" s="35"/>
      <c r="K437" s="35"/>
      <c r="L437" s="36">
        <f t="shared" si="58"/>
        <v>0</v>
      </c>
      <c r="M437" s="38">
        <f t="shared" si="56"/>
        <v>0</v>
      </c>
      <c r="Q437" s="39" t="s">
        <v>191</v>
      </c>
    </row>
    <row r="438" spans="1:17" ht="15" hidden="1">
      <c r="A438" s="40">
        <v>8</v>
      </c>
      <c r="B438" s="33">
        <v>1935</v>
      </c>
      <c r="C438" s="43" t="s">
        <v>65</v>
      </c>
      <c r="D438" s="68">
        <f t="shared" si="54"/>
        <v>0</v>
      </c>
      <c r="E438" s="35"/>
      <c r="F438" s="35"/>
      <c r="G438" s="36">
        <f t="shared" si="57"/>
        <v>0</v>
      </c>
      <c r="H438" s="41"/>
      <c r="I438" s="69">
        <f t="shared" si="55"/>
        <v>0</v>
      </c>
      <c r="J438" s="35"/>
      <c r="K438" s="35"/>
      <c r="L438" s="36">
        <f t="shared" si="58"/>
        <v>0</v>
      </c>
      <c r="M438" s="38">
        <f t="shared" si="56"/>
        <v>0</v>
      </c>
      <c r="Q438" s="39" t="s">
        <v>192</v>
      </c>
    </row>
    <row r="439" spans="1:17" ht="15" hidden="1">
      <c r="A439" s="40">
        <v>8</v>
      </c>
      <c r="B439" s="33">
        <v>1940</v>
      </c>
      <c r="C439" s="43" t="s">
        <v>66</v>
      </c>
      <c r="D439" s="68">
        <f t="shared" si="54"/>
        <v>0</v>
      </c>
      <c r="E439" s="35"/>
      <c r="F439" s="35"/>
      <c r="G439" s="36">
        <f t="shared" si="57"/>
        <v>0</v>
      </c>
      <c r="H439" s="41"/>
      <c r="I439" s="69">
        <f t="shared" si="55"/>
        <v>0</v>
      </c>
      <c r="J439" s="35"/>
      <c r="K439" s="35"/>
      <c r="L439" s="36">
        <f t="shared" si="58"/>
        <v>0</v>
      </c>
      <c r="M439" s="38">
        <f t="shared" si="56"/>
        <v>0</v>
      </c>
      <c r="Q439" s="39" t="s">
        <v>193</v>
      </c>
    </row>
    <row r="440" spans="1:17" ht="15" hidden="1">
      <c r="A440" s="40">
        <v>8</v>
      </c>
      <c r="B440" s="33">
        <v>1945</v>
      </c>
      <c r="C440" s="43" t="s">
        <v>67</v>
      </c>
      <c r="D440" s="68">
        <f t="shared" si="54"/>
        <v>0</v>
      </c>
      <c r="E440" s="35"/>
      <c r="F440" s="35"/>
      <c r="G440" s="36">
        <f t="shared" si="57"/>
        <v>0</v>
      </c>
      <c r="H440" s="41"/>
      <c r="I440" s="69">
        <f t="shared" si="55"/>
        <v>0</v>
      </c>
      <c r="J440" s="35"/>
      <c r="K440" s="35"/>
      <c r="L440" s="36">
        <f t="shared" si="58"/>
        <v>0</v>
      </c>
      <c r="M440" s="38">
        <f t="shared" si="56"/>
        <v>0</v>
      </c>
      <c r="Q440" s="39" t="s">
        <v>194</v>
      </c>
    </row>
    <row r="441" spans="1:17" ht="15" hidden="1">
      <c r="A441" s="40">
        <v>8</v>
      </c>
      <c r="B441" s="33">
        <v>1950</v>
      </c>
      <c r="C441" s="43" t="s">
        <v>68</v>
      </c>
      <c r="D441" s="68">
        <f t="shared" si="54"/>
        <v>0</v>
      </c>
      <c r="E441" s="35"/>
      <c r="F441" s="35"/>
      <c r="G441" s="36">
        <f t="shared" si="57"/>
        <v>0</v>
      </c>
      <c r="H441" s="41"/>
      <c r="I441" s="69">
        <f t="shared" si="55"/>
        <v>0</v>
      </c>
      <c r="J441" s="35"/>
      <c r="K441" s="35"/>
      <c r="L441" s="36">
        <f t="shared" si="58"/>
        <v>0</v>
      </c>
      <c r="M441" s="38">
        <f t="shared" si="56"/>
        <v>0</v>
      </c>
      <c r="Q441" s="39" t="s">
        <v>195</v>
      </c>
    </row>
    <row r="442" spans="1:17" ht="15" hidden="1">
      <c r="A442" s="40">
        <v>8</v>
      </c>
      <c r="B442" s="33">
        <v>1955</v>
      </c>
      <c r="C442" s="43" t="s">
        <v>69</v>
      </c>
      <c r="D442" s="68">
        <f t="shared" si="54"/>
        <v>0</v>
      </c>
      <c r="E442" s="35"/>
      <c r="F442" s="35"/>
      <c r="G442" s="36">
        <f t="shared" si="57"/>
        <v>0</v>
      </c>
      <c r="H442" s="41"/>
      <c r="I442" s="69">
        <f t="shared" si="55"/>
        <v>0</v>
      </c>
      <c r="J442" s="35"/>
      <c r="K442" s="35"/>
      <c r="L442" s="36">
        <f t="shared" si="58"/>
        <v>0</v>
      </c>
      <c r="M442" s="38">
        <f t="shared" si="56"/>
        <v>0</v>
      </c>
      <c r="Q442" s="39" t="s">
        <v>196</v>
      </c>
    </row>
    <row r="443" spans="1:17" ht="15" hidden="1">
      <c r="A443" s="44">
        <v>8</v>
      </c>
      <c r="B443" s="44">
        <v>1955</v>
      </c>
      <c r="C443" s="46" t="s">
        <v>70</v>
      </c>
      <c r="D443" s="68">
        <f t="shared" si="54"/>
        <v>0</v>
      </c>
      <c r="E443" s="35"/>
      <c r="F443" s="35"/>
      <c r="G443" s="36">
        <f t="shared" si="57"/>
        <v>0</v>
      </c>
      <c r="H443" s="41"/>
      <c r="I443" s="69">
        <f t="shared" si="55"/>
        <v>0</v>
      </c>
      <c r="J443" s="35"/>
      <c r="K443" s="35"/>
      <c r="L443" s="36">
        <f t="shared" si="58"/>
        <v>0</v>
      </c>
      <c r="M443" s="38">
        <f t="shared" si="56"/>
        <v>0</v>
      </c>
      <c r="Q443" s="39" t="s">
        <v>196</v>
      </c>
    </row>
    <row r="444" spans="1:17" ht="15" hidden="1">
      <c r="A444" s="44">
        <v>8</v>
      </c>
      <c r="B444" s="47">
        <v>1960</v>
      </c>
      <c r="C444" s="34" t="s">
        <v>71</v>
      </c>
      <c r="D444" s="68">
        <f t="shared" si="54"/>
        <v>0</v>
      </c>
      <c r="E444" s="35"/>
      <c r="F444" s="35"/>
      <c r="G444" s="36">
        <f t="shared" si="57"/>
        <v>0</v>
      </c>
      <c r="H444" s="41"/>
      <c r="I444" s="69">
        <f t="shared" si="55"/>
        <v>0</v>
      </c>
      <c r="J444" s="35"/>
      <c r="K444" s="35"/>
      <c r="L444" s="36">
        <f t="shared" si="58"/>
        <v>0</v>
      </c>
      <c r="M444" s="38">
        <f t="shared" si="56"/>
        <v>0</v>
      </c>
      <c r="Q444" s="39" t="s">
        <v>197</v>
      </c>
    </row>
    <row r="445" spans="1:17" ht="25.5" hidden="1">
      <c r="A445" s="48">
        <v>47</v>
      </c>
      <c r="B445" s="47">
        <v>1970</v>
      </c>
      <c r="C445" s="43" t="s">
        <v>72</v>
      </c>
      <c r="D445" s="68">
        <f t="shared" si="54"/>
        <v>0</v>
      </c>
      <c r="E445" s="35"/>
      <c r="F445" s="35"/>
      <c r="G445" s="36">
        <f t="shared" si="57"/>
        <v>0</v>
      </c>
      <c r="H445" s="41"/>
      <c r="I445" s="69">
        <f t="shared" si="55"/>
        <v>0</v>
      </c>
      <c r="J445" s="35"/>
      <c r="K445" s="35"/>
      <c r="L445" s="36">
        <f t="shared" si="58"/>
        <v>0</v>
      </c>
      <c r="M445" s="38">
        <f t="shared" si="56"/>
        <v>0</v>
      </c>
      <c r="Q445" s="39" t="s">
        <v>198</v>
      </c>
    </row>
    <row r="446" spans="1:17" ht="25.5" hidden="1">
      <c r="A446" s="40">
        <v>47</v>
      </c>
      <c r="B446" s="33">
        <v>1975</v>
      </c>
      <c r="C446" s="43" t="s">
        <v>73</v>
      </c>
      <c r="D446" s="68">
        <f t="shared" si="54"/>
        <v>0</v>
      </c>
      <c r="E446" s="35"/>
      <c r="F446" s="35"/>
      <c r="G446" s="36">
        <f t="shared" si="57"/>
        <v>0</v>
      </c>
      <c r="H446" s="41"/>
      <c r="I446" s="69">
        <f t="shared" si="55"/>
        <v>0</v>
      </c>
      <c r="J446" s="35"/>
      <c r="K446" s="35"/>
      <c r="L446" s="36">
        <f t="shared" si="58"/>
        <v>0</v>
      </c>
      <c r="M446" s="38">
        <f t="shared" si="56"/>
        <v>0</v>
      </c>
      <c r="Q446" s="39" t="s">
        <v>199</v>
      </c>
    </row>
    <row r="447" spans="1:17" ht="15" hidden="1">
      <c r="A447" s="40">
        <v>47</v>
      </c>
      <c r="B447" s="33">
        <v>1980</v>
      </c>
      <c r="C447" s="43" t="s">
        <v>74</v>
      </c>
      <c r="D447" s="68">
        <f t="shared" si="54"/>
        <v>0</v>
      </c>
      <c r="E447" s="35"/>
      <c r="F447" s="35"/>
      <c r="G447" s="36">
        <f t="shared" si="57"/>
        <v>0</v>
      </c>
      <c r="H447" s="41"/>
      <c r="I447" s="69">
        <f t="shared" si="55"/>
        <v>0</v>
      </c>
      <c r="J447" s="35"/>
      <c r="K447" s="35"/>
      <c r="L447" s="36">
        <f t="shared" si="58"/>
        <v>0</v>
      </c>
      <c r="M447" s="38">
        <f t="shared" si="56"/>
        <v>0</v>
      </c>
      <c r="Q447" s="39" t="s">
        <v>200</v>
      </c>
    </row>
    <row r="448" spans="1:17" ht="15" hidden="1">
      <c r="A448" s="40">
        <v>47</v>
      </c>
      <c r="B448" s="33">
        <v>1985</v>
      </c>
      <c r="C448" s="43" t="s">
        <v>75</v>
      </c>
      <c r="D448" s="68">
        <f t="shared" si="54"/>
        <v>0</v>
      </c>
      <c r="E448" s="35"/>
      <c r="F448" s="35"/>
      <c r="G448" s="36">
        <f t="shared" si="57"/>
        <v>0</v>
      </c>
      <c r="H448" s="41"/>
      <c r="I448" s="69">
        <f t="shared" si="55"/>
        <v>0</v>
      </c>
      <c r="J448" s="35"/>
      <c r="K448" s="35"/>
      <c r="L448" s="36">
        <f t="shared" si="58"/>
        <v>0</v>
      </c>
      <c r="M448" s="38">
        <f t="shared" si="56"/>
        <v>0</v>
      </c>
      <c r="Q448" s="39" t="s">
        <v>201</v>
      </c>
    </row>
    <row r="449" spans="1:17" ht="15" hidden="1">
      <c r="A449" s="48">
        <v>47</v>
      </c>
      <c r="B449" s="33">
        <v>1990</v>
      </c>
      <c r="C449" s="49" t="s">
        <v>76</v>
      </c>
      <c r="D449" s="68">
        <f t="shared" si="54"/>
        <v>0</v>
      </c>
      <c r="E449" s="35"/>
      <c r="F449" s="35"/>
      <c r="G449" s="36">
        <f t="shared" si="57"/>
        <v>0</v>
      </c>
      <c r="H449" s="41"/>
      <c r="I449" s="69">
        <f t="shared" si="55"/>
        <v>0</v>
      </c>
      <c r="J449" s="35"/>
      <c r="K449" s="35"/>
      <c r="L449" s="36">
        <f t="shared" si="58"/>
        <v>0</v>
      </c>
      <c r="M449" s="38">
        <f t="shared" si="56"/>
        <v>0</v>
      </c>
      <c r="Q449" s="39" t="s">
        <v>202</v>
      </c>
    </row>
    <row r="450" spans="1:17" ht="15" hidden="1">
      <c r="A450" s="40">
        <v>47</v>
      </c>
      <c r="B450" s="33">
        <v>1995</v>
      </c>
      <c r="C450" s="43" t="s">
        <v>77</v>
      </c>
      <c r="D450" s="68">
        <f t="shared" si="54"/>
        <v>0</v>
      </c>
      <c r="E450" s="35"/>
      <c r="F450" s="35"/>
      <c r="G450" s="36">
        <f t="shared" si="57"/>
        <v>0</v>
      </c>
      <c r="H450" s="41"/>
      <c r="I450" s="69">
        <f t="shared" si="55"/>
        <v>0</v>
      </c>
      <c r="J450" s="35"/>
      <c r="K450" s="35"/>
      <c r="L450" s="36">
        <f t="shared" si="58"/>
        <v>0</v>
      </c>
      <c r="M450" s="38">
        <f t="shared" si="56"/>
        <v>0</v>
      </c>
      <c r="Q450" s="39" t="s">
        <v>203</v>
      </c>
    </row>
    <row r="451" spans="1:17" ht="15" hidden="1">
      <c r="A451" s="40">
        <v>47</v>
      </c>
      <c r="B451" s="33">
        <v>2440</v>
      </c>
      <c r="C451" s="43" t="s">
        <v>78</v>
      </c>
      <c r="D451" s="68">
        <f t="shared" si="54"/>
        <v>0</v>
      </c>
      <c r="E451" s="35"/>
      <c r="F451" s="35"/>
      <c r="G451" s="36">
        <f t="shared" si="57"/>
        <v>0</v>
      </c>
      <c r="I451" s="69">
        <f t="shared" si="55"/>
        <v>0</v>
      </c>
      <c r="J451" s="35"/>
      <c r="K451" s="35"/>
      <c r="L451" s="36">
        <f t="shared" si="58"/>
        <v>0</v>
      </c>
      <c r="M451" s="38">
        <f t="shared" si="56"/>
        <v>0</v>
      </c>
      <c r="Q451" s="39" t="s">
        <v>204</v>
      </c>
    </row>
    <row r="452" spans="1:17" ht="15" hidden="1">
      <c r="A452" s="50"/>
      <c r="B452" s="50">
        <v>2005</v>
      </c>
      <c r="C452" s="51" t="s">
        <v>79</v>
      </c>
      <c r="D452" s="68">
        <f t="shared" si="54"/>
        <v>0</v>
      </c>
      <c r="E452" s="52"/>
      <c r="F452" s="52"/>
      <c r="G452" s="36">
        <f t="shared" si="57"/>
        <v>0</v>
      </c>
      <c r="I452" s="69">
        <f t="shared" si="55"/>
        <v>0</v>
      </c>
      <c r="J452" s="52"/>
      <c r="K452" s="52"/>
      <c r="L452" s="36">
        <f t="shared" si="58"/>
        <v>0</v>
      </c>
      <c r="M452" s="38">
        <f t="shared" si="56"/>
        <v>0</v>
      </c>
      <c r="Q452" s="39" t="s">
        <v>205</v>
      </c>
    </row>
    <row r="453" spans="1:17" hidden="1">
      <c r="A453" s="50"/>
      <c r="B453" s="50"/>
      <c r="C453" s="53" t="s">
        <v>2</v>
      </c>
      <c r="D453" s="54">
        <f>SUM(D412:D452)</f>
        <v>50264631.099999994</v>
      </c>
      <c r="E453" s="54">
        <f>SUM(E412:E452)</f>
        <v>0</v>
      </c>
      <c r="F453" s="54">
        <f>SUM(F412:F452)</f>
        <v>0</v>
      </c>
      <c r="G453" s="54">
        <f>SUM(G412:G452)</f>
        <v>50264631.099999994</v>
      </c>
      <c r="H453" s="55"/>
      <c r="I453" s="54">
        <f>SUM(I412:I452)</f>
        <v>-23340045.395904243</v>
      </c>
      <c r="J453" s="54">
        <f>SUM(J412:J452)</f>
        <v>0</v>
      </c>
      <c r="K453" s="54">
        <f>SUM(K412:K452)</f>
        <v>0</v>
      </c>
      <c r="L453" s="54">
        <f>SUM(L412:L452)</f>
        <v>-23340045.395904243</v>
      </c>
      <c r="M453" s="54">
        <f>SUM(M412:M452)</f>
        <v>26924585.704095751</v>
      </c>
    </row>
    <row r="454" spans="1:17" ht="37.5" hidden="1">
      <c r="A454" s="50"/>
      <c r="B454" s="50"/>
      <c r="C454" s="56" t="s">
        <v>80</v>
      </c>
      <c r="D454" s="52"/>
      <c r="E454" s="52"/>
      <c r="F454" s="52"/>
      <c r="G454" s="36">
        <f>D454+E454+F454</f>
        <v>0</v>
      </c>
      <c r="I454" s="52"/>
      <c r="J454" s="52"/>
      <c r="K454" s="52"/>
      <c r="L454" s="36">
        <f>I454+J454+K454</f>
        <v>0</v>
      </c>
      <c r="M454" s="38">
        <f>G454+L454</f>
        <v>0</v>
      </c>
    </row>
    <row r="455" spans="1:17" ht="25.5" hidden="1">
      <c r="A455" s="50"/>
      <c r="B455" s="50"/>
      <c r="C455" s="57" t="s">
        <v>81</v>
      </c>
      <c r="D455" s="52"/>
      <c r="E455" s="52"/>
      <c r="F455" s="52"/>
      <c r="G455" s="36">
        <f>D455+E455+F455</f>
        <v>0</v>
      </c>
      <c r="I455" s="52"/>
      <c r="J455" s="52"/>
      <c r="K455" s="52"/>
      <c r="L455" s="36">
        <f>I455+J455+K455</f>
        <v>0</v>
      </c>
      <c r="M455" s="38">
        <f>G455+L455</f>
        <v>0</v>
      </c>
    </row>
    <row r="456" spans="1:17" hidden="1">
      <c r="A456" s="50"/>
      <c r="B456" s="50"/>
      <c r="C456" s="53" t="s">
        <v>82</v>
      </c>
      <c r="D456" s="54">
        <f>SUM(D453:D455)</f>
        <v>50264631.099999994</v>
      </c>
      <c r="E456" s="54">
        <f>SUM(E453:E455)</f>
        <v>0</v>
      </c>
      <c r="F456" s="54">
        <f>SUM(F453:F455)</f>
        <v>0</v>
      </c>
      <c r="G456" s="54">
        <f>SUM(G453:G455)</f>
        <v>50264631.099999994</v>
      </c>
      <c r="H456" s="55"/>
      <c r="I456" s="54">
        <f>SUM(I453:I455)</f>
        <v>-23340045.395904243</v>
      </c>
      <c r="J456" s="54">
        <f>SUM(J453:J455)</f>
        <v>0</v>
      </c>
      <c r="K456" s="54">
        <f>SUM(K453:K455)</f>
        <v>0</v>
      </c>
      <c r="L456" s="54">
        <f>SUM(L453:L455)</f>
        <v>-23340045.395904243</v>
      </c>
      <c r="M456" s="54">
        <f>SUM(M453:M455)</f>
        <v>26924585.704095751</v>
      </c>
    </row>
    <row r="457" spans="1:17" ht="15" hidden="1">
      <c r="A457" s="50"/>
      <c r="B457" s="50"/>
      <c r="C457" s="58" t="s">
        <v>83</v>
      </c>
      <c r="D457" s="35"/>
      <c r="E457" s="35"/>
      <c r="F457" s="35"/>
      <c r="G457" s="36">
        <f t="shared" ref="G457" si="59">D457+E457+F457</f>
        <v>0</v>
      </c>
      <c r="H457" s="41"/>
      <c r="L457" s="36">
        <f t="shared" ref="L457" si="60">I457+J457+K457</f>
        <v>0</v>
      </c>
      <c r="M457" s="38">
        <f>G457+L457</f>
        <v>0</v>
      </c>
    </row>
    <row r="458" spans="1:17" hidden="1">
      <c r="A458" s="50"/>
      <c r="B458" s="50"/>
      <c r="C458" s="58" t="s">
        <v>84</v>
      </c>
      <c r="D458" s="54">
        <f>SUM(D456:D457)</f>
        <v>50264631.099999994</v>
      </c>
      <c r="E458" s="54">
        <f t="shared" ref="E458:M458" si="61">SUM(E456:E457)</f>
        <v>0</v>
      </c>
      <c r="F458" s="54">
        <f t="shared" si="61"/>
        <v>0</v>
      </c>
      <c r="G458" s="54">
        <f t="shared" si="61"/>
        <v>50264631.099999994</v>
      </c>
      <c r="H458" s="54">
        <f t="shared" si="61"/>
        <v>0</v>
      </c>
      <c r="I458" s="54">
        <f t="shared" si="61"/>
        <v>-23340045.395904243</v>
      </c>
      <c r="J458" s="54">
        <f t="shared" si="61"/>
        <v>0</v>
      </c>
      <c r="K458" s="54">
        <f t="shared" si="61"/>
        <v>0</v>
      </c>
      <c r="L458" s="54">
        <f t="shared" si="61"/>
        <v>-23340045.395904243</v>
      </c>
      <c r="M458" s="54">
        <f t="shared" si="61"/>
        <v>26924585.704095751</v>
      </c>
    </row>
    <row r="459" spans="1:17" ht="15" hidden="1">
      <c r="A459" s="50"/>
      <c r="B459" s="50"/>
      <c r="C459" s="585" t="s">
        <v>85</v>
      </c>
      <c r="D459" s="586"/>
      <c r="E459" s="586"/>
      <c r="F459" s="586"/>
      <c r="G459" s="586"/>
      <c r="H459" s="586"/>
      <c r="I459" s="587"/>
      <c r="J459" s="52"/>
      <c r="K459" s="59"/>
      <c r="L459" s="60"/>
      <c r="M459" s="61"/>
    </row>
    <row r="460" spans="1:17" ht="15" hidden="1">
      <c r="A460" s="50"/>
      <c r="B460" s="50"/>
      <c r="C460" s="585" t="s">
        <v>6</v>
      </c>
      <c r="D460" s="586"/>
      <c r="E460" s="586"/>
      <c r="F460" s="586"/>
      <c r="G460" s="586"/>
      <c r="H460" s="586"/>
      <c r="I460" s="587"/>
      <c r="J460" s="54">
        <f>J458+J459</f>
        <v>0</v>
      </c>
      <c r="K460" s="59"/>
      <c r="L460" s="60"/>
      <c r="M460" s="61"/>
    </row>
    <row r="461" spans="1:17" hidden="1"/>
    <row r="462" spans="1:17" hidden="1">
      <c r="I462" s="62" t="s">
        <v>86</v>
      </c>
      <c r="J462" s="63"/>
    </row>
    <row r="463" spans="1:17" ht="15" hidden="1">
      <c r="A463" s="50">
        <v>10</v>
      </c>
      <c r="B463" s="50"/>
      <c r="C463" s="64" t="s">
        <v>87</v>
      </c>
      <c r="D463" s="65"/>
      <c r="E463" s="65"/>
      <c r="F463" s="65"/>
      <c r="G463" s="65"/>
      <c r="H463" s="65"/>
      <c r="I463" s="66" t="s">
        <v>87</v>
      </c>
      <c r="J463" s="66"/>
      <c r="K463" s="37"/>
    </row>
    <row r="464" spans="1:17" ht="15" hidden="1">
      <c r="A464" s="50">
        <v>8</v>
      </c>
      <c r="B464" s="50"/>
      <c r="C464" s="64" t="s">
        <v>65</v>
      </c>
      <c r="D464" s="65"/>
      <c r="E464" s="65"/>
      <c r="F464" s="65"/>
      <c r="G464" s="65"/>
      <c r="H464" s="65"/>
      <c r="I464" s="66" t="s">
        <v>65</v>
      </c>
      <c r="J464" s="66"/>
      <c r="K464" s="37"/>
    </row>
    <row r="465" spans="1:17" ht="15" hidden="1">
      <c r="A465" s="50">
        <v>47</v>
      </c>
      <c r="B465" s="50"/>
      <c r="C465" s="64" t="s">
        <v>88</v>
      </c>
      <c r="D465" s="65"/>
      <c r="E465" s="65"/>
      <c r="F465" s="65"/>
      <c r="G465" s="65"/>
      <c r="H465" s="65"/>
      <c r="I465" s="66" t="s">
        <v>88</v>
      </c>
      <c r="J465" s="66"/>
      <c r="K465" s="37"/>
    </row>
    <row r="466" spans="1:17" hidden="1">
      <c r="I466" s="588" t="s">
        <v>89</v>
      </c>
      <c r="J466" s="589"/>
      <c r="K466" s="67">
        <f>J460-K463-K464-K465</f>
        <v>0</v>
      </c>
    </row>
    <row r="467" spans="1:17" hidden="1"/>
    <row r="468" spans="1:17" hidden="1"/>
    <row r="469" spans="1:17" hidden="1"/>
    <row r="470" spans="1:17" ht="15" hidden="1">
      <c r="E470" s="11" t="s">
        <v>25</v>
      </c>
      <c r="F470" s="21" t="str">
        <f>F407</f>
        <v>MIFRS</v>
      </c>
      <c r="H470" s="15"/>
    </row>
    <row r="471" spans="1:17" ht="15.75" hidden="1" thickBot="1">
      <c r="C471" s="19"/>
      <c r="E471" s="11" t="s">
        <v>27</v>
      </c>
      <c r="F471" s="183" t="e">
        <f>F408+1</f>
        <v>#VALUE!</v>
      </c>
      <c r="G471" s="23"/>
    </row>
    <row r="472" spans="1:17" hidden="1"/>
    <row r="473" spans="1:17" hidden="1">
      <c r="D473" s="581" t="s">
        <v>28</v>
      </c>
      <c r="E473" s="582"/>
      <c r="F473" s="582"/>
      <c r="G473" s="582"/>
      <c r="I473" s="24"/>
      <c r="J473" s="25" t="s">
        <v>29</v>
      </c>
      <c r="K473" s="25"/>
      <c r="L473" s="26"/>
      <c r="M473" s="16"/>
    </row>
    <row r="474" spans="1:17" ht="30" hidden="1" customHeight="1">
      <c r="A474" s="27" t="s">
        <v>30</v>
      </c>
      <c r="B474" s="27" t="s">
        <v>31</v>
      </c>
      <c r="C474" s="28" t="s">
        <v>32</v>
      </c>
      <c r="D474" s="27" t="s">
        <v>33</v>
      </c>
      <c r="E474" s="29" t="s">
        <v>34</v>
      </c>
      <c r="F474" s="29" t="s">
        <v>35</v>
      </c>
      <c r="G474" s="27" t="s">
        <v>36</v>
      </c>
      <c r="H474" s="30"/>
      <c r="I474" s="27" t="s">
        <v>33</v>
      </c>
      <c r="J474" s="31" t="s">
        <v>37</v>
      </c>
      <c r="K474" s="31" t="s">
        <v>35</v>
      </c>
      <c r="L474" s="32" t="s">
        <v>36</v>
      </c>
      <c r="M474" s="27" t="s">
        <v>38</v>
      </c>
    </row>
    <row r="475" spans="1:17" ht="25.5" hidden="1" customHeight="1">
      <c r="A475" s="27"/>
      <c r="B475" s="33">
        <v>1609</v>
      </c>
      <c r="C475" s="34" t="s">
        <v>39</v>
      </c>
      <c r="D475" s="68">
        <f t="shared" ref="D475:D515" si="62">G412</f>
        <v>343058.45999999996</v>
      </c>
      <c r="E475" s="35"/>
      <c r="F475" s="35"/>
      <c r="G475" s="36">
        <f>D475+E475+F475</f>
        <v>343058.45999999996</v>
      </c>
      <c r="H475" s="30"/>
      <c r="I475" s="69">
        <f t="shared" ref="I475:I515" si="63">L412</f>
        <v>-230595.39252545912</v>
      </c>
      <c r="J475" s="35"/>
      <c r="K475" s="35"/>
      <c r="L475" s="36">
        <f>I475+J475+K475</f>
        <v>-230595.39252545912</v>
      </c>
      <c r="M475" s="38">
        <f t="shared" ref="M475:M515" si="64">G475+L475</f>
        <v>112463.06747454085</v>
      </c>
      <c r="Q475" s="39" t="s">
        <v>170</v>
      </c>
    </row>
    <row r="476" spans="1:17" ht="25.5" hidden="1">
      <c r="A476" s="40">
        <v>12</v>
      </c>
      <c r="B476" s="33">
        <v>1611</v>
      </c>
      <c r="C476" s="34" t="s">
        <v>40</v>
      </c>
      <c r="D476" s="68">
        <f t="shared" si="62"/>
        <v>666155.5</v>
      </c>
      <c r="E476" s="35"/>
      <c r="F476" s="35"/>
      <c r="G476" s="36">
        <f>D476+E476+F476</f>
        <v>666155.5</v>
      </c>
      <c r="H476" s="41"/>
      <c r="I476" s="69">
        <f t="shared" si="63"/>
        <v>-583444.98535220895</v>
      </c>
      <c r="J476" s="35"/>
      <c r="K476" s="35"/>
      <c r="L476" s="36">
        <f>I476+J476+K476</f>
        <v>-583444.98535220895</v>
      </c>
      <c r="M476" s="38">
        <f t="shared" si="64"/>
        <v>82710.514647791046</v>
      </c>
      <c r="Q476" s="39" t="s">
        <v>171</v>
      </c>
    </row>
    <row r="477" spans="1:17" ht="25.5" hidden="1">
      <c r="A477" s="40" t="s">
        <v>41</v>
      </c>
      <c r="B477" s="33">
        <v>1612</v>
      </c>
      <c r="C477" s="34" t="s">
        <v>42</v>
      </c>
      <c r="D477" s="68">
        <f t="shared" si="62"/>
        <v>-376287.94</v>
      </c>
      <c r="E477" s="35"/>
      <c r="F477" s="35"/>
      <c r="G477" s="36">
        <f>D477+E477+F477</f>
        <v>-376287.94</v>
      </c>
      <c r="H477" s="41"/>
      <c r="I477" s="69">
        <f t="shared" si="63"/>
        <v>58412.206250299445</v>
      </c>
      <c r="J477" s="35"/>
      <c r="K477" s="35"/>
      <c r="L477" s="36">
        <f>I477+J477+K477</f>
        <v>58412.206250299445</v>
      </c>
      <c r="M477" s="38">
        <f t="shared" si="64"/>
        <v>-317875.73374970054</v>
      </c>
      <c r="Q477" s="39" t="s">
        <v>172</v>
      </c>
    </row>
    <row r="478" spans="1:17" ht="15" hidden="1">
      <c r="A478" s="40" t="s">
        <v>43</v>
      </c>
      <c r="B478" s="40">
        <v>1805</v>
      </c>
      <c r="C478" s="42" t="s">
        <v>44</v>
      </c>
      <c r="D478" s="68">
        <f t="shared" si="62"/>
        <v>-342496.4</v>
      </c>
      <c r="E478" s="35"/>
      <c r="F478" s="35"/>
      <c r="G478" s="36">
        <f>D478+E478+F478</f>
        <v>-342496.4</v>
      </c>
      <c r="H478" s="41"/>
      <c r="I478" s="69">
        <f t="shared" si="63"/>
        <v>34867.362741347832</v>
      </c>
      <c r="J478" s="35"/>
      <c r="K478" s="35"/>
      <c r="L478" s="36">
        <f>I478+J478+K478</f>
        <v>34867.362741347832</v>
      </c>
      <c r="M478" s="38">
        <f t="shared" si="64"/>
        <v>-307629.03725865221</v>
      </c>
      <c r="Q478" s="39" t="s">
        <v>173</v>
      </c>
    </row>
    <row r="479" spans="1:17" ht="15" hidden="1">
      <c r="A479" s="40">
        <v>47</v>
      </c>
      <c r="B479" s="40">
        <v>1808</v>
      </c>
      <c r="C479" s="43" t="s">
        <v>45</v>
      </c>
      <c r="D479" s="68">
        <f t="shared" si="62"/>
        <v>-13207.81</v>
      </c>
      <c r="E479" s="35"/>
      <c r="F479" s="35"/>
      <c r="G479" s="36">
        <f t="shared" ref="G479:G515" si="65">D479+E479+F479</f>
        <v>-13207.81</v>
      </c>
      <c r="H479" s="41"/>
      <c r="I479" s="69">
        <f t="shared" si="63"/>
        <v>3002.1917046634194</v>
      </c>
      <c r="J479" s="35"/>
      <c r="K479" s="35"/>
      <c r="L479" s="36">
        <f t="shared" ref="L479:L515" si="66">I479+J479+K479</f>
        <v>3002.1917046634194</v>
      </c>
      <c r="M479" s="38">
        <f t="shared" si="64"/>
        <v>-10205.618295336581</v>
      </c>
      <c r="Q479" s="39" t="s">
        <v>174</v>
      </c>
    </row>
    <row r="480" spans="1:17" ht="15" hidden="1">
      <c r="A480" s="40">
        <v>13</v>
      </c>
      <c r="B480" s="40">
        <v>1810</v>
      </c>
      <c r="C480" s="43" t="s">
        <v>46</v>
      </c>
      <c r="D480" s="68">
        <f t="shared" si="62"/>
        <v>-551529.73</v>
      </c>
      <c r="E480" s="35"/>
      <c r="F480" s="35"/>
      <c r="G480" s="36">
        <f t="shared" si="65"/>
        <v>-551529.73</v>
      </c>
      <c r="H480" s="41"/>
      <c r="I480" s="69">
        <f t="shared" si="63"/>
        <v>52223.753605089645</v>
      </c>
      <c r="J480" s="35"/>
      <c r="K480" s="35"/>
      <c r="L480" s="36">
        <f t="shared" si="66"/>
        <v>52223.753605089645</v>
      </c>
      <c r="M480" s="38">
        <f t="shared" si="64"/>
        <v>-499305.97639491037</v>
      </c>
      <c r="Q480" s="39" t="s">
        <v>175</v>
      </c>
    </row>
    <row r="481" spans="1:17" ht="15" hidden="1">
      <c r="A481" s="40">
        <v>47</v>
      </c>
      <c r="B481" s="40">
        <v>1815</v>
      </c>
      <c r="C481" s="43" t="s">
        <v>47</v>
      </c>
      <c r="D481" s="68">
        <f t="shared" si="62"/>
        <v>842666.73999999987</v>
      </c>
      <c r="E481" s="35"/>
      <c r="F481" s="35"/>
      <c r="G481" s="36">
        <f t="shared" si="65"/>
        <v>842666.73999999987</v>
      </c>
      <c r="H481" s="41"/>
      <c r="I481" s="69">
        <f t="shared" si="63"/>
        <v>-579635.18999999994</v>
      </c>
      <c r="J481" s="35"/>
      <c r="K481" s="35"/>
      <c r="L481" s="36">
        <f t="shared" si="66"/>
        <v>-579635.18999999994</v>
      </c>
      <c r="M481" s="38">
        <f t="shared" si="64"/>
        <v>263031.54999999993</v>
      </c>
      <c r="Q481" s="39" t="s">
        <v>176</v>
      </c>
    </row>
    <row r="482" spans="1:17" ht="15" hidden="1">
      <c r="A482" s="40">
        <v>47</v>
      </c>
      <c r="B482" s="40">
        <v>1820</v>
      </c>
      <c r="C482" s="34" t="s">
        <v>48</v>
      </c>
      <c r="D482" s="68">
        <f t="shared" si="62"/>
        <v>200719.96</v>
      </c>
      <c r="E482" s="35"/>
      <c r="F482" s="35"/>
      <c r="G482" s="36">
        <f t="shared" si="65"/>
        <v>200719.96</v>
      </c>
      <c r="H482" s="41"/>
      <c r="I482" s="69">
        <f t="shared" si="63"/>
        <v>-138313.94421049228</v>
      </c>
      <c r="J482" s="35"/>
      <c r="K482" s="35"/>
      <c r="L482" s="36">
        <f t="shared" si="66"/>
        <v>-138313.94421049228</v>
      </c>
      <c r="M482" s="38">
        <f t="shared" si="64"/>
        <v>62406.015789507714</v>
      </c>
      <c r="Q482" s="39" t="s">
        <v>177</v>
      </c>
    </row>
    <row r="483" spans="1:17" ht="15" hidden="1">
      <c r="A483" s="40">
        <v>47</v>
      </c>
      <c r="B483" s="40">
        <v>1825</v>
      </c>
      <c r="C483" s="43" t="s">
        <v>49</v>
      </c>
      <c r="D483" s="68">
        <f t="shared" si="62"/>
        <v>82653.239999999991</v>
      </c>
      <c r="E483" s="35"/>
      <c r="F483" s="35"/>
      <c r="G483" s="36">
        <f t="shared" si="65"/>
        <v>82653.239999999991</v>
      </c>
      <c r="H483" s="41"/>
      <c r="I483" s="69">
        <f t="shared" si="63"/>
        <v>0</v>
      </c>
      <c r="J483" s="35"/>
      <c r="K483" s="35"/>
      <c r="L483" s="36">
        <f t="shared" si="66"/>
        <v>0</v>
      </c>
      <c r="M483" s="38">
        <f t="shared" si="64"/>
        <v>82653.239999999991</v>
      </c>
      <c r="Q483" s="39" t="s">
        <v>178</v>
      </c>
    </row>
    <row r="484" spans="1:17" ht="15" hidden="1">
      <c r="A484" s="40">
        <v>47</v>
      </c>
      <c r="B484" s="40">
        <v>1830</v>
      </c>
      <c r="C484" s="43" t="s">
        <v>50</v>
      </c>
      <c r="D484" s="68">
        <f t="shared" si="62"/>
        <v>0</v>
      </c>
      <c r="E484" s="35"/>
      <c r="F484" s="35"/>
      <c r="G484" s="36">
        <f t="shared" si="65"/>
        <v>0</v>
      </c>
      <c r="H484" s="41"/>
      <c r="I484" s="69">
        <f t="shared" si="63"/>
        <v>0</v>
      </c>
      <c r="J484" s="35"/>
      <c r="K484" s="35"/>
      <c r="L484" s="36">
        <f t="shared" si="66"/>
        <v>0</v>
      </c>
      <c r="M484" s="38">
        <f t="shared" si="64"/>
        <v>0</v>
      </c>
      <c r="Q484" s="39" t="s">
        <v>179</v>
      </c>
    </row>
    <row r="485" spans="1:17" ht="15" hidden="1">
      <c r="A485" s="40">
        <v>47</v>
      </c>
      <c r="B485" s="40">
        <v>1835</v>
      </c>
      <c r="C485" s="43" t="s">
        <v>51</v>
      </c>
      <c r="D485" s="68">
        <f t="shared" si="62"/>
        <v>6830973.9499999993</v>
      </c>
      <c r="E485" s="35"/>
      <c r="F485" s="35"/>
      <c r="G485" s="36">
        <f t="shared" si="65"/>
        <v>6830973.9499999993</v>
      </c>
      <c r="H485" s="41"/>
      <c r="I485" s="69">
        <f t="shared" si="63"/>
        <v>-3430724.0924642351</v>
      </c>
      <c r="J485" s="35"/>
      <c r="K485" s="35"/>
      <c r="L485" s="36">
        <f t="shared" si="66"/>
        <v>-3430724.0924642351</v>
      </c>
      <c r="M485" s="38">
        <f t="shared" si="64"/>
        <v>3400249.8575357641</v>
      </c>
      <c r="Q485" s="39" t="s">
        <v>180</v>
      </c>
    </row>
    <row r="486" spans="1:17" ht="15" hidden="1">
      <c r="A486" s="40">
        <v>47</v>
      </c>
      <c r="B486" s="40">
        <v>1840</v>
      </c>
      <c r="C486" s="43" t="s">
        <v>52</v>
      </c>
      <c r="D486" s="68">
        <f t="shared" si="62"/>
        <v>19715136.049999997</v>
      </c>
      <c r="E486" s="35"/>
      <c r="F486" s="35"/>
      <c r="G486" s="36">
        <f t="shared" si="65"/>
        <v>19715136.049999997</v>
      </c>
      <c r="H486" s="41"/>
      <c r="I486" s="69">
        <f t="shared" si="63"/>
        <v>-7733545.0865641031</v>
      </c>
      <c r="J486" s="35"/>
      <c r="K486" s="35"/>
      <c r="L486" s="36">
        <f t="shared" si="66"/>
        <v>-7733545.0865641031</v>
      </c>
      <c r="M486" s="38">
        <f t="shared" si="64"/>
        <v>11981590.963435894</v>
      </c>
      <c r="Q486" s="39" t="s">
        <v>181</v>
      </c>
    </row>
    <row r="487" spans="1:17" ht="15" hidden="1">
      <c r="A487" s="40">
        <v>47</v>
      </c>
      <c r="B487" s="40">
        <v>1845</v>
      </c>
      <c r="C487" s="43" t="s">
        <v>53</v>
      </c>
      <c r="D487" s="68">
        <f t="shared" si="62"/>
        <v>2539099</v>
      </c>
      <c r="E487" s="35"/>
      <c r="F487" s="35"/>
      <c r="G487" s="36">
        <f t="shared" si="65"/>
        <v>2539099</v>
      </c>
      <c r="H487" s="41"/>
      <c r="I487" s="69">
        <f t="shared" si="63"/>
        <v>-1131846.8222409536</v>
      </c>
      <c r="J487" s="35"/>
      <c r="K487" s="35"/>
      <c r="L487" s="36">
        <f t="shared" si="66"/>
        <v>-1131846.8222409536</v>
      </c>
      <c r="M487" s="38">
        <f t="shared" si="64"/>
        <v>1407252.1777590464</v>
      </c>
      <c r="Q487" s="39" t="s">
        <v>182</v>
      </c>
    </row>
    <row r="488" spans="1:17" ht="15" hidden="1">
      <c r="A488" s="40">
        <v>47</v>
      </c>
      <c r="B488" s="40">
        <v>1850</v>
      </c>
      <c r="C488" s="43" t="s">
        <v>54</v>
      </c>
      <c r="D488" s="68">
        <f t="shared" si="62"/>
        <v>576367.02</v>
      </c>
      <c r="E488" s="35"/>
      <c r="F488" s="35"/>
      <c r="G488" s="36">
        <f t="shared" si="65"/>
        <v>576367.02</v>
      </c>
      <c r="H488" s="41"/>
      <c r="I488" s="69">
        <f t="shared" si="63"/>
        <v>-166975.65</v>
      </c>
      <c r="J488" s="35"/>
      <c r="K488" s="35"/>
      <c r="L488" s="36">
        <f t="shared" si="66"/>
        <v>-166975.65</v>
      </c>
      <c r="M488" s="38">
        <f t="shared" si="64"/>
        <v>409391.37</v>
      </c>
      <c r="Q488" s="39" t="s">
        <v>183</v>
      </c>
    </row>
    <row r="489" spans="1:17" ht="15" hidden="1">
      <c r="A489" s="40">
        <v>47</v>
      </c>
      <c r="B489" s="40">
        <v>1855</v>
      </c>
      <c r="C489" s="43" t="s">
        <v>55</v>
      </c>
      <c r="D489" s="68">
        <f t="shared" si="62"/>
        <v>2243249.4699999997</v>
      </c>
      <c r="E489" s="35"/>
      <c r="F489" s="35"/>
      <c r="G489" s="36">
        <f t="shared" si="65"/>
        <v>2243249.4699999997</v>
      </c>
      <c r="H489" s="41"/>
      <c r="I489" s="69">
        <f t="shared" si="63"/>
        <v>-1226392.8796201719</v>
      </c>
      <c r="J489" s="35"/>
      <c r="K489" s="35"/>
      <c r="L489" s="36">
        <f t="shared" si="66"/>
        <v>-1226392.8796201719</v>
      </c>
      <c r="M489" s="38">
        <f t="shared" si="64"/>
        <v>1016856.5903798279</v>
      </c>
      <c r="Q489" s="39" t="s">
        <v>184</v>
      </c>
    </row>
    <row r="490" spans="1:17" ht="15" hidden="1">
      <c r="A490" s="40">
        <v>47</v>
      </c>
      <c r="B490" s="40">
        <v>1860</v>
      </c>
      <c r="C490" s="43" t="s">
        <v>56</v>
      </c>
      <c r="D490" s="68">
        <f t="shared" si="62"/>
        <v>14139.4</v>
      </c>
      <c r="E490" s="35"/>
      <c r="F490" s="35"/>
      <c r="G490" s="36">
        <f t="shared" si="65"/>
        <v>14139.4</v>
      </c>
      <c r="H490" s="41"/>
      <c r="I490" s="69">
        <f t="shared" si="63"/>
        <v>-14139.400000000001</v>
      </c>
      <c r="J490" s="35"/>
      <c r="K490" s="35"/>
      <c r="L490" s="36">
        <f t="shared" si="66"/>
        <v>-14139.400000000001</v>
      </c>
      <c r="M490" s="38">
        <f t="shared" si="64"/>
        <v>0</v>
      </c>
      <c r="Q490" s="39" t="s">
        <v>185</v>
      </c>
    </row>
    <row r="491" spans="1:17" ht="15" hidden="1">
      <c r="A491" s="40">
        <v>47</v>
      </c>
      <c r="B491" s="40">
        <v>1860</v>
      </c>
      <c r="C491" s="42" t="s">
        <v>57</v>
      </c>
      <c r="D491" s="68">
        <f t="shared" si="62"/>
        <v>4268613.1999999993</v>
      </c>
      <c r="E491" s="35"/>
      <c r="F491" s="35"/>
      <c r="G491" s="36">
        <f t="shared" si="65"/>
        <v>4268613.1999999993</v>
      </c>
      <c r="H491" s="41"/>
      <c r="I491" s="69">
        <f t="shared" si="63"/>
        <v>-2020208.3838851876</v>
      </c>
      <c r="J491" s="35"/>
      <c r="K491" s="35"/>
      <c r="L491" s="36">
        <f t="shared" si="66"/>
        <v>-2020208.3838851876</v>
      </c>
      <c r="M491" s="38">
        <f t="shared" si="64"/>
        <v>2248404.8161148117</v>
      </c>
      <c r="Q491" s="39" t="s">
        <v>185</v>
      </c>
    </row>
    <row r="492" spans="1:17" ht="15" hidden="1">
      <c r="A492" s="40" t="s">
        <v>43</v>
      </c>
      <c r="B492" s="40">
        <v>1905</v>
      </c>
      <c r="C492" s="42" t="s">
        <v>44</v>
      </c>
      <c r="D492" s="68">
        <f t="shared" si="62"/>
        <v>1369235.5699999998</v>
      </c>
      <c r="E492" s="35"/>
      <c r="F492" s="35"/>
      <c r="G492" s="36">
        <f t="shared" si="65"/>
        <v>1369235.5699999998</v>
      </c>
      <c r="H492" s="41"/>
      <c r="I492" s="69">
        <f t="shared" si="63"/>
        <v>-520121.9874792546</v>
      </c>
      <c r="J492" s="35"/>
      <c r="K492" s="35"/>
      <c r="L492" s="36">
        <f t="shared" si="66"/>
        <v>-520121.9874792546</v>
      </c>
      <c r="M492" s="38">
        <f t="shared" si="64"/>
        <v>849113.58252074523</v>
      </c>
      <c r="Q492" s="39" t="s">
        <v>186</v>
      </c>
    </row>
    <row r="493" spans="1:17" ht="15" hidden="1">
      <c r="A493" s="40">
        <v>47</v>
      </c>
      <c r="B493" s="40">
        <v>1908</v>
      </c>
      <c r="C493" s="43" t="s">
        <v>58</v>
      </c>
      <c r="D493" s="68">
        <f t="shared" si="62"/>
        <v>8262552.3200000003</v>
      </c>
      <c r="E493" s="35"/>
      <c r="F493" s="35"/>
      <c r="G493" s="36">
        <f t="shared" si="65"/>
        <v>8262552.3200000003</v>
      </c>
      <c r="H493" s="41"/>
      <c r="I493" s="69">
        <f t="shared" si="63"/>
        <v>-3374118.1326762624</v>
      </c>
      <c r="J493" s="35"/>
      <c r="K493" s="35"/>
      <c r="L493" s="36">
        <f t="shared" si="66"/>
        <v>-3374118.1326762624</v>
      </c>
      <c r="M493" s="38">
        <f t="shared" si="64"/>
        <v>4888434.1873237379</v>
      </c>
      <c r="Q493" s="39" t="s">
        <v>187</v>
      </c>
    </row>
    <row r="494" spans="1:17" ht="15" hidden="1">
      <c r="A494" s="40">
        <v>13</v>
      </c>
      <c r="B494" s="40">
        <v>1910</v>
      </c>
      <c r="C494" s="43" t="s">
        <v>46</v>
      </c>
      <c r="D494" s="68">
        <f t="shared" si="62"/>
        <v>764686.65999999992</v>
      </c>
      <c r="E494" s="35"/>
      <c r="F494" s="35"/>
      <c r="G494" s="36">
        <f t="shared" si="65"/>
        <v>764686.65999999992</v>
      </c>
      <c r="H494" s="41"/>
      <c r="I494" s="69">
        <f t="shared" si="63"/>
        <v>-627902.94213376567</v>
      </c>
      <c r="J494" s="35"/>
      <c r="K494" s="35"/>
      <c r="L494" s="36">
        <f t="shared" si="66"/>
        <v>-627902.94213376567</v>
      </c>
      <c r="M494" s="38">
        <f t="shared" si="64"/>
        <v>136783.71786623425</v>
      </c>
      <c r="Q494" s="39" t="s">
        <v>188</v>
      </c>
    </row>
    <row r="495" spans="1:17" ht="15" hidden="1">
      <c r="A495" s="40">
        <v>8</v>
      </c>
      <c r="B495" s="40">
        <v>1915</v>
      </c>
      <c r="C495" s="43" t="s">
        <v>59</v>
      </c>
      <c r="D495" s="68">
        <f t="shared" si="62"/>
        <v>906091.52000000002</v>
      </c>
      <c r="E495" s="35"/>
      <c r="F495" s="35"/>
      <c r="G495" s="36">
        <f t="shared" si="65"/>
        <v>906091.52000000002</v>
      </c>
      <c r="H495" s="41"/>
      <c r="I495" s="69">
        <f t="shared" si="63"/>
        <v>-365998.20218178997</v>
      </c>
      <c r="J495" s="35"/>
      <c r="K495" s="35"/>
      <c r="L495" s="36">
        <f t="shared" si="66"/>
        <v>-365998.20218178997</v>
      </c>
      <c r="M495" s="38">
        <f t="shared" si="64"/>
        <v>540093.31781820999</v>
      </c>
      <c r="Q495" s="39" t="s">
        <v>189</v>
      </c>
    </row>
    <row r="496" spans="1:17" ht="15" hidden="1">
      <c r="A496" s="40">
        <v>8</v>
      </c>
      <c r="B496" s="40">
        <v>1915</v>
      </c>
      <c r="C496" s="43" t="s">
        <v>60</v>
      </c>
      <c r="D496" s="68">
        <f t="shared" si="62"/>
        <v>940708.56000000017</v>
      </c>
      <c r="E496" s="35"/>
      <c r="F496" s="35"/>
      <c r="G496" s="36">
        <f t="shared" si="65"/>
        <v>940708.56000000017</v>
      </c>
      <c r="H496" s="41"/>
      <c r="I496" s="69">
        <f t="shared" si="63"/>
        <v>-699656.24136113876</v>
      </c>
      <c r="J496" s="35"/>
      <c r="K496" s="35"/>
      <c r="L496" s="36">
        <f t="shared" si="66"/>
        <v>-699656.24136113876</v>
      </c>
      <c r="M496" s="38">
        <f t="shared" si="64"/>
        <v>241052.31863886141</v>
      </c>
      <c r="Q496" s="39" t="s">
        <v>189</v>
      </c>
    </row>
    <row r="497" spans="1:17" ht="15" hidden="1">
      <c r="A497" s="40">
        <v>10</v>
      </c>
      <c r="B497" s="40">
        <v>1920</v>
      </c>
      <c r="C497" s="43" t="s">
        <v>61</v>
      </c>
      <c r="D497" s="68">
        <f t="shared" si="62"/>
        <v>33032.959999999999</v>
      </c>
      <c r="E497" s="35"/>
      <c r="F497" s="35"/>
      <c r="G497" s="36">
        <f t="shared" si="65"/>
        <v>33032.959999999999</v>
      </c>
      <c r="H497" s="41"/>
      <c r="I497" s="69">
        <f t="shared" si="63"/>
        <v>-16588.478938948319</v>
      </c>
      <c r="J497" s="35"/>
      <c r="K497" s="35"/>
      <c r="L497" s="36">
        <f t="shared" si="66"/>
        <v>-16588.478938948319</v>
      </c>
      <c r="M497" s="38">
        <f t="shared" si="64"/>
        <v>16444.48106105168</v>
      </c>
      <c r="Q497" s="39" t="s">
        <v>190</v>
      </c>
    </row>
    <row r="498" spans="1:17" ht="25.5" hidden="1">
      <c r="A498" s="40">
        <v>45</v>
      </c>
      <c r="B498" s="44">
        <v>1920</v>
      </c>
      <c r="C498" s="34" t="s">
        <v>62</v>
      </c>
      <c r="D498" s="68">
        <f t="shared" si="62"/>
        <v>949013.39999999991</v>
      </c>
      <c r="E498" s="35"/>
      <c r="F498" s="35"/>
      <c r="G498" s="36">
        <f t="shared" si="65"/>
        <v>949013.39999999991</v>
      </c>
      <c r="H498" s="41"/>
      <c r="I498" s="69">
        <f t="shared" si="63"/>
        <v>-628343.0985716735</v>
      </c>
      <c r="J498" s="35"/>
      <c r="K498" s="35"/>
      <c r="L498" s="36">
        <f t="shared" si="66"/>
        <v>-628343.0985716735</v>
      </c>
      <c r="M498" s="38">
        <f t="shared" si="64"/>
        <v>320670.30142832641</v>
      </c>
      <c r="Q498" s="39" t="s">
        <v>190</v>
      </c>
    </row>
    <row r="499" spans="1:17" ht="25.5" hidden="1">
      <c r="A499" s="40">
        <v>50</v>
      </c>
      <c r="B499" s="44">
        <v>1920</v>
      </c>
      <c r="C499" s="34" t="s">
        <v>63</v>
      </c>
      <c r="D499" s="68">
        <f t="shared" si="62"/>
        <v>0</v>
      </c>
      <c r="E499" s="35"/>
      <c r="F499" s="35"/>
      <c r="G499" s="36">
        <f t="shared" si="65"/>
        <v>0</v>
      </c>
      <c r="H499" s="41"/>
      <c r="I499" s="69">
        <f t="shared" si="63"/>
        <v>0</v>
      </c>
      <c r="J499" s="35"/>
      <c r="K499" s="35"/>
      <c r="L499" s="36">
        <f t="shared" si="66"/>
        <v>0</v>
      </c>
      <c r="M499" s="38">
        <f t="shared" si="64"/>
        <v>0</v>
      </c>
      <c r="Q499" s="39" t="s">
        <v>190</v>
      </c>
    </row>
    <row r="500" spans="1:17" ht="15" hidden="1">
      <c r="A500" s="40">
        <v>10</v>
      </c>
      <c r="B500" s="33">
        <v>1930</v>
      </c>
      <c r="C500" s="43" t="s">
        <v>64</v>
      </c>
      <c r="D500" s="68">
        <f t="shared" si="62"/>
        <v>0</v>
      </c>
      <c r="E500" s="35"/>
      <c r="F500" s="35"/>
      <c r="G500" s="36">
        <f t="shared" si="65"/>
        <v>0</v>
      </c>
      <c r="H500" s="41"/>
      <c r="I500" s="69">
        <f t="shared" si="63"/>
        <v>0</v>
      </c>
      <c r="J500" s="35"/>
      <c r="K500" s="35"/>
      <c r="L500" s="36">
        <f t="shared" si="66"/>
        <v>0</v>
      </c>
      <c r="M500" s="38">
        <f t="shared" si="64"/>
        <v>0</v>
      </c>
      <c r="Q500" s="39" t="s">
        <v>191</v>
      </c>
    </row>
    <row r="501" spans="1:17" ht="15" hidden="1">
      <c r="A501" s="40">
        <v>8</v>
      </c>
      <c r="B501" s="33">
        <v>1935</v>
      </c>
      <c r="C501" s="43" t="s">
        <v>65</v>
      </c>
      <c r="D501" s="68">
        <f t="shared" si="62"/>
        <v>0</v>
      </c>
      <c r="E501" s="35"/>
      <c r="F501" s="35"/>
      <c r="G501" s="36">
        <f t="shared" si="65"/>
        <v>0</v>
      </c>
      <c r="H501" s="41"/>
      <c r="I501" s="69">
        <f t="shared" si="63"/>
        <v>0</v>
      </c>
      <c r="J501" s="35"/>
      <c r="K501" s="35"/>
      <c r="L501" s="36">
        <f t="shared" si="66"/>
        <v>0</v>
      </c>
      <c r="M501" s="38">
        <f t="shared" si="64"/>
        <v>0</v>
      </c>
      <c r="Q501" s="39" t="s">
        <v>192</v>
      </c>
    </row>
    <row r="502" spans="1:17" ht="15" hidden="1">
      <c r="A502" s="40">
        <v>8</v>
      </c>
      <c r="B502" s="33">
        <v>1940</v>
      </c>
      <c r="C502" s="43" t="s">
        <v>66</v>
      </c>
      <c r="D502" s="68">
        <f t="shared" si="62"/>
        <v>0</v>
      </c>
      <c r="E502" s="35"/>
      <c r="F502" s="35"/>
      <c r="G502" s="36">
        <f t="shared" si="65"/>
        <v>0</v>
      </c>
      <c r="H502" s="41"/>
      <c r="I502" s="69">
        <f t="shared" si="63"/>
        <v>0</v>
      </c>
      <c r="J502" s="35"/>
      <c r="K502" s="35"/>
      <c r="L502" s="36">
        <f t="shared" si="66"/>
        <v>0</v>
      </c>
      <c r="M502" s="38">
        <f t="shared" si="64"/>
        <v>0</v>
      </c>
      <c r="Q502" s="39" t="s">
        <v>193</v>
      </c>
    </row>
    <row r="503" spans="1:17" ht="15" hidden="1">
      <c r="A503" s="40">
        <v>8</v>
      </c>
      <c r="B503" s="33">
        <v>1945</v>
      </c>
      <c r="C503" s="43" t="s">
        <v>67</v>
      </c>
      <c r="D503" s="68">
        <f t="shared" si="62"/>
        <v>0</v>
      </c>
      <c r="E503" s="35"/>
      <c r="F503" s="35"/>
      <c r="G503" s="36">
        <f t="shared" si="65"/>
        <v>0</v>
      </c>
      <c r="H503" s="41"/>
      <c r="I503" s="69">
        <f t="shared" si="63"/>
        <v>0</v>
      </c>
      <c r="J503" s="35"/>
      <c r="K503" s="35"/>
      <c r="L503" s="36">
        <f t="shared" si="66"/>
        <v>0</v>
      </c>
      <c r="M503" s="38">
        <f t="shared" si="64"/>
        <v>0</v>
      </c>
      <c r="Q503" s="39" t="s">
        <v>194</v>
      </c>
    </row>
    <row r="504" spans="1:17" ht="15" hidden="1">
      <c r="A504" s="40">
        <v>8</v>
      </c>
      <c r="B504" s="33">
        <v>1950</v>
      </c>
      <c r="C504" s="43" t="s">
        <v>68</v>
      </c>
      <c r="D504" s="68">
        <f t="shared" si="62"/>
        <v>0</v>
      </c>
      <c r="E504" s="35"/>
      <c r="F504" s="35"/>
      <c r="G504" s="36">
        <f t="shared" si="65"/>
        <v>0</v>
      </c>
      <c r="H504" s="41"/>
      <c r="I504" s="69">
        <f t="shared" si="63"/>
        <v>0</v>
      </c>
      <c r="J504" s="35"/>
      <c r="K504" s="35"/>
      <c r="L504" s="36">
        <f t="shared" si="66"/>
        <v>0</v>
      </c>
      <c r="M504" s="38">
        <f t="shared" si="64"/>
        <v>0</v>
      </c>
      <c r="Q504" s="39" t="s">
        <v>195</v>
      </c>
    </row>
    <row r="505" spans="1:17" ht="15" hidden="1">
      <c r="A505" s="40">
        <v>8</v>
      </c>
      <c r="B505" s="33">
        <v>1955</v>
      </c>
      <c r="C505" s="43" t="s">
        <v>69</v>
      </c>
      <c r="D505" s="68">
        <f t="shared" si="62"/>
        <v>0</v>
      </c>
      <c r="E505" s="35"/>
      <c r="F505" s="35"/>
      <c r="G505" s="36">
        <f t="shared" si="65"/>
        <v>0</v>
      </c>
      <c r="H505" s="41"/>
      <c r="I505" s="69">
        <f t="shared" si="63"/>
        <v>0</v>
      </c>
      <c r="J505" s="35"/>
      <c r="K505" s="35"/>
      <c r="L505" s="36">
        <f t="shared" si="66"/>
        <v>0</v>
      </c>
      <c r="M505" s="38">
        <f t="shared" si="64"/>
        <v>0</v>
      </c>
      <c r="Q505" s="39" t="s">
        <v>196</v>
      </c>
    </row>
    <row r="506" spans="1:17" ht="15" hidden="1">
      <c r="A506" s="44">
        <v>8</v>
      </c>
      <c r="B506" s="44">
        <v>1955</v>
      </c>
      <c r="C506" s="46" t="s">
        <v>70</v>
      </c>
      <c r="D506" s="68">
        <f t="shared" si="62"/>
        <v>0</v>
      </c>
      <c r="E506" s="35"/>
      <c r="F506" s="35"/>
      <c r="G506" s="36">
        <f t="shared" si="65"/>
        <v>0</v>
      </c>
      <c r="H506" s="41"/>
      <c r="I506" s="69">
        <f t="shared" si="63"/>
        <v>0</v>
      </c>
      <c r="J506" s="35"/>
      <c r="K506" s="35"/>
      <c r="L506" s="36">
        <f t="shared" si="66"/>
        <v>0</v>
      </c>
      <c r="M506" s="38">
        <f t="shared" si="64"/>
        <v>0</v>
      </c>
      <c r="Q506" s="39" t="s">
        <v>196</v>
      </c>
    </row>
    <row r="507" spans="1:17" ht="15" hidden="1">
      <c r="A507" s="44">
        <v>8</v>
      </c>
      <c r="B507" s="47">
        <v>1960</v>
      </c>
      <c r="C507" s="34" t="s">
        <v>71</v>
      </c>
      <c r="D507" s="68">
        <f t="shared" si="62"/>
        <v>0</v>
      </c>
      <c r="E507" s="35"/>
      <c r="F507" s="35"/>
      <c r="G507" s="36">
        <f t="shared" si="65"/>
        <v>0</v>
      </c>
      <c r="H507" s="41"/>
      <c r="I507" s="69">
        <f t="shared" si="63"/>
        <v>0</v>
      </c>
      <c r="J507" s="35"/>
      <c r="K507" s="35"/>
      <c r="L507" s="36">
        <f t="shared" si="66"/>
        <v>0</v>
      </c>
      <c r="M507" s="38">
        <f t="shared" si="64"/>
        <v>0</v>
      </c>
      <c r="Q507" s="39" t="s">
        <v>197</v>
      </c>
    </row>
    <row r="508" spans="1:17" ht="25.5" hidden="1">
      <c r="A508" s="48">
        <v>47</v>
      </c>
      <c r="B508" s="47">
        <v>1970</v>
      </c>
      <c r="C508" s="43" t="s">
        <v>72</v>
      </c>
      <c r="D508" s="68">
        <f t="shared" si="62"/>
        <v>0</v>
      </c>
      <c r="E508" s="35"/>
      <c r="F508" s="35"/>
      <c r="G508" s="36">
        <f t="shared" si="65"/>
        <v>0</v>
      </c>
      <c r="H508" s="41"/>
      <c r="I508" s="69">
        <f t="shared" si="63"/>
        <v>0</v>
      </c>
      <c r="J508" s="35"/>
      <c r="K508" s="35"/>
      <c r="L508" s="36">
        <f t="shared" si="66"/>
        <v>0</v>
      </c>
      <c r="M508" s="38">
        <f t="shared" si="64"/>
        <v>0</v>
      </c>
      <c r="Q508" s="39" t="s">
        <v>198</v>
      </c>
    </row>
    <row r="509" spans="1:17" ht="25.5" hidden="1">
      <c r="A509" s="40">
        <v>47</v>
      </c>
      <c r="B509" s="33">
        <v>1975</v>
      </c>
      <c r="C509" s="43" t="s">
        <v>73</v>
      </c>
      <c r="D509" s="68">
        <f t="shared" si="62"/>
        <v>0</v>
      </c>
      <c r="E509" s="35"/>
      <c r="F509" s="35"/>
      <c r="G509" s="36">
        <f t="shared" si="65"/>
        <v>0</v>
      </c>
      <c r="H509" s="41"/>
      <c r="I509" s="69">
        <f t="shared" si="63"/>
        <v>0</v>
      </c>
      <c r="J509" s="35"/>
      <c r="K509" s="35"/>
      <c r="L509" s="36">
        <f t="shared" si="66"/>
        <v>0</v>
      </c>
      <c r="M509" s="38">
        <f t="shared" si="64"/>
        <v>0</v>
      </c>
      <c r="Q509" s="39" t="s">
        <v>199</v>
      </c>
    </row>
    <row r="510" spans="1:17" ht="15" hidden="1">
      <c r="A510" s="40">
        <v>47</v>
      </c>
      <c r="B510" s="33">
        <v>1980</v>
      </c>
      <c r="C510" s="43" t="s">
        <v>74</v>
      </c>
      <c r="D510" s="68">
        <f t="shared" si="62"/>
        <v>0</v>
      </c>
      <c r="E510" s="35"/>
      <c r="F510" s="35"/>
      <c r="G510" s="36">
        <f t="shared" si="65"/>
        <v>0</v>
      </c>
      <c r="H510" s="41"/>
      <c r="I510" s="69">
        <f t="shared" si="63"/>
        <v>0</v>
      </c>
      <c r="J510" s="35"/>
      <c r="K510" s="35"/>
      <c r="L510" s="36">
        <f t="shared" si="66"/>
        <v>0</v>
      </c>
      <c r="M510" s="38">
        <f t="shared" si="64"/>
        <v>0</v>
      </c>
      <c r="Q510" s="39" t="s">
        <v>200</v>
      </c>
    </row>
    <row r="511" spans="1:17" ht="15" hidden="1">
      <c r="A511" s="40">
        <v>47</v>
      </c>
      <c r="B511" s="33">
        <v>1985</v>
      </c>
      <c r="C511" s="43" t="s">
        <v>75</v>
      </c>
      <c r="D511" s="68">
        <f t="shared" si="62"/>
        <v>0</v>
      </c>
      <c r="E511" s="35"/>
      <c r="F511" s="35"/>
      <c r="G511" s="36">
        <f t="shared" si="65"/>
        <v>0</v>
      </c>
      <c r="H511" s="41"/>
      <c r="I511" s="69">
        <f t="shared" si="63"/>
        <v>0</v>
      </c>
      <c r="J511" s="35"/>
      <c r="K511" s="35"/>
      <c r="L511" s="36">
        <f t="shared" si="66"/>
        <v>0</v>
      </c>
      <c r="M511" s="38">
        <f t="shared" si="64"/>
        <v>0</v>
      </c>
      <c r="Q511" s="39" t="s">
        <v>201</v>
      </c>
    </row>
    <row r="512" spans="1:17" ht="15" hidden="1">
      <c r="A512" s="48">
        <v>47</v>
      </c>
      <c r="B512" s="33">
        <v>1990</v>
      </c>
      <c r="C512" s="49" t="s">
        <v>76</v>
      </c>
      <c r="D512" s="68">
        <f t="shared" si="62"/>
        <v>0</v>
      </c>
      <c r="E512" s="35"/>
      <c r="F512" s="35"/>
      <c r="G512" s="36">
        <f t="shared" si="65"/>
        <v>0</v>
      </c>
      <c r="H512" s="41"/>
      <c r="I512" s="69">
        <f t="shared" si="63"/>
        <v>0</v>
      </c>
      <c r="J512" s="35"/>
      <c r="K512" s="35"/>
      <c r="L512" s="36">
        <f t="shared" si="66"/>
        <v>0</v>
      </c>
      <c r="M512" s="38">
        <f t="shared" si="64"/>
        <v>0</v>
      </c>
      <c r="Q512" s="39" t="s">
        <v>202</v>
      </c>
    </row>
    <row r="513" spans="1:17" ht="15" hidden="1">
      <c r="A513" s="40">
        <v>47</v>
      </c>
      <c r="B513" s="33">
        <v>1995</v>
      </c>
      <c r="C513" s="43" t="s">
        <v>77</v>
      </c>
      <c r="D513" s="68">
        <f t="shared" si="62"/>
        <v>0</v>
      </c>
      <c r="E513" s="35"/>
      <c r="F513" s="35"/>
      <c r="G513" s="36">
        <f t="shared" si="65"/>
        <v>0</v>
      </c>
      <c r="H513" s="41"/>
      <c r="I513" s="69">
        <f t="shared" si="63"/>
        <v>0</v>
      </c>
      <c r="J513" s="35"/>
      <c r="K513" s="35"/>
      <c r="L513" s="36">
        <f t="shared" si="66"/>
        <v>0</v>
      </c>
      <c r="M513" s="38">
        <f t="shared" si="64"/>
        <v>0</v>
      </c>
      <c r="Q513" s="39" t="s">
        <v>203</v>
      </c>
    </row>
    <row r="514" spans="1:17" ht="15" hidden="1">
      <c r="A514" s="40">
        <v>47</v>
      </c>
      <c r="B514" s="33">
        <v>2440</v>
      </c>
      <c r="C514" s="43" t="s">
        <v>78</v>
      </c>
      <c r="D514" s="68">
        <f t="shared" si="62"/>
        <v>0</v>
      </c>
      <c r="E514" s="35"/>
      <c r="F514" s="35"/>
      <c r="G514" s="36">
        <f t="shared" si="65"/>
        <v>0</v>
      </c>
      <c r="I514" s="69">
        <f t="shared" si="63"/>
        <v>0</v>
      </c>
      <c r="J514" s="35"/>
      <c r="K514" s="35"/>
      <c r="L514" s="36">
        <f t="shared" si="66"/>
        <v>0</v>
      </c>
      <c r="M514" s="38">
        <f t="shared" si="64"/>
        <v>0</v>
      </c>
      <c r="Q514" s="39" t="s">
        <v>204</v>
      </c>
    </row>
    <row r="515" spans="1:17" ht="15" hidden="1">
      <c r="A515" s="50"/>
      <c r="B515" s="50">
        <v>2005</v>
      </c>
      <c r="C515" s="51" t="s">
        <v>79</v>
      </c>
      <c r="D515" s="68">
        <f t="shared" si="62"/>
        <v>0</v>
      </c>
      <c r="E515" s="52"/>
      <c r="F515" s="52"/>
      <c r="G515" s="36">
        <f t="shared" si="65"/>
        <v>0</v>
      </c>
      <c r="I515" s="69">
        <f t="shared" si="63"/>
        <v>0</v>
      </c>
      <c r="J515" s="52"/>
      <c r="K515" s="52"/>
      <c r="L515" s="36">
        <f t="shared" si="66"/>
        <v>0</v>
      </c>
      <c r="M515" s="38">
        <f t="shared" si="64"/>
        <v>0</v>
      </c>
      <c r="Q515" s="39" t="s">
        <v>205</v>
      </c>
    </row>
    <row r="516" spans="1:17" hidden="1">
      <c r="A516" s="50"/>
      <c r="B516" s="50"/>
      <c r="C516" s="53" t="s">
        <v>2</v>
      </c>
      <c r="D516" s="54">
        <f>SUM(D475:D515)</f>
        <v>50264631.099999994</v>
      </c>
      <c r="E516" s="54">
        <f>SUM(E475:E515)</f>
        <v>0</v>
      </c>
      <c r="F516" s="54">
        <f>SUM(F475:F515)</f>
        <v>0</v>
      </c>
      <c r="G516" s="54">
        <f>SUM(G475:G515)</f>
        <v>50264631.099999994</v>
      </c>
      <c r="H516" s="55"/>
      <c r="I516" s="54">
        <f>SUM(I475:I515)</f>
        <v>-23340045.395904243</v>
      </c>
      <c r="J516" s="54">
        <f>SUM(J475:J515)</f>
        <v>0</v>
      </c>
      <c r="K516" s="54">
        <f>SUM(K475:K515)</f>
        <v>0</v>
      </c>
      <c r="L516" s="54">
        <f>SUM(L475:L515)</f>
        <v>-23340045.395904243</v>
      </c>
      <c r="M516" s="54">
        <f>SUM(M475:M515)</f>
        <v>26924585.704095751</v>
      </c>
    </row>
    <row r="517" spans="1:17" ht="37.5" hidden="1">
      <c r="A517" s="50"/>
      <c r="B517" s="50"/>
      <c r="C517" s="56" t="s">
        <v>80</v>
      </c>
      <c r="D517" s="52"/>
      <c r="E517" s="52"/>
      <c r="F517" s="52"/>
      <c r="G517" s="36">
        <f>D517+E517+F517</f>
        <v>0</v>
      </c>
      <c r="I517" s="52"/>
      <c r="J517" s="52"/>
      <c r="K517" s="52"/>
      <c r="L517" s="36">
        <f>I517+J517+K517</f>
        <v>0</v>
      </c>
      <c r="M517" s="38">
        <f>G517+L517</f>
        <v>0</v>
      </c>
    </row>
    <row r="518" spans="1:17" ht="25.5" hidden="1">
      <c r="A518" s="50"/>
      <c r="B518" s="50"/>
      <c r="C518" s="57" t="s">
        <v>81</v>
      </c>
      <c r="D518" s="52"/>
      <c r="E518" s="52"/>
      <c r="F518" s="52"/>
      <c r="G518" s="36">
        <f>D518+E518+F518</f>
        <v>0</v>
      </c>
      <c r="I518" s="52"/>
      <c r="J518" s="52"/>
      <c r="K518" s="52"/>
      <c r="L518" s="36">
        <f>I518+J518+K518</f>
        <v>0</v>
      </c>
      <c r="M518" s="38">
        <f>G518+L518</f>
        <v>0</v>
      </c>
    </row>
    <row r="519" spans="1:17" hidden="1">
      <c r="A519" s="50"/>
      <c r="B519" s="50"/>
      <c r="C519" s="53" t="s">
        <v>82</v>
      </c>
      <c r="D519" s="54">
        <f>SUM(D516:D518)</f>
        <v>50264631.099999994</v>
      </c>
      <c r="E519" s="54">
        <f>SUM(E516:E518)</f>
        <v>0</v>
      </c>
      <c r="F519" s="54">
        <f>SUM(F516:F518)</f>
        <v>0</v>
      </c>
      <c r="G519" s="54">
        <f>SUM(G516:G518)</f>
        <v>50264631.099999994</v>
      </c>
      <c r="H519" s="55"/>
      <c r="I519" s="54">
        <f>SUM(I516:I518)</f>
        <v>-23340045.395904243</v>
      </c>
      <c r="J519" s="54">
        <f>SUM(J516:J518)</f>
        <v>0</v>
      </c>
      <c r="K519" s="54">
        <f>SUM(K516:K518)</f>
        <v>0</v>
      </c>
      <c r="L519" s="54">
        <f>SUM(L516:L518)</f>
        <v>-23340045.395904243</v>
      </c>
      <c r="M519" s="54">
        <f>SUM(M516:M518)</f>
        <v>26924585.704095751</v>
      </c>
    </row>
    <row r="520" spans="1:17" ht="15" hidden="1">
      <c r="A520" s="50"/>
      <c r="B520" s="50"/>
      <c r="C520" s="58" t="s">
        <v>83</v>
      </c>
      <c r="D520" s="35"/>
      <c r="E520" s="35"/>
      <c r="F520" s="35"/>
      <c r="G520" s="36">
        <f t="shared" ref="G520" si="67">D520+E520+F520</f>
        <v>0</v>
      </c>
      <c r="H520" s="41"/>
      <c r="L520" s="36">
        <f t="shared" ref="L520" si="68">I520+J520+K520</f>
        <v>0</v>
      </c>
      <c r="M520" s="38">
        <f>G520+L520</f>
        <v>0</v>
      </c>
    </row>
    <row r="521" spans="1:17" hidden="1">
      <c r="A521" s="50"/>
      <c r="B521" s="50"/>
      <c r="C521" s="58" t="s">
        <v>84</v>
      </c>
      <c r="D521" s="54">
        <f>SUM(D519:D520)</f>
        <v>50264631.099999994</v>
      </c>
      <c r="E521" s="54">
        <f t="shared" ref="E521:M521" si="69">SUM(E519:E520)</f>
        <v>0</v>
      </c>
      <c r="F521" s="54">
        <f t="shared" si="69"/>
        <v>0</v>
      </c>
      <c r="G521" s="54">
        <f t="shared" si="69"/>
        <v>50264631.099999994</v>
      </c>
      <c r="H521" s="54">
        <f t="shared" si="69"/>
        <v>0</v>
      </c>
      <c r="I521" s="54">
        <f t="shared" si="69"/>
        <v>-23340045.395904243</v>
      </c>
      <c r="J521" s="54">
        <f t="shared" si="69"/>
        <v>0</v>
      </c>
      <c r="K521" s="54">
        <f t="shared" si="69"/>
        <v>0</v>
      </c>
      <c r="L521" s="54">
        <f t="shared" si="69"/>
        <v>-23340045.395904243</v>
      </c>
      <c r="M521" s="54">
        <f t="shared" si="69"/>
        <v>26924585.704095751</v>
      </c>
    </row>
    <row r="522" spans="1:17" ht="15" hidden="1">
      <c r="A522" s="50"/>
      <c r="B522" s="50"/>
      <c r="C522" s="585" t="s">
        <v>85</v>
      </c>
      <c r="D522" s="586"/>
      <c r="E522" s="586"/>
      <c r="F522" s="586"/>
      <c r="G522" s="586"/>
      <c r="H522" s="586"/>
      <c r="I522" s="587"/>
      <c r="J522" s="52"/>
      <c r="K522" s="59"/>
      <c r="L522" s="60"/>
      <c r="M522" s="61"/>
    </row>
    <row r="523" spans="1:17" ht="15" hidden="1">
      <c r="A523" s="50"/>
      <c r="B523" s="50"/>
      <c r="C523" s="585" t="s">
        <v>6</v>
      </c>
      <c r="D523" s="586"/>
      <c r="E523" s="586"/>
      <c r="F523" s="586"/>
      <c r="G523" s="586"/>
      <c r="H523" s="586"/>
      <c r="I523" s="587"/>
      <c r="J523" s="54">
        <f>J521+J522</f>
        <v>0</v>
      </c>
      <c r="K523" s="59"/>
      <c r="L523" s="60"/>
      <c r="M523" s="61"/>
    </row>
    <row r="524" spans="1:17" hidden="1"/>
    <row r="525" spans="1:17" hidden="1">
      <c r="I525" s="62" t="s">
        <v>86</v>
      </c>
      <c r="J525" s="63"/>
    </row>
    <row r="526" spans="1:17" ht="15" hidden="1">
      <c r="A526" s="50">
        <v>10</v>
      </c>
      <c r="B526" s="50"/>
      <c r="C526" s="64" t="s">
        <v>87</v>
      </c>
      <c r="D526" s="65"/>
      <c r="E526" s="65"/>
      <c r="F526" s="65"/>
      <c r="G526" s="65"/>
      <c r="H526" s="65"/>
      <c r="I526" s="66" t="s">
        <v>87</v>
      </c>
      <c r="J526" s="66"/>
      <c r="K526" s="37"/>
    </row>
    <row r="527" spans="1:17" ht="15" hidden="1">
      <c r="A527" s="50">
        <v>8</v>
      </c>
      <c r="B527" s="50"/>
      <c r="C527" s="64" t="s">
        <v>65</v>
      </c>
      <c r="D527" s="65"/>
      <c r="E527" s="65"/>
      <c r="F527" s="65"/>
      <c r="G527" s="65"/>
      <c r="H527" s="65"/>
      <c r="I527" s="66" t="s">
        <v>65</v>
      </c>
      <c r="J527" s="66"/>
      <c r="K527" s="37"/>
    </row>
    <row r="528" spans="1:17" ht="15" hidden="1">
      <c r="A528" s="50">
        <v>47</v>
      </c>
      <c r="B528" s="50"/>
      <c r="C528" s="64" t="s">
        <v>88</v>
      </c>
      <c r="D528" s="65"/>
      <c r="E528" s="65"/>
      <c r="F528" s="65"/>
      <c r="G528" s="65"/>
      <c r="H528" s="65"/>
      <c r="I528" s="66" t="s">
        <v>88</v>
      </c>
      <c r="J528" s="66"/>
      <c r="K528" s="37"/>
    </row>
    <row r="529" spans="1:17" hidden="1">
      <c r="I529" s="588" t="s">
        <v>89</v>
      </c>
      <c r="J529" s="589"/>
      <c r="K529" s="67">
        <f>J523-K526-K527-K528</f>
        <v>0</v>
      </c>
    </row>
    <row r="530" spans="1:17" hidden="1"/>
    <row r="531" spans="1:17" hidden="1"/>
    <row r="532" spans="1:17" hidden="1"/>
    <row r="533" spans="1:17" ht="15" hidden="1">
      <c r="E533" s="11" t="s">
        <v>25</v>
      </c>
      <c r="F533" s="21" t="s">
        <v>26</v>
      </c>
      <c r="H533" s="15"/>
    </row>
    <row r="534" spans="1:17" ht="15.75" hidden="1" thickBot="1">
      <c r="C534" s="19"/>
      <c r="E534" s="11" t="s">
        <v>27</v>
      </c>
      <c r="F534" s="22">
        <v>9</v>
      </c>
      <c r="G534" s="23"/>
    </row>
    <row r="535" spans="1:17" hidden="1"/>
    <row r="536" spans="1:17" hidden="1">
      <c r="D536" s="581" t="s">
        <v>28</v>
      </c>
      <c r="E536" s="582"/>
      <c r="F536" s="582"/>
      <c r="G536" s="582"/>
      <c r="I536" s="24"/>
      <c r="J536" s="25" t="s">
        <v>29</v>
      </c>
      <c r="K536" s="25"/>
      <c r="L536" s="26"/>
      <c r="M536" s="16"/>
    </row>
    <row r="537" spans="1:17" ht="30" hidden="1" customHeight="1">
      <c r="A537" s="27" t="s">
        <v>30</v>
      </c>
      <c r="B537" s="27" t="s">
        <v>31</v>
      </c>
      <c r="C537" s="28" t="s">
        <v>32</v>
      </c>
      <c r="D537" s="27" t="s">
        <v>33</v>
      </c>
      <c r="E537" s="29" t="s">
        <v>34</v>
      </c>
      <c r="F537" s="29" t="s">
        <v>35</v>
      </c>
      <c r="G537" s="27" t="s">
        <v>36</v>
      </c>
      <c r="H537" s="30"/>
      <c r="I537" s="27" t="s">
        <v>33</v>
      </c>
      <c r="J537" s="31" t="s">
        <v>37</v>
      </c>
      <c r="K537" s="31" t="s">
        <v>35</v>
      </c>
      <c r="L537" s="32" t="s">
        <v>36</v>
      </c>
      <c r="M537" s="27" t="s">
        <v>38</v>
      </c>
    </row>
    <row r="538" spans="1:17" ht="25.5" hidden="1" customHeight="1">
      <c r="A538" s="27"/>
      <c r="B538" s="33">
        <v>1609</v>
      </c>
      <c r="C538" s="34" t="s">
        <v>39</v>
      </c>
      <c r="D538" s="68">
        <f t="shared" ref="D538:D578" si="70">G475</f>
        <v>343058.45999999996</v>
      </c>
      <c r="E538" s="35"/>
      <c r="F538" s="35"/>
      <c r="G538" s="36">
        <f>D538+E538+F538</f>
        <v>343058.45999999996</v>
      </c>
      <c r="H538" s="30"/>
      <c r="I538" s="69">
        <f t="shared" ref="I538:I578" si="71">L475</f>
        <v>-230595.39252545912</v>
      </c>
      <c r="J538" s="35"/>
      <c r="K538" s="35"/>
      <c r="L538" s="36">
        <f>I538+J538+K538</f>
        <v>-230595.39252545912</v>
      </c>
      <c r="M538" s="38">
        <f t="shared" ref="M538:M578" si="72">G538+L538</f>
        <v>112463.06747454085</v>
      </c>
      <c r="Q538" s="39" t="s">
        <v>170</v>
      </c>
    </row>
    <row r="539" spans="1:17" ht="25.5" hidden="1">
      <c r="A539" s="40">
        <v>12</v>
      </c>
      <c r="B539" s="33">
        <v>1611</v>
      </c>
      <c r="C539" s="34" t="s">
        <v>40</v>
      </c>
      <c r="D539" s="68">
        <f t="shared" si="70"/>
        <v>666155.5</v>
      </c>
      <c r="E539" s="35"/>
      <c r="F539" s="35"/>
      <c r="G539" s="36">
        <f>D539+E539+F539</f>
        <v>666155.5</v>
      </c>
      <c r="H539" s="41"/>
      <c r="I539" s="69">
        <f t="shared" si="71"/>
        <v>-583444.98535220895</v>
      </c>
      <c r="J539" s="35"/>
      <c r="K539" s="35"/>
      <c r="L539" s="36">
        <f>I539+J539+K539</f>
        <v>-583444.98535220895</v>
      </c>
      <c r="M539" s="38">
        <f t="shared" si="72"/>
        <v>82710.514647791046</v>
      </c>
      <c r="Q539" s="39" t="s">
        <v>171</v>
      </c>
    </row>
    <row r="540" spans="1:17" ht="25.5" hidden="1">
      <c r="A540" s="40" t="s">
        <v>41</v>
      </c>
      <c r="B540" s="33">
        <v>1612</v>
      </c>
      <c r="C540" s="34" t="s">
        <v>42</v>
      </c>
      <c r="D540" s="68">
        <f t="shared" si="70"/>
        <v>-376287.94</v>
      </c>
      <c r="E540" s="35"/>
      <c r="F540" s="35"/>
      <c r="G540" s="36">
        <f>D540+E540+F540</f>
        <v>-376287.94</v>
      </c>
      <c r="H540" s="41"/>
      <c r="I540" s="69">
        <f t="shared" si="71"/>
        <v>58412.206250299445</v>
      </c>
      <c r="J540" s="35"/>
      <c r="K540" s="35"/>
      <c r="L540" s="36">
        <f>I540+J540+K540</f>
        <v>58412.206250299445</v>
      </c>
      <c r="M540" s="38">
        <f t="shared" si="72"/>
        <v>-317875.73374970054</v>
      </c>
      <c r="Q540" s="39" t="s">
        <v>172</v>
      </c>
    </row>
    <row r="541" spans="1:17" ht="15" hidden="1">
      <c r="A541" s="40" t="s">
        <v>43</v>
      </c>
      <c r="B541" s="40">
        <v>1805</v>
      </c>
      <c r="C541" s="42" t="s">
        <v>44</v>
      </c>
      <c r="D541" s="68">
        <f t="shared" si="70"/>
        <v>-342496.4</v>
      </c>
      <c r="E541" s="35"/>
      <c r="F541" s="35"/>
      <c r="G541" s="36">
        <f>D541+E541+F541</f>
        <v>-342496.4</v>
      </c>
      <c r="H541" s="41"/>
      <c r="I541" s="69">
        <f t="shared" si="71"/>
        <v>34867.362741347832</v>
      </c>
      <c r="J541" s="35"/>
      <c r="K541" s="35"/>
      <c r="L541" s="36">
        <f>I541+J541+K541</f>
        <v>34867.362741347832</v>
      </c>
      <c r="M541" s="38">
        <f t="shared" si="72"/>
        <v>-307629.03725865221</v>
      </c>
      <c r="Q541" s="39" t="s">
        <v>173</v>
      </c>
    </row>
    <row r="542" spans="1:17" ht="15" hidden="1">
      <c r="A542" s="40">
        <v>47</v>
      </c>
      <c r="B542" s="40">
        <v>1808</v>
      </c>
      <c r="C542" s="43" t="s">
        <v>45</v>
      </c>
      <c r="D542" s="68">
        <f t="shared" si="70"/>
        <v>-13207.81</v>
      </c>
      <c r="E542" s="35"/>
      <c r="F542" s="35"/>
      <c r="G542" s="36">
        <f t="shared" ref="G542:G578" si="73">D542+E542+F542</f>
        <v>-13207.81</v>
      </c>
      <c r="H542" s="41"/>
      <c r="I542" s="69">
        <f t="shared" si="71"/>
        <v>3002.1917046634194</v>
      </c>
      <c r="J542" s="35"/>
      <c r="K542" s="35"/>
      <c r="L542" s="36">
        <f t="shared" ref="L542:L578" si="74">I542+J542+K542</f>
        <v>3002.1917046634194</v>
      </c>
      <c r="M542" s="38">
        <f t="shared" si="72"/>
        <v>-10205.618295336581</v>
      </c>
      <c r="Q542" s="39" t="s">
        <v>174</v>
      </c>
    </row>
    <row r="543" spans="1:17" ht="15" hidden="1">
      <c r="A543" s="40">
        <v>13</v>
      </c>
      <c r="B543" s="40">
        <v>1810</v>
      </c>
      <c r="C543" s="43" t="s">
        <v>46</v>
      </c>
      <c r="D543" s="68">
        <f t="shared" si="70"/>
        <v>-551529.73</v>
      </c>
      <c r="E543" s="35"/>
      <c r="F543" s="35"/>
      <c r="G543" s="36">
        <f t="shared" si="73"/>
        <v>-551529.73</v>
      </c>
      <c r="H543" s="41"/>
      <c r="I543" s="69">
        <f t="shared" si="71"/>
        <v>52223.753605089645</v>
      </c>
      <c r="J543" s="35"/>
      <c r="K543" s="35"/>
      <c r="L543" s="36">
        <f t="shared" si="74"/>
        <v>52223.753605089645</v>
      </c>
      <c r="M543" s="38">
        <f t="shared" si="72"/>
        <v>-499305.97639491037</v>
      </c>
      <c r="Q543" s="39" t="s">
        <v>175</v>
      </c>
    </row>
    <row r="544" spans="1:17" ht="15" hidden="1">
      <c r="A544" s="40">
        <v>47</v>
      </c>
      <c r="B544" s="40">
        <v>1815</v>
      </c>
      <c r="C544" s="43" t="s">
        <v>47</v>
      </c>
      <c r="D544" s="68">
        <f t="shared" si="70"/>
        <v>842666.73999999987</v>
      </c>
      <c r="E544" s="35"/>
      <c r="F544" s="35"/>
      <c r="G544" s="36">
        <f t="shared" si="73"/>
        <v>842666.73999999987</v>
      </c>
      <c r="H544" s="41"/>
      <c r="I544" s="69">
        <f t="shared" si="71"/>
        <v>-579635.18999999994</v>
      </c>
      <c r="J544" s="35"/>
      <c r="K544" s="35"/>
      <c r="L544" s="36">
        <f t="shared" si="74"/>
        <v>-579635.18999999994</v>
      </c>
      <c r="M544" s="38">
        <f t="shared" si="72"/>
        <v>263031.54999999993</v>
      </c>
      <c r="Q544" s="39" t="s">
        <v>176</v>
      </c>
    </row>
    <row r="545" spans="1:17" ht="15" hidden="1">
      <c r="A545" s="40">
        <v>47</v>
      </c>
      <c r="B545" s="40">
        <v>1820</v>
      </c>
      <c r="C545" s="34" t="s">
        <v>48</v>
      </c>
      <c r="D545" s="68">
        <f t="shared" si="70"/>
        <v>200719.96</v>
      </c>
      <c r="E545" s="35"/>
      <c r="F545" s="35"/>
      <c r="G545" s="36">
        <f t="shared" si="73"/>
        <v>200719.96</v>
      </c>
      <c r="H545" s="41"/>
      <c r="I545" s="69">
        <f t="shared" si="71"/>
        <v>-138313.94421049228</v>
      </c>
      <c r="J545" s="35"/>
      <c r="K545" s="35"/>
      <c r="L545" s="36">
        <f t="shared" si="74"/>
        <v>-138313.94421049228</v>
      </c>
      <c r="M545" s="38">
        <f t="shared" si="72"/>
        <v>62406.015789507714</v>
      </c>
      <c r="Q545" s="39" t="s">
        <v>177</v>
      </c>
    </row>
    <row r="546" spans="1:17" ht="15" hidden="1">
      <c r="A546" s="40">
        <v>47</v>
      </c>
      <c r="B546" s="40">
        <v>1825</v>
      </c>
      <c r="C546" s="43" t="s">
        <v>49</v>
      </c>
      <c r="D546" s="68">
        <f t="shared" si="70"/>
        <v>82653.239999999991</v>
      </c>
      <c r="E546" s="35"/>
      <c r="F546" s="35"/>
      <c r="G546" s="36">
        <f t="shared" si="73"/>
        <v>82653.239999999991</v>
      </c>
      <c r="H546" s="41"/>
      <c r="I546" s="69">
        <f t="shared" si="71"/>
        <v>0</v>
      </c>
      <c r="J546" s="35"/>
      <c r="K546" s="35"/>
      <c r="L546" s="36">
        <f t="shared" si="74"/>
        <v>0</v>
      </c>
      <c r="M546" s="38">
        <f t="shared" si="72"/>
        <v>82653.239999999991</v>
      </c>
      <c r="Q546" s="39" t="s">
        <v>178</v>
      </c>
    </row>
    <row r="547" spans="1:17" ht="15" hidden="1">
      <c r="A547" s="40">
        <v>47</v>
      </c>
      <c r="B547" s="40">
        <v>1830</v>
      </c>
      <c r="C547" s="43" t="s">
        <v>50</v>
      </c>
      <c r="D547" s="68">
        <f t="shared" si="70"/>
        <v>0</v>
      </c>
      <c r="E547" s="35"/>
      <c r="F547" s="35"/>
      <c r="G547" s="36">
        <f t="shared" si="73"/>
        <v>0</v>
      </c>
      <c r="H547" s="41"/>
      <c r="I547" s="69">
        <f t="shared" si="71"/>
        <v>0</v>
      </c>
      <c r="J547" s="35"/>
      <c r="K547" s="35"/>
      <c r="L547" s="36">
        <f t="shared" si="74"/>
        <v>0</v>
      </c>
      <c r="M547" s="38">
        <f t="shared" si="72"/>
        <v>0</v>
      </c>
      <c r="Q547" s="39" t="s">
        <v>179</v>
      </c>
    </row>
    <row r="548" spans="1:17" ht="15" hidden="1">
      <c r="A548" s="40">
        <v>47</v>
      </c>
      <c r="B548" s="40">
        <v>1835</v>
      </c>
      <c r="C548" s="43" t="s">
        <v>51</v>
      </c>
      <c r="D548" s="68">
        <f t="shared" si="70"/>
        <v>6830973.9499999993</v>
      </c>
      <c r="E548" s="35"/>
      <c r="F548" s="35"/>
      <c r="G548" s="36">
        <f t="shared" si="73"/>
        <v>6830973.9499999993</v>
      </c>
      <c r="H548" s="41"/>
      <c r="I548" s="69">
        <f t="shared" si="71"/>
        <v>-3430724.0924642351</v>
      </c>
      <c r="J548" s="35"/>
      <c r="K548" s="35"/>
      <c r="L548" s="36">
        <f t="shared" si="74"/>
        <v>-3430724.0924642351</v>
      </c>
      <c r="M548" s="38">
        <f t="shared" si="72"/>
        <v>3400249.8575357641</v>
      </c>
      <c r="Q548" s="39" t="s">
        <v>180</v>
      </c>
    </row>
    <row r="549" spans="1:17" ht="15" hidden="1">
      <c r="A549" s="40">
        <v>47</v>
      </c>
      <c r="B549" s="40">
        <v>1840</v>
      </c>
      <c r="C549" s="43" t="s">
        <v>52</v>
      </c>
      <c r="D549" s="68">
        <f t="shared" si="70"/>
        <v>19715136.049999997</v>
      </c>
      <c r="E549" s="35"/>
      <c r="F549" s="35"/>
      <c r="G549" s="36">
        <f t="shared" si="73"/>
        <v>19715136.049999997</v>
      </c>
      <c r="H549" s="41"/>
      <c r="I549" s="69">
        <f t="shared" si="71"/>
        <v>-7733545.0865641031</v>
      </c>
      <c r="J549" s="35"/>
      <c r="K549" s="35"/>
      <c r="L549" s="36">
        <f t="shared" si="74"/>
        <v>-7733545.0865641031</v>
      </c>
      <c r="M549" s="38">
        <f t="shared" si="72"/>
        <v>11981590.963435894</v>
      </c>
      <c r="Q549" s="39" t="s">
        <v>181</v>
      </c>
    </row>
    <row r="550" spans="1:17" ht="15" hidden="1">
      <c r="A550" s="40">
        <v>47</v>
      </c>
      <c r="B550" s="40">
        <v>1845</v>
      </c>
      <c r="C550" s="43" t="s">
        <v>53</v>
      </c>
      <c r="D550" s="68">
        <f t="shared" si="70"/>
        <v>2539099</v>
      </c>
      <c r="E550" s="35"/>
      <c r="F550" s="35"/>
      <c r="G550" s="36">
        <f t="shared" si="73"/>
        <v>2539099</v>
      </c>
      <c r="H550" s="41"/>
      <c r="I550" s="69">
        <f t="shared" si="71"/>
        <v>-1131846.8222409536</v>
      </c>
      <c r="J550" s="35"/>
      <c r="K550" s="35"/>
      <c r="L550" s="36">
        <f t="shared" si="74"/>
        <v>-1131846.8222409536</v>
      </c>
      <c r="M550" s="38">
        <f t="shared" si="72"/>
        <v>1407252.1777590464</v>
      </c>
      <c r="Q550" s="39" t="s">
        <v>182</v>
      </c>
    </row>
    <row r="551" spans="1:17" ht="15" hidden="1">
      <c r="A551" s="40">
        <v>47</v>
      </c>
      <c r="B551" s="40">
        <v>1850</v>
      </c>
      <c r="C551" s="43" t="s">
        <v>54</v>
      </c>
      <c r="D551" s="68">
        <f t="shared" si="70"/>
        <v>576367.02</v>
      </c>
      <c r="E551" s="35"/>
      <c r="F551" s="35"/>
      <c r="G551" s="36">
        <f t="shared" si="73"/>
        <v>576367.02</v>
      </c>
      <c r="H551" s="41"/>
      <c r="I551" s="69">
        <f t="shared" si="71"/>
        <v>-166975.65</v>
      </c>
      <c r="J551" s="35"/>
      <c r="K551" s="35"/>
      <c r="L551" s="36">
        <f t="shared" si="74"/>
        <v>-166975.65</v>
      </c>
      <c r="M551" s="38">
        <f t="shared" si="72"/>
        <v>409391.37</v>
      </c>
      <c r="Q551" s="39" t="s">
        <v>183</v>
      </c>
    </row>
    <row r="552" spans="1:17" ht="15" hidden="1">
      <c r="A552" s="40">
        <v>47</v>
      </c>
      <c r="B552" s="40">
        <v>1855</v>
      </c>
      <c r="C552" s="43" t="s">
        <v>55</v>
      </c>
      <c r="D552" s="68">
        <f t="shared" si="70"/>
        <v>2243249.4699999997</v>
      </c>
      <c r="E552" s="35"/>
      <c r="F552" s="35"/>
      <c r="G552" s="36">
        <f t="shared" si="73"/>
        <v>2243249.4699999997</v>
      </c>
      <c r="H552" s="41"/>
      <c r="I552" s="69">
        <f t="shared" si="71"/>
        <v>-1226392.8796201719</v>
      </c>
      <c r="J552" s="35"/>
      <c r="K552" s="35"/>
      <c r="L552" s="36">
        <f t="shared" si="74"/>
        <v>-1226392.8796201719</v>
      </c>
      <c r="M552" s="38">
        <f t="shared" si="72"/>
        <v>1016856.5903798279</v>
      </c>
      <c r="Q552" s="39" t="s">
        <v>184</v>
      </c>
    </row>
    <row r="553" spans="1:17" ht="15" hidden="1">
      <c r="A553" s="40">
        <v>47</v>
      </c>
      <c r="B553" s="40">
        <v>1860</v>
      </c>
      <c r="C553" s="43" t="s">
        <v>56</v>
      </c>
      <c r="D553" s="68">
        <f t="shared" si="70"/>
        <v>14139.4</v>
      </c>
      <c r="E553" s="35"/>
      <c r="F553" s="35"/>
      <c r="G553" s="36">
        <f t="shared" si="73"/>
        <v>14139.4</v>
      </c>
      <c r="H553" s="41"/>
      <c r="I553" s="69">
        <f t="shared" si="71"/>
        <v>-14139.400000000001</v>
      </c>
      <c r="J553" s="35"/>
      <c r="K553" s="35"/>
      <c r="L553" s="36">
        <f t="shared" si="74"/>
        <v>-14139.400000000001</v>
      </c>
      <c r="M553" s="38">
        <f t="shared" si="72"/>
        <v>0</v>
      </c>
      <c r="Q553" s="39" t="s">
        <v>185</v>
      </c>
    </row>
    <row r="554" spans="1:17" ht="15" hidden="1">
      <c r="A554" s="40">
        <v>47</v>
      </c>
      <c r="B554" s="40">
        <v>1860</v>
      </c>
      <c r="C554" s="42" t="s">
        <v>57</v>
      </c>
      <c r="D554" s="68">
        <f t="shared" si="70"/>
        <v>4268613.1999999993</v>
      </c>
      <c r="E554" s="35"/>
      <c r="F554" s="35"/>
      <c r="G554" s="36">
        <f t="shared" si="73"/>
        <v>4268613.1999999993</v>
      </c>
      <c r="H554" s="41"/>
      <c r="I554" s="69">
        <f t="shared" si="71"/>
        <v>-2020208.3838851876</v>
      </c>
      <c r="J554" s="35"/>
      <c r="K554" s="35"/>
      <c r="L554" s="36">
        <f t="shared" si="74"/>
        <v>-2020208.3838851876</v>
      </c>
      <c r="M554" s="38">
        <f t="shared" si="72"/>
        <v>2248404.8161148117</v>
      </c>
      <c r="Q554" s="39" t="s">
        <v>185</v>
      </c>
    </row>
    <row r="555" spans="1:17" ht="15" hidden="1">
      <c r="A555" s="40" t="s">
        <v>43</v>
      </c>
      <c r="B555" s="40">
        <v>1905</v>
      </c>
      <c r="C555" s="42" t="s">
        <v>44</v>
      </c>
      <c r="D555" s="68">
        <f t="shared" si="70"/>
        <v>1369235.5699999998</v>
      </c>
      <c r="E555" s="35"/>
      <c r="F555" s="35"/>
      <c r="G555" s="36">
        <f t="shared" si="73"/>
        <v>1369235.5699999998</v>
      </c>
      <c r="H555" s="41"/>
      <c r="I555" s="69">
        <f t="shared" si="71"/>
        <v>-520121.9874792546</v>
      </c>
      <c r="J555" s="35"/>
      <c r="K555" s="35"/>
      <c r="L555" s="36">
        <f t="shared" si="74"/>
        <v>-520121.9874792546</v>
      </c>
      <c r="M555" s="38">
        <f t="shared" si="72"/>
        <v>849113.58252074523</v>
      </c>
      <c r="Q555" s="39" t="s">
        <v>186</v>
      </c>
    </row>
    <row r="556" spans="1:17" ht="15" hidden="1">
      <c r="A556" s="40">
        <v>47</v>
      </c>
      <c r="B556" s="40">
        <v>1908</v>
      </c>
      <c r="C556" s="43" t="s">
        <v>58</v>
      </c>
      <c r="D556" s="68">
        <f t="shared" si="70"/>
        <v>8262552.3200000003</v>
      </c>
      <c r="E556" s="35"/>
      <c r="F556" s="35"/>
      <c r="G556" s="36">
        <f t="shared" si="73"/>
        <v>8262552.3200000003</v>
      </c>
      <c r="H556" s="41"/>
      <c r="I556" s="69">
        <f t="shared" si="71"/>
        <v>-3374118.1326762624</v>
      </c>
      <c r="J556" s="35"/>
      <c r="K556" s="35"/>
      <c r="L556" s="36">
        <f t="shared" si="74"/>
        <v>-3374118.1326762624</v>
      </c>
      <c r="M556" s="38">
        <f t="shared" si="72"/>
        <v>4888434.1873237379</v>
      </c>
      <c r="Q556" s="39" t="s">
        <v>187</v>
      </c>
    </row>
    <row r="557" spans="1:17" ht="15" hidden="1">
      <c r="A557" s="40">
        <v>13</v>
      </c>
      <c r="B557" s="40">
        <v>1910</v>
      </c>
      <c r="C557" s="43" t="s">
        <v>46</v>
      </c>
      <c r="D557" s="68">
        <f t="shared" si="70"/>
        <v>764686.65999999992</v>
      </c>
      <c r="E557" s="35"/>
      <c r="F557" s="35"/>
      <c r="G557" s="36">
        <f t="shared" si="73"/>
        <v>764686.65999999992</v>
      </c>
      <c r="H557" s="41"/>
      <c r="I557" s="69">
        <f t="shared" si="71"/>
        <v>-627902.94213376567</v>
      </c>
      <c r="J557" s="35"/>
      <c r="K557" s="35"/>
      <c r="L557" s="36">
        <f t="shared" si="74"/>
        <v>-627902.94213376567</v>
      </c>
      <c r="M557" s="38">
        <f t="shared" si="72"/>
        <v>136783.71786623425</v>
      </c>
      <c r="Q557" s="39" t="s">
        <v>188</v>
      </c>
    </row>
    <row r="558" spans="1:17" ht="15" hidden="1">
      <c r="A558" s="40">
        <v>8</v>
      </c>
      <c r="B558" s="40">
        <v>1915</v>
      </c>
      <c r="C558" s="43" t="s">
        <v>59</v>
      </c>
      <c r="D558" s="68">
        <f t="shared" si="70"/>
        <v>906091.52000000002</v>
      </c>
      <c r="E558" s="35"/>
      <c r="F558" s="35"/>
      <c r="G558" s="36">
        <f t="shared" si="73"/>
        <v>906091.52000000002</v>
      </c>
      <c r="H558" s="41"/>
      <c r="I558" s="69">
        <f t="shared" si="71"/>
        <v>-365998.20218178997</v>
      </c>
      <c r="J558" s="35"/>
      <c r="K558" s="35"/>
      <c r="L558" s="36">
        <f t="shared" si="74"/>
        <v>-365998.20218178997</v>
      </c>
      <c r="M558" s="38">
        <f t="shared" si="72"/>
        <v>540093.31781820999</v>
      </c>
      <c r="Q558" s="39" t="s">
        <v>189</v>
      </c>
    </row>
    <row r="559" spans="1:17" ht="15" hidden="1">
      <c r="A559" s="40">
        <v>8</v>
      </c>
      <c r="B559" s="40">
        <v>1915</v>
      </c>
      <c r="C559" s="43" t="s">
        <v>60</v>
      </c>
      <c r="D559" s="68">
        <f t="shared" si="70"/>
        <v>940708.56000000017</v>
      </c>
      <c r="E559" s="35"/>
      <c r="F559" s="35"/>
      <c r="G559" s="36">
        <f t="shared" si="73"/>
        <v>940708.56000000017</v>
      </c>
      <c r="H559" s="41"/>
      <c r="I559" s="69">
        <f t="shared" si="71"/>
        <v>-699656.24136113876</v>
      </c>
      <c r="J559" s="35"/>
      <c r="K559" s="35"/>
      <c r="L559" s="36">
        <f t="shared" si="74"/>
        <v>-699656.24136113876</v>
      </c>
      <c r="M559" s="38">
        <f t="shared" si="72"/>
        <v>241052.31863886141</v>
      </c>
      <c r="Q559" s="39" t="s">
        <v>189</v>
      </c>
    </row>
    <row r="560" spans="1:17" ht="15" hidden="1">
      <c r="A560" s="40">
        <v>10</v>
      </c>
      <c r="B560" s="40">
        <v>1920</v>
      </c>
      <c r="C560" s="43" t="s">
        <v>61</v>
      </c>
      <c r="D560" s="68">
        <f t="shared" si="70"/>
        <v>33032.959999999999</v>
      </c>
      <c r="E560" s="35"/>
      <c r="F560" s="35"/>
      <c r="G560" s="36">
        <f t="shared" si="73"/>
        <v>33032.959999999999</v>
      </c>
      <c r="H560" s="41"/>
      <c r="I560" s="69">
        <f t="shared" si="71"/>
        <v>-16588.478938948319</v>
      </c>
      <c r="J560" s="35"/>
      <c r="K560" s="35"/>
      <c r="L560" s="36">
        <f t="shared" si="74"/>
        <v>-16588.478938948319</v>
      </c>
      <c r="M560" s="38">
        <f t="shared" si="72"/>
        <v>16444.48106105168</v>
      </c>
      <c r="Q560" s="39" t="s">
        <v>190</v>
      </c>
    </row>
    <row r="561" spans="1:17" ht="25.5" hidden="1">
      <c r="A561" s="40">
        <v>45</v>
      </c>
      <c r="B561" s="44">
        <v>1920</v>
      </c>
      <c r="C561" s="34" t="s">
        <v>62</v>
      </c>
      <c r="D561" s="68">
        <f t="shared" si="70"/>
        <v>949013.39999999991</v>
      </c>
      <c r="E561" s="35"/>
      <c r="F561" s="35"/>
      <c r="G561" s="36">
        <f t="shared" si="73"/>
        <v>949013.39999999991</v>
      </c>
      <c r="H561" s="41"/>
      <c r="I561" s="69">
        <f t="shared" si="71"/>
        <v>-628343.0985716735</v>
      </c>
      <c r="J561" s="35"/>
      <c r="K561" s="35"/>
      <c r="L561" s="36">
        <f t="shared" si="74"/>
        <v>-628343.0985716735</v>
      </c>
      <c r="M561" s="38">
        <f t="shared" si="72"/>
        <v>320670.30142832641</v>
      </c>
      <c r="Q561" s="39" t="s">
        <v>190</v>
      </c>
    </row>
    <row r="562" spans="1:17" ht="25.5" hidden="1">
      <c r="A562" s="40">
        <v>50</v>
      </c>
      <c r="B562" s="44">
        <v>1920</v>
      </c>
      <c r="C562" s="34" t="s">
        <v>63</v>
      </c>
      <c r="D562" s="68">
        <f t="shared" si="70"/>
        <v>0</v>
      </c>
      <c r="E562" s="35"/>
      <c r="F562" s="35"/>
      <c r="G562" s="36">
        <f t="shared" si="73"/>
        <v>0</v>
      </c>
      <c r="H562" s="41"/>
      <c r="I562" s="69">
        <f t="shared" si="71"/>
        <v>0</v>
      </c>
      <c r="J562" s="35"/>
      <c r="K562" s="35"/>
      <c r="L562" s="36">
        <f t="shared" si="74"/>
        <v>0</v>
      </c>
      <c r="M562" s="38">
        <f t="shared" si="72"/>
        <v>0</v>
      </c>
      <c r="Q562" s="39" t="s">
        <v>190</v>
      </c>
    </row>
    <row r="563" spans="1:17" ht="15" hidden="1">
      <c r="A563" s="40">
        <v>10</v>
      </c>
      <c r="B563" s="33">
        <v>1930</v>
      </c>
      <c r="C563" s="43" t="s">
        <v>64</v>
      </c>
      <c r="D563" s="68">
        <f t="shared" si="70"/>
        <v>0</v>
      </c>
      <c r="E563" s="35"/>
      <c r="F563" s="35"/>
      <c r="G563" s="36">
        <f t="shared" si="73"/>
        <v>0</v>
      </c>
      <c r="H563" s="41"/>
      <c r="I563" s="69">
        <f t="shared" si="71"/>
        <v>0</v>
      </c>
      <c r="J563" s="35"/>
      <c r="K563" s="35"/>
      <c r="L563" s="36">
        <f t="shared" si="74"/>
        <v>0</v>
      </c>
      <c r="M563" s="38">
        <f t="shared" si="72"/>
        <v>0</v>
      </c>
      <c r="Q563" s="39" t="s">
        <v>191</v>
      </c>
    </row>
    <row r="564" spans="1:17" ht="15" hidden="1">
      <c r="A564" s="40">
        <v>8</v>
      </c>
      <c r="B564" s="33">
        <v>1935</v>
      </c>
      <c r="C564" s="43" t="s">
        <v>65</v>
      </c>
      <c r="D564" s="68">
        <f t="shared" si="70"/>
        <v>0</v>
      </c>
      <c r="E564" s="35"/>
      <c r="F564" s="35"/>
      <c r="G564" s="36">
        <f t="shared" si="73"/>
        <v>0</v>
      </c>
      <c r="H564" s="41"/>
      <c r="I564" s="69">
        <f t="shared" si="71"/>
        <v>0</v>
      </c>
      <c r="J564" s="35"/>
      <c r="K564" s="35"/>
      <c r="L564" s="36">
        <f t="shared" si="74"/>
        <v>0</v>
      </c>
      <c r="M564" s="38">
        <f t="shared" si="72"/>
        <v>0</v>
      </c>
      <c r="Q564" s="39" t="s">
        <v>192</v>
      </c>
    </row>
    <row r="565" spans="1:17" ht="15" hidden="1">
      <c r="A565" s="40">
        <v>8</v>
      </c>
      <c r="B565" s="33">
        <v>1940</v>
      </c>
      <c r="C565" s="43" t="s">
        <v>66</v>
      </c>
      <c r="D565" s="68">
        <f t="shared" si="70"/>
        <v>0</v>
      </c>
      <c r="E565" s="35"/>
      <c r="F565" s="35"/>
      <c r="G565" s="36">
        <f t="shared" si="73"/>
        <v>0</v>
      </c>
      <c r="H565" s="41"/>
      <c r="I565" s="69">
        <f t="shared" si="71"/>
        <v>0</v>
      </c>
      <c r="J565" s="35"/>
      <c r="K565" s="35"/>
      <c r="L565" s="36">
        <f t="shared" si="74"/>
        <v>0</v>
      </c>
      <c r="M565" s="38">
        <f t="shared" si="72"/>
        <v>0</v>
      </c>
      <c r="Q565" s="39" t="s">
        <v>193</v>
      </c>
    </row>
    <row r="566" spans="1:17" ht="15" hidden="1">
      <c r="A566" s="40">
        <v>8</v>
      </c>
      <c r="B566" s="33">
        <v>1945</v>
      </c>
      <c r="C566" s="43" t="s">
        <v>67</v>
      </c>
      <c r="D566" s="68">
        <f t="shared" si="70"/>
        <v>0</v>
      </c>
      <c r="E566" s="35"/>
      <c r="F566" s="35"/>
      <c r="G566" s="36">
        <f t="shared" si="73"/>
        <v>0</v>
      </c>
      <c r="H566" s="41"/>
      <c r="I566" s="69">
        <f t="shared" si="71"/>
        <v>0</v>
      </c>
      <c r="J566" s="35"/>
      <c r="K566" s="35"/>
      <c r="L566" s="36">
        <f t="shared" si="74"/>
        <v>0</v>
      </c>
      <c r="M566" s="38">
        <f t="shared" si="72"/>
        <v>0</v>
      </c>
      <c r="Q566" s="39" t="s">
        <v>194</v>
      </c>
    </row>
    <row r="567" spans="1:17" ht="15" hidden="1">
      <c r="A567" s="40">
        <v>8</v>
      </c>
      <c r="B567" s="33">
        <v>1950</v>
      </c>
      <c r="C567" s="43" t="s">
        <v>68</v>
      </c>
      <c r="D567" s="68">
        <f t="shared" si="70"/>
        <v>0</v>
      </c>
      <c r="E567" s="35"/>
      <c r="F567" s="35"/>
      <c r="G567" s="36">
        <f t="shared" si="73"/>
        <v>0</v>
      </c>
      <c r="H567" s="41"/>
      <c r="I567" s="69">
        <f t="shared" si="71"/>
        <v>0</v>
      </c>
      <c r="J567" s="35"/>
      <c r="K567" s="35"/>
      <c r="L567" s="36">
        <f t="shared" si="74"/>
        <v>0</v>
      </c>
      <c r="M567" s="38">
        <f t="shared" si="72"/>
        <v>0</v>
      </c>
      <c r="Q567" s="39" t="s">
        <v>195</v>
      </c>
    </row>
    <row r="568" spans="1:17" ht="15" hidden="1">
      <c r="A568" s="40">
        <v>8</v>
      </c>
      <c r="B568" s="33">
        <v>1955</v>
      </c>
      <c r="C568" s="43" t="s">
        <v>69</v>
      </c>
      <c r="D568" s="68">
        <f t="shared" si="70"/>
        <v>0</v>
      </c>
      <c r="E568" s="35"/>
      <c r="F568" s="35"/>
      <c r="G568" s="36">
        <f t="shared" si="73"/>
        <v>0</v>
      </c>
      <c r="H568" s="41"/>
      <c r="I568" s="69">
        <f t="shared" si="71"/>
        <v>0</v>
      </c>
      <c r="J568" s="35"/>
      <c r="K568" s="35"/>
      <c r="L568" s="36">
        <f t="shared" si="74"/>
        <v>0</v>
      </c>
      <c r="M568" s="38">
        <f t="shared" si="72"/>
        <v>0</v>
      </c>
      <c r="Q568" s="39" t="s">
        <v>196</v>
      </c>
    </row>
    <row r="569" spans="1:17" ht="15" hidden="1">
      <c r="A569" s="44">
        <v>8</v>
      </c>
      <c r="B569" s="44">
        <v>1955</v>
      </c>
      <c r="C569" s="46" t="s">
        <v>70</v>
      </c>
      <c r="D569" s="68">
        <f t="shared" si="70"/>
        <v>0</v>
      </c>
      <c r="E569" s="35"/>
      <c r="F569" s="35"/>
      <c r="G569" s="36">
        <f t="shared" si="73"/>
        <v>0</v>
      </c>
      <c r="H569" s="41"/>
      <c r="I569" s="69">
        <f t="shared" si="71"/>
        <v>0</v>
      </c>
      <c r="J569" s="35"/>
      <c r="K569" s="35"/>
      <c r="L569" s="36">
        <f t="shared" si="74"/>
        <v>0</v>
      </c>
      <c r="M569" s="38">
        <f t="shared" si="72"/>
        <v>0</v>
      </c>
      <c r="Q569" s="39" t="s">
        <v>196</v>
      </c>
    </row>
    <row r="570" spans="1:17" ht="15" hidden="1">
      <c r="A570" s="44">
        <v>8</v>
      </c>
      <c r="B570" s="47">
        <v>1960</v>
      </c>
      <c r="C570" s="34" t="s">
        <v>71</v>
      </c>
      <c r="D570" s="68">
        <f t="shared" si="70"/>
        <v>0</v>
      </c>
      <c r="E570" s="35"/>
      <c r="F570" s="35"/>
      <c r="G570" s="36">
        <f t="shared" si="73"/>
        <v>0</v>
      </c>
      <c r="H570" s="41"/>
      <c r="I570" s="69">
        <f t="shared" si="71"/>
        <v>0</v>
      </c>
      <c r="J570" s="35"/>
      <c r="K570" s="35"/>
      <c r="L570" s="36">
        <f t="shared" si="74"/>
        <v>0</v>
      </c>
      <c r="M570" s="38">
        <f t="shared" si="72"/>
        <v>0</v>
      </c>
      <c r="Q570" s="39" t="s">
        <v>197</v>
      </c>
    </row>
    <row r="571" spans="1:17" ht="25.5" hidden="1">
      <c r="A571" s="48">
        <v>47</v>
      </c>
      <c r="B571" s="47">
        <v>1970</v>
      </c>
      <c r="C571" s="43" t="s">
        <v>72</v>
      </c>
      <c r="D571" s="68">
        <f t="shared" si="70"/>
        <v>0</v>
      </c>
      <c r="E571" s="35"/>
      <c r="F571" s="35"/>
      <c r="G571" s="36">
        <f t="shared" si="73"/>
        <v>0</v>
      </c>
      <c r="H571" s="41"/>
      <c r="I571" s="69">
        <f t="shared" si="71"/>
        <v>0</v>
      </c>
      <c r="J571" s="35"/>
      <c r="K571" s="35"/>
      <c r="L571" s="36">
        <f t="shared" si="74"/>
        <v>0</v>
      </c>
      <c r="M571" s="38">
        <f t="shared" si="72"/>
        <v>0</v>
      </c>
      <c r="Q571" s="39" t="s">
        <v>198</v>
      </c>
    </row>
    <row r="572" spans="1:17" ht="25.5" hidden="1">
      <c r="A572" s="40">
        <v>47</v>
      </c>
      <c r="B572" s="33">
        <v>1975</v>
      </c>
      <c r="C572" s="43" t="s">
        <v>73</v>
      </c>
      <c r="D572" s="68">
        <f t="shared" si="70"/>
        <v>0</v>
      </c>
      <c r="E572" s="35"/>
      <c r="F572" s="35"/>
      <c r="G572" s="36">
        <f t="shared" si="73"/>
        <v>0</v>
      </c>
      <c r="H572" s="41"/>
      <c r="I572" s="69">
        <f t="shared" si="71"/>
        <v>0</v>
      </c>
      <c r="J572" s="35"/>
      <c r="K572" s="35"/>
      <c r="L572" s="36">
        <f t="shared" si="74"/>
        <v>0</v>
      </c>
      <c r="M572" s="38">
        <f t="shared" si="72"/>
        <v>0</v>
      </c>
      <c r="Q572" s="39" t="s">
        <v>199</v>
      </c>
    </row>
    <row r="573" spans="1:17" ht="15" hidden="1">
      <c r="A573" s="40">
        <v>47</v>
      </c>
      <c r="B573" s="33">
        <v>1980</v>
      </c>
      <c r="C573" s="43" t="s">
        <v>74</v>
      </c>
      <c r="D573" s="68">
        <f t="shared" si="70"/>
        <v>0</v>
      </c>
      <c r="E573" s="35"/>
      <c r="F573" s="35"/>
      <c r="G573" s="36">
        <f t="shared" si="73"/>
        <v>0</v>
      </c>
      <c r="H573" s="41"/>
      <c r="I573" s="69">
        <f t="shared" si="71"/>
        <v>0</v>
      </c>
      <c r="J573" s="35"/>
      <c r="K573" s="35"/>
      <c r="L573" s="36">
        <f t="shared" si="74"/>
        <v>0</v>
      </c>
      <c r="M573" s="38">
        <f t="shared" si="72"/>
        <v>0</v>
      </c>
      <c r="Q573" s="39" t="s">
        <v>200</v>
      </c>
    </row>
    <row r="574" spans="1:17" ht="15" hidden="1">
      <c r="A574" s="40">
        <v>47</v>
      </c>
      <c r="B574" s="33">
        <v>1985</v>
      </c>
      <c r="C574" s="43" t="s">
        <v>75</v>
      </c>
      <c r="D574" s="68">
        <f t="shared" si="70"/>
        <v>0</v>
      </c>
      <c r="E574" s="35"/>
      <c r="F574" s="35"/>
      <c r="G574" s="36">
        <f t="shared" si="73"/>
        <v>0</v>
      </c>
      <c r="H574" s="41"/>
      <c r="I574" s="69">
        <f t="shared" si="71"/>
        <v>0</v>
      </c>
      <c r="J574" s="35"/>
      <c r="K574" s="35"/>
      <c r="L574" s="36">
        <f t="shared" si="74"/>
        <v>0</v>
      </c>
      <c r="M574" s="38">
        <f t="shared" si="72"/>
        <v>0</v>
      </c>
      <c r="Q574" s="39" t="s">
        <v>201</v>
      </c>
    </row>
    <row r="575" spans="1:17" ht="15" hidden="1">
      <c r="A575" s="48">
        <v>47</v>
      </c>
      <c r="B575" s="33">
        <v>1990</v>
      </c>
      <c r="C575" s="49" t="s">
        <v>76</v>
      </c>
      <c r="D575" s="68">
        <f t="shared" si="70"/>
        <v>0</v>
      </c>
      <c r="E575" s="35"/>
      <c r="F575" s="35"/>
      <c r="G575" s="36">
        <f t="shared" si="73"/>
        <v>0</v>
      </c>
      <c r="H575" s="41"/>
      <c r="I575" s="69">
        <f t="shared" si="71"/>
        <v>0</v>
      </c>
      <c r="J575" s="35"/>
      <c r="K575" s="35"/>
      <c r="L575" s="36">
        <f t="shared" si="74"/>
        <v>0</v>
      </c>
      <c r="M575" s="38">
        <f t="shared" si="72"/>
        <v>0</v>
      </c>
      <c r="Q575" s="39" t="s">
        <v>202</v>
      </c>
    </row>
    <row r="576" spans="1:17" ht="15" hidden="1">
      <c r="A576" s="40">
        <v>47</v>
      </c>
      <c r="B576" s="33">
        <v>1995</v>
      </c>
      <c r="C576" s="43" t="s">
        <v>77</v>
      </c>
      <c r="D576" s="68">
        <f t="shared" si="70"/>
        <v>0</v>
      </c>
      <c r="E576" s="35"/>
      <c r="F576" s="35"/>
      <c r="G576" s="36">
        <f t="shared" si="73"/>
        <v>0</v>
      </c>
      <c r="H576" s="41"/>
      <c r="I576" s="69">
        <f t="shared" si="71"/>
        <v>0</v>
      </c>
      <c r="J576" s="35"/>
      <c r="K576" s="35"/>
      <c r="L576" s="36">
        <f t="shared" si="74"/>
        <v>0</v>
      </c>
      <c r="M576" s="38">
        <f t="shared" si="72"/>
        <v>0</v>
      </c>
      <c r="Q576" s="39" t="s">
        <v>203</v>
      </c>
    </row>
    <row r="577" spans="1:17" ht="15" hidden="1">
      <c r="A577" s="40">
        <v>47</v>
      </c>
      <c r="B577" s="33">
        <v>2440</v>
      </c>
      <c r="C577" s="43" t="s">
        <v>78</v>
      </c>
      <c r="D577" s="68">
        <f t="shared" si="70"/>
        <v>0</v>
      </c>
      <c r="E577" s="35"/>
      <c r="F577" s="35"/>
      <c r="G577" s="36">
        <f t="shared" si="73"/>
        <v>0</v>
      </c>
      <c r="I577" s="69">
        <f t="shared" si="71"/>
        <v>0</v>
      </c>
      <c r="J577" s="35"/>
      <c r="K577" s="35"/>
      <c r="L577" s="36">
        <f t="shared" si="74"/>
        <v>0</v>
      </c>
      <c r="M577" s="38">
        <f t="shared" si="72"/>
        <v>0</v>
      </c>
      <c r="Q577" s="39" t="s">
        <v>204</v>
      </c>
    </row>
    <row r="578" spans="1:17" ht="15" hidden="1">
      <c r="A578" s="50"/>
      <c r="B578" s="50">
        <v>2005</v>
      </c>
      <c r="C578" s="51" t="s">
        <v>79</v>
      </c>
      <c r="D578" s="68">
        <f t="shared" si="70"/>
        <v>0</v>
      </c>
      <c r="E578" s="52"/>
      <c r="F578" s="52"/>
      <c r="G578" s="36">
        <f t="shared" si="73"/>
        <v>0</v>
      </c>
      <c r="I578" s="69">
        <f t="shared" si="71"/>
        <v>0</v>
      </c>
      <c r="J578" s="52"/>
      <c r="K578" s="52"/>
      <c r="L578" s="36">
        <f t="shared" si="74"/>
        <v>0</v>
      </c>
      <c r="M578" s="38">
        <f t="shared" si="72"/>
        <v>0</v>
      </c>
      <c r="Q578" s="39" t="s">
        <v>205</v>
      </c>
    </row>
    <row r="579" spans="1:17" hidden="1">
      <c r="A579" s="50"/>
      <c r="B579" s="50"/>
      <c r="C579" s="53" t="s">
        <v>2</v>
      </c>
      <c r="D579" s="54">
        <f>SUM(D538:D578)</f>
        <v>50264631.099999994</v>
      </c>
      <c r="E579" s="54">
        <f>SUM(E538:E578)</f>
        <v>0</v>
      </c>
      <c r="F579" s="54">
        <f>SUM(F538:F578)</f>
        <v>0</v>
      </c>
      <c r="G579" s="54">
        <f>SUM(G538:G578)</f>
        <v>50264631.099999994</v>
      </c>
      <c r="H579" s="55"/>
      <c r="I579" s="54">
        <f>SUM(I538:I578)</f>
        <v>-23340045.395904243</v>
      </c>
      <c r="J579" s="54">
        <f>SUM(J538:J578)</f>
        <v>0</v>
      </c>
      <c r="K579" s="54">
        <f>SUM(K538:K578)</f>
        <v>0</v>
      </c>
      <c r="L579" s="54">
        <f>SUM(L538:L578)</f>
        <v>-23340045.395904243</v>
      </c>
      <c r="M579" s="54">
        <f>SUM(M538:M578)</f>
        <v>26924585.704095751</v>
      </c>
    </row>
    <row r="580" spans="1:17" ht="37.5" hidden="1">
      <c r="A580" s="50"/>
      <c r="B580" s="50"/>
      <c r="C580" s="56" t="s">
        <v>80</v>
      </c>
      <c r="D580" s="52"/>
      <c r="E580" s="52"/>
      <c r="F580" s="52"/>
      <c r="G580" s="36">
        <f>D580+E580+F580</f>
        <v>0</v>
      </c>
      <c r="I580" s="52"/>
      <c r="J580" s="52"/>
      <c r="K580" s="52"/>
      <c r="L580" s="36">
        <f>I580+J580+K580</f>
        <v>0</v>
      </c>
      <c r="M580" s="38">
        <f>G580+L580</f>
        <v>0</v>
      </c>
    </row>
    <row r="581" spans="1:17" ht="25.5" hidden="1">
      <c r="A581" s="50"/>
      <c r="B581" s="50"/>
      <c r="C581" s="57" t="s">
        <v>81</v>
      </c>
      <c r="D581" s="52"/>
      <c r="E581" s="52"/>
      <c r="F581" s="52"/>
      <c r="G581" s="36">
        <f>D581+E581+F581</f>
        <v>0</v>
      </c>
      <c r="I581" s="52"/>
      <c r="J581" s="52"/>
      <c r="K581" s="52"/>
      <c r="L581" s="36">
        <f>I581+J581+K581</f>
        <v>0</v>
      </c>
      <c r="M581" s="38">
        <f>G581+L581</f>
        <v>0</v>
      </c>
    </row>
    <row r="582" spans="1:17" hidden="1">
      <c r="A582" s="50"/>
      <c r="B582" s="50"/>
      <c r="C582" s="53" t="s">
        <v>82</v>
      </c>
      <c r="D582" s="54">
        <f>SUM(D579:D581)</f>
        <v>50264631.099999994</v>
      </c>
      <c r="E582" s="54">
        <f>SUM(E579:E581)</f>
        <v>0</v>
      </c>
      <c r="F582" s="54">
        <f>SUM(F579:F581)</f>
        <v>0</v>
      </c>
      <c r="G582" s="54">
        <f>SUM(G579:G581)</f>
        <v>50264631.099999994</v>
      </c>
      <c r="H582" s="55"/>
      <c r="I582" s="54">
        <f>SUM(I579:I581)</f>
        <v>-23340045.395904243</v>
      </c>
      <c r="J582" s="54">
        <f>SUM(J579:J581)</f>
        <v>0</v>
      </c>
      <c r="K582" s="54">
        <f>SUM(K579:K581)</f>
        <v>0</v>
      </c>
      <c r="L582" s="54">
        <f>SUM(L579:L581)</f>
        <v>-23340045.395904243</v>
      </c>
      <c r="M582" s="54">
        <f>SUM(M579:M581)</f>
        <v>26924585.704095751</v>
      </c>
    </row>
    <row r="583" spans="1:17" ht="15" hidden="1">
      <c r="A583" s="50"/>
      <c r="B583" s="50"/>
      <c r="C583" s="58" t="s">
        <v>83</v>
      </c>
      <c r="D583" s="35"/>
      <c r="E583" s="35"/>
      <c r="F583" s="35"/>
      <c r="G583" s="36">
        <f t="shared" ref="G583" si="75">D583+E583+F583</f>
        <v>0</v>
      </c>
      <c r="H583" s="41"/>
      <c r="L583" s="36">
        <f t="shared" ref="L583" si="76">I583+J583+K583</f>
        <v>0</v>
      </c>
      <c r="M583" s="38">
        <f>G583+L583</f>
        <v>0</v>
      </c>
    </row>
    <row r="584" spans="1:17" hidden="1">
      <c r="A584" s="50"/>
      <c r="B584" s="50"/>
      <c r="C584" s="58" t="s">
        <v>84</v>
      </c>
      <c r="D584" s="54">
        <f>SUM(D582:D583)</f>
        <v>50264631.099999994</v>
      </c>
      <c r="E584" s="54">
        <f t="shared" ref="E584:M584" si="77">SUM(E582:E583)</f>
        <v>0</v>
      </c>
      <c r="F584" s="54">
        <f t="shared" si="77"/>
        <v>0</v>
      </c>
      <c r="G584" s="54">
        <f t="shared" si="77"/>
        <v>50264631.099999994</v>
      </c>
      <c r="H584" s="54">
        <f t="shared" si="77"/>
        <v>0</v>
      </c>
      <c r="I584" s="54">
        <f t="shared" si="77"/>
        <v>-23340045.395904243</v>
      </c>
      <c r="J584" s="54">
        <f t="shared" si="77"/>
        <v>0</v>
      </c>
      <c r="K584" s="54">
        <f t="shared" si="77"/>
        <v>0</v>
      </c>
      <c r="L584" s="54">
        <f t="shared" si="77"/>
        <v>-23340045.395904243</v>
      </c>
      <c r="M584" s="54">
        <f t="shared" si="77"/>
        <v>26924585.704095751</v>
      </c>
    </row>
    <row r="585" spans="1:17" ht="15" hidden="1">
      <c r="A585" s="50"/>
      <c r="B585" s="50"/>
      <c r="C585" s="585" t="s">
        <v>85</v>
      </c>
      <c r="D585" s="586"/>
      <c r="E585" s="586"/>
      <c r="F585" s="586"/>
      <c r="G585" s="586"/>
      <c r="H585" s="586"/>
      <c r="I585" s="587"/>
      <c r="J585" s="52"/>
      <c r="K585" s="59"/>
      <c r="L585" s="60"/>
      <c r="M585" s="61"/>
    </row>
    <row r="586" spans="1:17" ht="15" hidden="1">
      <c r="A586" s="50"/>
      <c r="B586" s="50"/>
      <c r="C586" s="585" t="s">
        <v>6</v>
      </c>
      <c r="D586" s="586"/>
      <c r="E586" s="586"/>
      <c r="F586" s="586"/>
      <c r="G586" s="586"/>
      <c r="H586" s="586"/>
      <c r="I586" s="587"/>
      <c r="J586" s="54">
        <f>J584+J585</f>
        <v>0</v>
      </c>
      <c r="K586" s="59"/>
      <c r="L586" s="60"/>
      <c r="M586" s="61"/>
    </row>
    <row r="587" spans="1:17" hidden="1"/>
    <row r="588" spans="1:17" hidden="1">
      <c r="I588" s="62" t="s">
        <v>86</v>
      </c>
      <c r="J588" s="63"/>
    </row>
    <row r="589" spans="1:17" ht="15" hidden="1">
      <c r="A589" s="50">
        <v>10</v>
      </c>
      <c r="B589" s="50"/>
      <c r="C589" s="64" t="s">
        <v>87</v>
      </c>
      <c r="D589" s="65"/>
      <c r="E589" s="65"/>
      <c r="F589" s="65"/>
      <c r="G589" s="65"/>
      <c r="H589" s="65"/>
      <c r="I589" s="66" t="s">
        <v>87</v>
      </c>
      <c r="J589" s="66"/>
      <c r="K589" s="37"/>
    </row>
    <row r="590" spans="1:17" ht="15" hidden="1">
      <c r="A590" s="50">
        <v>8</v>
      </c>
      <c r="B590" s="50"/>
      <c r="C590" s="64" t="s">
        <v>65</v>
      </c>
      <c r="D590" s="65"/>
      <c r="E590" s="65"/>
      <c r="F590" s="65"/>
      <c r="G590" s="65"/>
      <c r="H590" s="65"/>
      <c r="I590" s="66" t="s">
        <v>65</v>
      </c>
      <c r="J590" s="66"/>
      <c r="K590" s="37"/>
    </row>
    <row r="591" spans="1:17" ht="15" hidden="1">
      <c r="A591" s="50">
        <v>47</v>
      </c>
      <c r="B591" s="50"/>
      <c r="C591" s="64" t="s">
        <v>88</v>
      </c>
      <c r="D591" s="65"/>
      <c r="E591" s="65"/>
      <c r="F591" s="65"/>
      <c r="G591" s="65"/>
      <c r="H591" s="65"/>
      <c r="I591" s="66" t="s">
        <v>88</v>
      </c>
      <c r="J591" s="66"/>
      <c r="K591" s="37"/>
    </row>
    <row r="592" spans="1:17" hidden="1">
      <c r="I592" s="588" t="s">
        <v>89</v>
      </c>
      <c r="J592" s="589"/>
      <c r="K592" s="67">
        <f>J586-K589-K590-K591</f>
        <v>0</v>
      </c>
    </row>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sheetData>
  <sheetProtection sheet="1" objects="1" scenarios="1"/>
  <mergeCells count="42">
    <mergeCell ref="I178:L178"/>
    <mergeCell ref="I529:J529"/>
    <mergeCell ref="C459:I459"/>
    <mergeCell ref="C460:I460"/>
    <mergeCell ref="I466:J466"/>
    <mergeCell ref="D473:G473"/>
    <mergeCell ref="C522:I522"/>
    <mergeCell ref="C340:I340"/>
    <mergeCell ref="D178:G178"/>
    <mergeCell ref="C227:I227"/>
    <mergeCell ref="C228:I228"/>
    <mergeCell ref="D234:G234"/>
    <mergeCell ref="C283:I283"/>
    <mergeCell ref="D347:G347"/>
    <mergeCell ref="C396:I396"/>
    <mergeCell ref="C397:I397"/>
    <mergeCell ref="D536:G536"/>
    <mergeCell ref="C585:I585"/>
    <mergeCell ref="C586:I586"/>
    <mergeCell ref="I592:J592"/>
    <mergeCell ref="C523:I523"/>
    <mergeCell ref="I403:J403"/>
    <mergeCell ref="D410:G410"/>
    <mergeCell ref="C284:I284"/>
    <mergeCell ref="D290:G290"/>
    <mergeCell ref="C339:I339"/>
    <mergeCell ref="I234:L234"/>
    <mergeCell ref="I290:L290"/>
    <mergeCell ref="A4:M4"/>
    <mergeCell ref="A5:M5"/>
    <mergeCell ref="C172:I172"/>
    <mergeCell ref="D10:G10"/>
    <mergeCell ref="C59:I59"/>
    <mergeCell ref="C60:I60"/>
    <mergeCell ref="D66:G66"/>
    <mergeCell ref="C115:I115"/>
    <mergeCell ref="C116:I116"/>
    <mergeCell ref="D122:G122"/>
    <mergeCell ref="C171:I171"/>
    <mergeCell ref="I10:L10"/>
    <mergeCell ref="I66:L66"/>
    <mergeCell ref="I122:L122"/>
  </mergeCells>
  <dataValidations disablePrompts="1" count="2">
    <dataValidation type="list" allowBlank="1" showErrorMessage="1" error="Use the following date format when inserting a date:_x000a__x000a_Eg:  &quot;January 1, 2013&quot;" prompt="Use the following format eg: January 1, 2013" sqref="F533 F63 F407 F119 F175 F231 F287 F344 F470">
      <formula1>"CGAAP, MIFRS,USGAAP, ASPE"</formula1>
    </dataValidation>
    <dataValidation allowBlank="1" showErrorMessage="1" error="Use the following date format when inserting a date:_x000a__x000a_Eg:  &quot;January 1, 2013&quot;" prompt="Use the following format eg: January 1, 2013" sqref="F7"/>
  </dataValidations>
  <pageMargins left="0.7" right="0.7" top="0.75" bottom="0.75" header="0.3" footer="0.3"/>
  <pageSetup scale="57" fitToHeight="4"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zoomScale="90" zoomScaleNormal="90" workbookViewId="0">
      <selection activeCell="L16" sqref="L16"/>
    </sheetView>
  </sheetViews>
  <sheetFormatPr defaultColWidth="9.42578125" defaultRowHeight="14.25"/>
  <cols>
    <col min="1" max="1" width="48.140625" style="207" bestFit="1" customWidth="1"/>
    <col min="2" max="2" width="16.42578125" style="207" customWidth="1"/>
    <col min="3" max="3" width="11.7109375" style="207" customWidth="1"/>
    <col min="4" max="4" width="2.5703125" style="207" customWidth="1"/>
    <col min="5" max="5" width="15.140625" style="207" customWidth="1"/>
    <col min="6" max="6" width="12.28515625" style="207" customWidth="1"/>
    <col min="7" max="7" width="2.5703125" style="207" customWidth="1"/>
    <col min="8" max="8" width="15.7109375" style="207" customWidth="1"/>
    <col min="9" max="9" width="8.5703125" style="207" customWidth="1"/>
    <col min="10" max="10" width="8.42578125" style="207" customWidth="1"/>
    <col min="11" max="11" width="7.5703125" style="207" customWidth="1"/>
    <col min="12" max="12" width="11" style="209" customWidth="1"/>
    <col min="13" max="13" width="18.28515625" style="209" bestFit="1" customWidth="1"/>
    <col min="14" max="16384" width="9.42578125" style="207"/>
  </cols>
  <sheetData>
    <row r="1" spans="1:14" ht="15">
      <c r="D1" s="208"/>
      <c r="G1" s="208"/>
      <c r="H1" s="208" t="str">
        <f>'2B_Capital Expenditures'!U1</f>
        <v>EB-2024-0130</v>
      </c>
      <c r="M1" s="207"/>
    </row>
    <row r="2" spans="1:14" ht="15">
      <c r="D2" s="208"/>
      <c r="G2" s="208"/>
      <c r="H2" s="208" t="str">
        <f>'2B_Capital Expenditures'!U2</f>
        <v>Exhibit 2</v>
      </c>
      <c r="M2" s="207"/>
    </row>
    <row r="3" spans="1:14" ht="15">
      <c r="D3" s="210"/>
      <c r="G3" s="210"/>
      <c r="H3" s="210">
        <f>'2B_Capital Expenditures'!U3</f>
        <v>45491</v>
      </c>
      <c r="M3" s="207"/>
    </row>
    <row r="4" spans="1:14" ht="15">
      <c r="A4" s="592" t="s">
        <v>101</v>
      </c>
      <c r="B4" s="592"/>
      <c r="C4" s="592"/>
      <c r="D4" s="592"/>
      <c r="E4" s="592"/>
      <c r="F4" s="592"/>
      <c r="G4" s="592"/>
      <c r="H4" s="592"/>
      <c r="I4" s="211"/>
      <c r="J4" s="211"/>
      <c r="K4" s="211"/>
      <c r="L4" s="211"/>
      <c r="M4" s="211"/>
    </row>
    <row r="5" spans="1:14" ht="18" customHeight="1">
      <c r="A5" s="593" t="s">
        <v>258</v>
      </c>
      <c r="B5" s="593"/>
      <c r="C5" s="593"/>
      <c r="D5" s="593"/>
      <c r="E5" s="593"/>
      <c r="F5" s="593"/>
      <c r="G5" s="593"/>
      <c r="H5" s="593"/>
      <c r="I5" s="212"/>
      <c r="J5" s="212"/>
      <c r="K5" s="212"/>
      <c r="L5" s="212"/>
      <c r="M5" s="212"/>
    </row>
    <row r="6" spans="1:14" ht="15">
      <c r="D6" s="212"/>
      <c r="G6" s="212"/>
    </row>
    <row r="7" spans="1:14" s="216" customFormat="1" ht="30" customHeight="1">
      <c r="A7" s="215" t="s">
        <v>259</v>
      </c>
      <c r="B7" s="594" t="s">
        <v>277</v>
      </c>
      <c r="C7" s="594"/>
      <c r="D7" s="212"/>
      <c r="E7" s="595" t="s">
        <v>278</v>
      </c>
      <c r="F7" s="596"/>
      <c r="G7" s="212"/>
      <c r="H7" s="590" t="s">
        <v>279</v>
      </c>
    </row>
    <row r="8" spans="1:14" s="216" customFormat="1" ht="30" customHeight="1">
      <c r="A8" s="215"/>
      <c r="B8" s="215" t="s">
        <v>276</v>
      </c>
      <c r="C8" s="215" t="s">
        <v>275</v>
      </c>
      <c r="D8" s="212"/>
      <c r="E8" s="215" t="s">
        <v>276</v>
      </c>
      <c r="F8" s="215" t="s">
        <v>275</v>
      </c>
      <c r="G8" s="212"/>
      <c r="H8" s="591"/>
    </row>
    <row r="9" spans="1:14" ht="15">
      <c r="A9" s="213" t="s">
        <v>44</v>
      </c>
      <c r="B9" s="218"/>
      <c r="C9" s="214">
        <v>0</v>
      </c>
      <c r="D9" s="217"/>
      <c r="E9" s="218"/>
      <c r="F9" s="214">
        <v>0</v>
      </c>
      <c r="G9" s="217"/>
      <c r="H9" s="218" t="s">
        <v>280</v>
      </c>
      <c r="L9" s="207"/>
      <c r="M9" s="207"/>
    </row>
    <row r="10" spans="1:14" ht="15">
      <c r="A10" s="213" t="s">
        <v>304</v>
      </c>
      <c r="B10" s="219">
        <f t="shared" ref="B10:B32" si="0">100%/C10</f>
        <v>52.083333333333336</v>
      </c>
      <c r="C10" s="214">
        <v>1.9199999999999998E-2</v>
      </c>
      <c r="D10" s="217"/>
      <c r="E10" s="219">
        <f>100%/F10</f>
        <v>52.083333333333336</v>
      </c>
      <c r="F10" s="214">
        <v>1.9199999999999998E-2</v>
      </c>
      <c r="G10" s="217"/>
      <c r="H10" s="218" t="s">
        <v>280</v>
      </c>
      <c r="L10" s="207"/>
      <c r="M10" s="207"/>
    </row>
    <row r="11" spans="1:14" ht="15">
      <c r="A11" s="213" t="s">
        <v>260</v>
      </c>
      <c r="B11" s="219">
        <f t="shared" si="0"/>
        <v>14.992503748125937</v>
      </c>
      <c r="C11" s="214">
        <v>6.6699999999999995E-2</v>
      </c>
      <c r="D11" s="217"/>
      <c r="E11" s="219">
        <f t="shared" ref="E11:E32" si="1">100%/F11</f>
        <v>14.992503748125937</v>
      </c>
      <c r="F11" s="214">
        <v>6.6699999999999995E-2</v>
      </c>
      <c r="G11" s="217"/>
      <c r="H11" s="218" t="s">
        <v>280</v>
      </c>
      <c r="L11" s="207"/>
      <c r="M11" s="207"/>
    </row>
    <row r="12" spans="1:14" ht="15">
      <c r="A12" s="213" t="s">
        <v>261</v>
      </c>
      <c r="B12" s="219">
        <f t="shared" si="0"/>
        <v>4</v>
      </c>
      <c r="C12" s="214">
        <v>0.25</v>
      </c>
      <c r="D12" s="217"/>
      <c r="E12" s="219">
        <f t="shared" si="1"/>
        <v>4</v>
      </c>
      <c r="F12" s="214">
        <v>0.25</v>
      </c>
      <c r="G12" s="217"/>
      <c r="H12" s="218" t="s">
        <v>280</v>
      </c>
      <c r="L12" s="207"/>
      <c r="M12" s="207"/>
    </row>
    <row r="13" spans="1:14" ht="15">
      <c r="A13" s="213" t="s">
        <v>262</v>
      </c>
      <c r="B13" s="219">
        <f t="shared" si="0"/>
        <v>10</v>
      </c>
      <c r="C13" s="214">
        <v>0.1</v>
      </c>
      <c r="D13" s="217"/>
      <c r="E13" s="219">
        <f t="shared" si="1"/>
        <v>10</v>
      </c>
      <c r="F13" s="214">
        <v>0.1</v>
      </c>
      <c r="G13" s="217"/>
      <c r="H13" s="218" t="s">
        <v>280</v>
      </c>
      <c r="L13" s="207"/>
      <c r="N13" s="209"/>
    </row>
    <row r="14" spans="1:14" ht="15">
      <c r="A14" s="213" t="s">
        <v>263</v>
      </c>
      <c r="B14" s="219">
        <f t="shared" si="0"/>
        <v>14.992503748125937</v>
      </c>
      <c r="C14" s="214">
        <v>6.6699999999999995E-2</v>
      </c>
      <c r="D14" s="217"/>
      <c r="E14" s="219">
        <f t="shared" si="1"/>
        <v>14.992503748125937</v>
      </c>
      <c r="F14" s="214">
        <v>6.6699999999999995E-2</v>
      </c>
      <c r="G14" s="217"/>
      <c r="H14" s="218" t="s">
        <v>280</v>
      </c>
      <c r="L14" s="207"/>
      <c r="N14" s="209"/>
    </row>
    <row r="15" spans="1:14" ht="15">
      <c r="A15" s="213" t="s">
        <v>264</v>
      </c>
      <c r="B15" s="219">
        <f t="shared" si="0"/>
        <v>14.992503748125937</v>
      </c>
      <c r="C15" s="214">
        <v>6.6699999999999995E-2</v>
      </c>
      <c r="D15" s="217"/>
      <c r="E15" s="219">
        <f t="shared" si="1"/>
        <v>14.992503748125937</v>
      </c>
      <c r="F15" s="214">
        <v>6.6699999999999995E-2</v>
      </c>
      <c r="G15" s="217"/>
      <c r="H15" s="218" t="s">
        <v>280</v>
      </c>
      <c r="L15" s="207"/>
      <c r="N15" s="209"/>
    </row>
    <row r="16" spans="1:14" ht="15">
      <c r="A16" s="213" t="s">
        <v>265</v>
      </c>
      <c r="B16" s="219">
        <f t="shared" si="0"/>
        <v>6.0240963855421681</v>
      </c>
      <c r="C16" s="214">
        <v>0.16600000000000001</v>
      </c>
      <c r="D16" s="217"/>
      <c r="E16" s="219">
        <f t="shared" si="1"/>
        <v>6.0240963855421681</v>
      </c>
      <c r="F16" s="214">
        <v>0.16600000000000001</v>
      </c>
      <c r="G16" s="217"/>
      <c r="H16" s="218" t="s">
        <v>280</v>
      </c>
      <c r="L16" s="207"/>
      <c r="N16" s="209"/>
    </row>
    <row r="17" spans="1:14" ht="15">
      <c r="A17" s="213" t="s">
        <v>266</v>
      </c>
      <c r="B17" s="219">
        <f t="shared" si="0"/>
        <v>14.450867052023122</v>
      </c>
      <c r="C17" s="214">
        <v>6.9199999999999998E-2</v>
      </c>
      <c r="D17" s="217"/>
      <c r="E17" s="219">
        <f t="shared" si="1"/>
        <v>14.450867052023122</v>
      </c>
      <c r="F17" s="214">
        <v>6.9199999999999998E-2</v>
      </c>
      <c r="G17" s="217"/>
      <c r="H17" s="218" t="s">
        <v>280</v>
      </c>
      <c r="L17" s="207"/>
      <c r="N17" s="209"/>
    </row>
    <row r="18" spans="1:14" ht="15">
      <c r="A18" s="213" t="s">
        <v>267</v>
      </c>
      <c r="B18" s="219">
        <f t="shared" si="0"/>
        <v>10</v>
      </c>
      <c r="C18" s="214">
        <v>0.1</v>
      </c>
      <c r="D18" s="217"/>
      <c r="E18" s="219">
        <f t="shared" si="1"/>
        <v>10</v>
      </c>
      <c r="F18" s="214">
        <v>0.1</v>
      </c>
      <c r="G18" s="217"/>
      <c r="H18" s="218" t="s">
        <v>280</v>
      </c>
      <c r="L18" s="207"/>
      <c r="N18" s="209"/>
    </row>
    <row r="19" spans="1:14" ht="15">
      <c r="A19" s="213" t="s">
        <v>268</v>
      </c>
      <c r="B19" s="219">
        <f t="shared" si="0"/>
        <v>20</v>
      </c>
      <c r="C19" s="214">
        <v>0.05</v>
      </c>
      <c r="D19" s="217"/>
      <c r="E19" s="219">
        <f t="shared" si="1"/>
        <v>20</v>
      </c>
      <c r="F19" s="214">
        <v>0.05</v>
      </c>
      <c r="G19" s="217"/>
      <c r="H19" s="218" t="s">
        <v>280</v>
      </c>
      <c r="L19" s="207"/>
      <c r="N19" s="209"/>
    </row>
    <row r="20" spans="1:14" ht="15">
      <c r="A20" s="213" t="s">
        <v>269</v>
      </c>
      <c r="B20" s="219">
        <f t="shared" si="0"/>
        <v>5.9988002399520104</v>
      </c>
      <c r="C20" s="214">
        <v>0.16669999999999999</v>
      </c>
      <c r="D20" s="217"/>
      <c r="E20" s="219">
        <f t="shared" si="1"/>
        <v>5.9988002399520104</v>
      </c>
      <c r="F20" s="214">
        <v>0.16669999999999999</v>
      </c>
      <c r="G20" s="217"/>
      <c r="H20" s="218" t="s">
        <v>280</v>
      </c>
      <c r="L20" s="207"/>
      <c r="N20" s="209"/>
    </row>
    <row r="21" spans="1:14" ht="15">
      <c r="A21" s="213" t="s">
        <v>270</v>
      </c>
      <c r="B21" s="219">
        <f t="shared" si="0"/>
        <v>20</v>
      </c>
      <c r="C21" s="214">
        <v>0.05</v>
      </c>
      <c r="D21" s="217"/>
      <c r="E21" s="219">
        <f t="shared" si="1"/>
        <v>20</v>
      </c>
      <c r="F21" s="214">
        <v>0.05</v>
      </c>
      <c r="G21" s="217"/>
      <c r="H21" s="218" t="s">
        <v>280</v>
      </c>
      <c r="L21" s="207"/>
      <c r="N21" s="209"/>
    </row>
    <row r="22" spans="1:14" ht="15">
      <c r="A22" s="213" t="s">
        <v>271</v>
      </c>
      <c r="B22" s="219">
        <f t="shared" si="0"/>
        <v>35.714285714285715</v>
      </c>
      <c r="C22" s="214">
        <v>2.8000000000000001E-2</v>
      </c>
      <c r="D22" s="217"/>
      <c r="E22" s="219">
        <f t="shared" si="1"/>
        <v>35.714285714285715</v>
      </c>
      <c r="F22" s="214">
        <v>2.8000000000000001E-2</v>
      </c>
      <c r="G22" s="217"/>
      <c r="H22" s="218" t="s">
        <v>280</v>
      </c>
      <c r="L22" s="207"/>
      <c r="N22" s="209"/>
    </row>
    <row r="23" spans="1:14" ht="15">
      <c r="A23" s="213" t="s">
        <v>272</v>
      </c>
      <c r="B23" s="219">
        <f t="shared" si="0"/>
        <v>27.3224043715847</v>
      </c>
      <c r="C23" s="214">
        <v>3.6600000000000001E-2</v>
      </c>
      <c r="D23" s="217"/>
      <c r="E23" s="219">
        <f t="shared" si="1"/>
        <v>27.3224043715847</v>
      </c>
      <c r="F23" s="214">
        <v>3.6600000000000001E-2</v>
      </c>
      <c r="G23" s="217"/>
      <c r="H23" s="218" t="s">
        <v>280</v>
      </c>
      <c r="L23" s="207"/>
      <c r="N23" s="209"/>
    </row>
    <row r="24" spans="1:14" ht="15">
      <c r="A24" s="213" t="s">
        <v>302</v>
      </c>
      <c r="B24" s="219">
        <f t="shared" si="0"/>
        <v>43.290043290043293</v>
      </c>
      <c r="C24" s="214">
        <v>2.3099999999999999E-2</v>
      </c>
      <c r="D24" s="217"/>
      <c r="E24" s="219">
        <f t="shared" si="1"/>
        <v>43.290043290043293</v>
      </c>
      <c r="F24" s="214">
        <v>2.3099999999999999E-2</v>
      </c>
      <c r="G24" s="217"/>
      <c r="H24" s="218" t="s">
        <v>280</v>
      </c>
      <c r="L24" s="207"/>
      <c r="N24" s="209"/>
    </row>
    <row r="25" spans="1:14" ht="15">
      <c r="A25" s="213" t="s">
        <v>481</v>
      </c>
      <c r="B25" s="219">
        <f t="shared" si="0"/>
        <v>50.505050505050498</v>
      </c>
      <c r="C25" s="214">
        <v>1.9800000000000002E-2</v>
      </c>
      <c r="D25" s="217"/>
      <c r="E25" s="219">
        <f t="shared" si="1"/>
        <v>50.505050505050498</v>
      </c>
      <c r="F25" s="214">
        <v>1.9800000000000002E-2</v>
      </c>
      <c r="G25" s="217"/>
      <c r="H25" s="218" t="s">
        <v>280</v>
      </c>
      <c r="L25" s="207"/>
      <c r="N25" s="209"/>
    </row>
    <row r="26" spans="1:14" ht="15">
      <c r="A26" s="213" t="s">
        <v>303</v>
      </c>
      <c r="B26" s="219">
        <f t="shared" si="0"/>
        <v>39.840637450199203</v>
      </c>
      <c r="C26" s="214">
        <v>2.5100000000000001E-2</v>
      </c>
      <c r="D26" s="217"/>
      <c r="E26" s="219">
        <f t="shared" si="1"/>
        <v>39.840637450199203</v>
      </c>
      <c r="F26" s="214">
        <v>2.5100000000000001E-2</v>
      </c>
      <c r="G26" s="217"/>
      <c r="H26" s="218" t="s">
        <v>280</v>
      </c>
      <c r="L26" s="207"/>
      <c r="N26" s="209"/>
    </row>
    <row r="27" spans="1:14" ht="15">
      <c r="A27" s="213" t="s">
        <v>273</v>
      </c>
      <c r="B27" s="219">
        <f t="shared" si="0"/>
        <v>20.833333333333332</v>
      </c>
      <c r="C27" s="214">
        <v>4.8000000000000001E-2</v>
      </c>
      <c r="D27" s="217"/>
      <c r="E27" s="219">
        <f t="shared" si="1"/>
        <v>20.833333333333332</v>
      </c>
      <c r="F27" s="214">
        <v>4.8000000000000001E-2</v>
      </c>
      <c r="G27" s="217"/>
      <c r="H27" s="218" t="s">
        <v>280</v>
      </c>
      <c r="L27" s="207"/>
      <c r="N27" s="209"/>
    </row>
    <row r="28" spans="1:14" ht="15">
      <c r="A28" s="213" t="s">
        <v>274</v>
      </c>
      <c r="B28" s="219">
        <f t="shared" si="0"/>
        <v>20</v>
      </c>
      <c r="C28" s="214">
        <v>0.05</v>
      </c>
      <c r="D28" s="217"/>
      <c r="E28" s="219">
        <f t="shared" si="1"/>
        <v>20</v>
      </c>
      <c r="F28" s="214">
        <v>0.05</v>
      </c>
      <c r="G28" s="217"/>
      <c r="H28" s="218" t="s">
        <v>280</v>
      </c>
      <c r="L28" s="207"/>
      <c r="N28" s="209"/>
    </row>
    <row r="29" spans="1:14" ht="15">
      <c r="A29" s="213" t="s">
        <v>350</v>
      </c>
      <c r="B29" s="219">
        <f t="shared" si="0"/>
        <v>50.505050505050498</v>
      </c>
      <c r="C29" s="214">
        <v>1.9800000000000002E-2</v>
      </c>
      <c r="D29" s="441"/>
      <c r="E29" s="219">
        <f t="shared" si="1"/>
        <v>50.505050505050498</v>
      </c>
      <c r="F29" s="214">
        <v>1.9800000000000002E-2</v>
      </c>
      <c r="G29" s="441"/>
      <c r="H29" s="218" t="s">
        <v>280</v>
      </c>
      <c r="L29" s="207"/>
      <c r="N29" s="209"/>
    </row>
    <row r="30" spans="1:14" ht="15">
      <c r="A30" s="213" t="s">
        <v>351</v>
      </c>
      <c r="B30" s="219">
        <f t="shared" si="0"/>
        <v>43.290043290043293</v>
      </c>
      <c r="C30" s="214">
        <v>2.3099999999999999E-2</v>
      </c>
      <c r="D30" s="441"/>
      <c r="E30" s="219">
        <f t="shared" si="1"/>
        <v>43.290043290043293</v>
      </c>
      <c r="F30" s="214">
        <v>2.3099999999999999E-2</v>
      </c>
      <c r="G30" s="441"/>
      <c r="H30" s="218" t="s">
        <v>280</v>
      </c>
      <c r="K30" s="209"/>
      <c r="M30" s="207"/>
    </row>
    <row r="31" spans="1:14" ht="15">
      <c r="A31" s="213" t="s">
        <v>352</v>
      </c>
      <c r="B31" s="219">
        <f t="shared" si="0"/>
        <v>35.335689045936398</v>
      </c>
      <c r="C31" s="214">
        <v>2.8299999999999999E-2</v>
      </c>
      <c r="D31" s="441"/>
      <c r="E31" s="219">
        <f t="shared" si="1"/>
        <v>35.335689045936398</v>
      </c>
      <c r="F31" s="214">
        <v>2.8299999999999999E-2</v>
      </c>
      <c r="G31" s="441"/>
      <c r="H31" s="218" t="s">
        <v>280</v>
      </c>
      <c r="K31" s="209"/>
      <c r="M31" s="207"/>
    </row>
    <row r="32" spans="1:14" ht="15">
      <c r="A32" s="213" t="s">
        <v>353</v>
      </c>
      <c r="B32" s="219">
        <f t="shared" si="0"/>
        <v>39.840637450199203</v>
      </c>
      <c r="C32" s="214">
        <v>2.5100000000000001E-2</v>
      </c>
      <c r="D32" s="441"/>
      <c r="E32" s="219">
        <f t="shared" si="1"/>
        <v>39.840637450199203</v>
      </c>
      <c r="F32" s="214">
        <v>2.5100000000000001E-2</v>
      </c>
      <c r="G32" s="441"/>
      <c r="H32" s="218" t="s">
        <v>280</v>
      </c>
    </row>
    <row r="33" spans="4:7" ht="15">
      <c r="D33" s="212"/>
      <c r="G33" s="212"/>
    </row>
    <row r="34" spans="4:7" ht="15">
      <c r="D34" s="212"/>
      <c r="G34" s="212"/>
    </row>
    <row r="35" spans="4:7" ht="15">
      <c r="D35" s="212"/>
      <c r="G35" s="212"/>
    </row>
    <row r="36" spans="4:7" ht="15">
      <c r="D36" s="212"/>
      <c r="G36" s="212"/>
    </row>
    <row r="37" spans="4:7" ht="15">
      <c r="D37" s="212"/>
      <c r="G37" s="212"/>
    </row>
    <row r="38" spans="4:7" ht="15">
      <c r="D38" s="212"/>
      <c r="G38" s="212"/>
    </row>
    <row r="39" spans="4:7" ht="15">
      <c r="D39" s="212"/>
      <c r="G39" s="212"/>
    </row>
    <row r="40" spans="4:7" ht="15">
      <c r="D40" s="212"/>
      <c r="G40" s="212"/>
    </row>
    <row r="41" spans="4:7" ht="15">
      <c r="D41" s="212"/>
      <c r="G41" s="212"/>
    </row>
    <row r="42" spans="4:7" ht="15">
      <c r="D42" s="212"/>
      <c r="G42" s="212"/>
    </row>
    <row r="43" spans="4:7" ht="15">
      <c r="D43" s="212"/>
      <c r="G43" s="212"/>
    </row>
    <row r="44" spans="4:7" ht="15">
      <c r="D44" s="212"/>
      <c r="G44" s="212"/>
    </row>
    <row r="45" spans="4:7" ht="15">
      <c r="D45" s="212"/>
      <c r="G45" s="212"/>
    </row>
    <row r="46" spans="4:7" ht="15">
      <c r="D46" s="212"/>
      <c r="G46" s="212"/>
    </row>
    <row r="47" spans="4:7" ht="15">
      <c r="D47" s="212"/>
      <c r="G47" s="212"/>
    </row>
    <row r="48" spans="4:7" ht="15">
      <c r="D48" s="212"/>
      <c r="G48" s="212"/>
    </row>
  </sheetData>
  <sheetProtection sheet="1" objects="1" scenarios="1"/>
  <mergeCells count="5">
    <mergeCell ref="H7:H8"/>
    <mergeCell ref="A4:H4"/>
    <mergeCell ref="A5:H5"/>
    <mergeCell ref="B7:C7"/>
    <mergeCell ref="E7:F7"/>
  </mergeCells>
  <pageMargins left="0.7" right="0.7" top="0.75" bottom="0.75" header="0.3" footer="0.3"/>
  <pageSetup scale="98"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95"/>
  <sheetViews>
    <sheetView showGridLines="0" workbookViewId="0">
      <pane ySplit="6" topLeftCell="A7" activePane="bottomLeft" state="frozen"/>
      <selection pane="bottomLeft" activeCell="A7" sqref="A7"/>
    </sheetView>
  </sheetViews>
  <sheetFormatPr defaultRowHeight="12.75"/>
  <cols>
    <col min="1" max="1" width="12.7109375" style="15" bestFit="1" customWidth="1"/>
    <col min="2" max="2" width="33.5703125" style="15" bestFit="1" customWidth="1"/>
    <col min="3" max="6" width="20.28515625" style="15" customWidth="1"/>
    <col min="7" max="7" width="24.28515625" style="15" bestFit="1" customWidth="1"/>
    <col min="8" max="8" width="20.28515625" style="15" customWidth="1"/>
    <col min="9" max="9" width="23.85546875" style="15" customWidth="1"/>
    <col min="10" max="10" width="13.85546875" style="15" customWidth="1"/>
    <col min="11" max="11" width="10.28515625" style="15" customWidth="1"/>
    <col min="12" max="16" width="9.140625" style="15"/>
    <col min="17" max="17" width="0" style="15" hidden="1" customWidth="1"/>
    <col min="18" max="252" width="9.140625" style="15"/>
    <col min="253" max="253" width="2.28515625" style="15" customWidth="1"/>
    <col min="254" max="254" width="9.140625" style="15"/>
    <col min="255" max="255" width="35.85546875" style="15" bestFit="1" customWidth="1"/>
    <col min="256" max="256" width="10.7109375" style="15" customWidth="1"/>
    <col min="257" max="257" width="8.85546875" style="15" customWidth="1"/>
    <col min="258" max="258" width="13" style="15" customWidth="1"/>
    <col min="259" max="259" width="8.5703125" style="15" customWidth="1"/>
    <col min="260" max="261" width="11" style="15" customWidth="1"/>
    <col min="262" max="265" width="11.28515625" style="15" customWidth="1"/>
    <col min="266" max="266" width="11" style="15" bestFit="1" customWidth="1"/>
    <col min="267" max="267" width="11.85546875" style="15" customWidth="1"/>
    <col min="268" max="508" width="9.140625" style="15"/>
    <col min="509" max="509" width="2.28515625" style="15" customWidth="1"/>
    <col min="510" max="510" width="9.140625" style="15"/>
    <col min="511" max="511" width="35.85546875" style="15" bestFit="1" customWidth="1"/>
    <col min="512" max="512" width="10.7109375" style="15" customWidth="1"/>
    <col min="513" max="513" width="8.85546875" style="15" customWidth="1"/>
    <col min="514" max="514" width="13" style="15" customWidth="1"/>
    <col min="515" max="515" width="8.5703125" style="15" customWidth="1"/>
    <col min="516" max="517" width="11" style="15" customWidth="1"/>
    <col min="518" max="521" width="11.28515625" style="15" customWidth="1"/>
    <col min="522" max="522" width="11" style="15" bestFit="1" customWidth="1"/>
    <col min="523" max="523" width="11.85546875" style="15" customWidth="1"/>
    <col min="524" max="764" width="9.140625" style="15"/>
    <col min="765" max="765" width="2.28515625" style="15" customWidth="1"/>
    <col min="766" max="766" width="9.140625" style="15"/>
    <col min="767" max="767" width="35.85546875" style="15" bestFit="1" customWidth="1"/>
    <col min="768" max="768" width="10.7109375" style="15" customWidth="1"/>
    <col min="769" max="769" width="8.85546875" style="15" customWidth="1"/>
    <col min="770" max="770" width="13" style="15" customWidth="1"/>
    <col min="771" max="771" width="8.5703125" style="15" customWidth="1"/>
    <col min="772" max="773" width="11" style="15" customWidth="1"/>
    <col min="774" max="777" width="11.28515625" style="15" customWidth="1"/>
    <col min="778" max="778" width="11" style="15" bestFit="1" customWidth="1"/>
    <col min="779" max="779" width="11.85546875" style="15" customWidth="1"/>
    <col min="780" max="1020" width="9.140625" style="15"/>
    <col min="1021" max="1021" width="2.28515625" style="15" customWidth="1"/>
    <col min="1022" max="1022" width="9.140625" style="15"/>
    <col min="1023" max="1023" width="35.85546875" style="15" bestFit="1" customWidth="1"/>
    <col min="1024" max="1024" width="10.7109375" style="15" customWidth="1"/>
    <col min="1025" max="1025" width="8.85546875" style="15" customWidth="1"/>
    <col min="1026" max="1026" width="13" style="15" customWidth="1"/>
    <col min="1027" max="1027" width="8.5703125" style="15" customWidth="1"/>
    <col min="1028" max="1029" width="11" style="15" customWidth="1"/>
    <col min="1030" max="1033" width="11.28515625" style="15" customWidth="1"/>
    <col min="1034" max="1034" width="11" style="15" bestFit="1" customWidth="1"/>
    <col min="1035" max="1035" width="11.85546875" style="15" customWidth="1"/>
    <col min="1036" max="1276" width="9.140625" style="15"/>
    <col min="1277" max="1277" width="2.28515625" style="15" customWidth="1"/>
    <col min="1278" max="1278" width="9.140625" style="15"/>
    <col min="1279" max="1279" width="35.85546875" style="15" bestFit="1" customWidth="1"/>
    <col min="1280" max="1280" width="10.7109375" style="15" customWidth="1"/>
    <col min="1281" max="1281" width="8.85546875" style="15" customWidth="1"/>
    <col min="1282" max="1282" width="13" style="15" customWidth="1"/>
    <col min="1283" max="1283" width="8.5703125" style="15" customWidth="1"/>
    <col min="1284" max="1285" width="11" style="15" customWidth="1"/>
    <col min="1286" max="1289" width="11.28515625" style="15" customWidth="1"/>
    <col min="1290" max="1290" width="11" style="15" bestFit="1" customWidth="1"/>
    <col min="1291" max="1291" width="11.85546875" style="15" customWidth="1"/>
    <col min="1292" max="1532" width="9.140625" style="15"/>
    <col min="1533" max="1533" width="2.28515625" style="15" customWidth="1"/>
    <col min="1534" max="1534" width="9.140625" style="15"/>
    <col min="1535" max="1535" width="35.85546875" style="15" bestFit="1" customWidth="1"/>
    <col min="1536" max="1536" width="10.7109375" style="15" customWidth="1"/>
    <col min="1537" max="1537" width="8.85546875" style="15" customWidth="1"/>
    <col min="1538" max="1538" width="13" style="15" customWidth="1"/>
    <col min="1539" max="1539" width="8.5703125" style="15" customWidth="1"/>
    <col min="1540" max="1541" width="11" style="15" customWidth="1"/>
    <col min="1542" max="1545" width="11.28515625" style="15" customWidth="1"/>
    <col min="1546" max="1546" width="11" style="15" bestFit="1" customWidth="1"/>
    <col min="1547" max="1547" width="11.85546875" style="15" customWidth="1"/>
    <col min="1548" max="1788" width="9.140625" style="15"/>
    <col min="1789" max="1789" width="2.28515625" style="15" customWidth="1"/>
    <col min="1790" max="1790" width="9.140625" style="15"/>
    <col min="1791" max="1791" width="35.85546875" style="15" bestFit="1" customWidth="1"/>
    <col min="1792" max="1792" width="10.7109375" style="15" customWidth="1"/>
    <col min="1793" max="1793" width="8.85546875" style="15" customWidth="1"/>
    <col min="1794" max="1794" width="13" style="15" customWidth="1"/>
    <col min="1795" max="1795" width="8.5703125" style="15" customWidth="1"/>
    <col min="1796" max="1797" width="11" style="15" customWidth="1"/>
    <col min="1798" max="1801" width="11.28515625" style="15" customWidth="1"/>
    <col min="1802" max="1802" width="11" style="15" bestFit="1" customWidth="1"/>
    <col min="1803" max="1803" width="11.85546875" style="15" customWidth="1"/>
    <col min="1804" max="2044" width="9.140625" style="15"/>
    <col min="2045" max="2045" width="2.28515625" style="15" customWidth="1"/>
    <col min="2046" max="2046" width="9.140625" style="15"/>
    <col min="2047" max="2047" width="35.85546875" style="15" bestFit="1" customWidth="1"/>
    <col min="2048" max="2048" width="10.7109375" style="15" customWidth="1"/>
    <col min="2049" max="2049" width="8.85546875" style="15" customWidth="1"/>
    <col min="2050" max="2050" width="13" style="15" customWidth="1"/>
    <col min="2051" max="2051" width="8.5703125" style="15" customWidth="1"/>
    <col min="2052" max="2053" width="11" style="15" customWidth="1"/>
    <col min="2054" max="2057" width="11.28515625" style="15" customWidth="1"/>
    <col min="2058" max="2058" width="11" style="15" bestFit="1" customWidth="1"/>
    <col min="2059" max="2059" width="11.85546875" style="15" customWidth="1"/>
    <col min="2060" max="2300" width="9.140625" style="15"/>
    <col min="2301" max="2301" width="2.28515625" style="15" customWidth="1"/>
    <col min="2302" max="2302" width="9.140625" style="15"/>
    <col min="2303" max="2303" width="35.85546875" style="15" bestFit="1" customWidth="1"/>
    <col min="2304" max="2304" width="10.7109375" style="15" customWidth="1"/>
    <col min="2305" max="2305" width="8.85546875" style="15" customWidth="1"/>
    <col min="2306" max="2306" width="13" style="15" customWidth="1"/>
    <col min="2307" max="2307" width="8.5703125" style="15" customWidth="1"/>
    <col min="2308" max="2309" width="11" style="15" customWidth="1"/>
    <col min="2310" max="2313" width="11.28515625" style="15" customWidth="1"/>
    <col min="2314" max="2314" width="11" style="15" bestFit="1" customWidth="1"/>
    <col min="2315" max="2315" width="11.85546875" style="15" customWidth="1"/>
    <col min="2316" max="2556" width="9.140625" style="15"/>
    <col min="2557" max="2557" width="2.28515625" style="15" customWidth="1"/>
    <col min="2558" max="2558" width="9.140625" style="15"/>
    <col min="2559" max="2559" width="35.85546875" style="15" bestFit="1" customWidth="1"/>
    <col min="2560" max="2560" width="10.7109375" style="15" customWidth="1"/>
    <col min="2561" max="2561" width="8.85546875" style="15" customWidth="1"/>
    <col min="2562" max="2562" width="13" style="15" customWidth="1"/>
    <col min="2563" max="2563" width="8.5703125" style="15" customWidth="1"/>
    <col min="2564" max="2565" width="11" style="15" customWidth="1"/>
    <col min="2566" max="2569" width="11.28515625" style="15" customWidth="1"/>
    <col min="2570" max="2570" width="11" style="15" bestFit="1" customWidth="1"/>
    <col min="2571" max="2571" width="11.85546875" style="15" customWidth="1"/>
    <col min="2572" max="2812" width="9.140625" style="15"/>
    <col min="2813" max="2813" width="2.28515625" style="15" customWidth="1"/>
    <col min="2814" max="2814" width="9.140625" style="15"/>
    <col min="2815" max="2815" width="35.85546875" style="15" bestFit="1" customWidth="1"/>
    <col min="2816" max="2816" width="10.7109375" style="15" customWidth="1"/>
    <col min="2817" max="2817" width="8.85546875" style="15" customWidth="1"/>
    <col min="2818" max="2818" width="13" style="15" customWidth="1"/>
    <col min="2819" max="2819" width="8.5703125" style="15" customWidth="1"/>
    <col min="2820" max="2821" width="11" style="15" customWidth="1"/>
    <col min="2822" max="2825" width="11.28515625" style="15" customWidth="1"/>
    <col min="2826" max="2826" width="11" style="15" bestFit="1" customWidth="1"/>
    <col min="2827" max="2827" width="11.85546875" style="15" customWidth="1"/>
    <col min="2828" max="3068" width="9.140625" style="15"/>
    <col min="3069" max="3069" width="2.28515625" style="15" customWidth="1"/>
    <col min="3070" max="3070" width="9.140625" style="15"/>
    <col min="3071" max="3071" width="35.85546875" style="15" bestFit="1" customWidth="1"/>
    <col min="3072" max="3072" width="10.7109375" style="15" customWidth="1"/>
    <col min="3073" max="3073" width="8.85546875" style="15" customWidth="1"/>
    <col min="3074" max="3074" width="13" style="15" customWidth="1"/>
    <col min="3075" max="3075" width="8.5703125" style="15" customWidth="1"/>
    <col min="3076" max="3077" width="11" style="15" customWidth="1"/>
    <col min="3078" max="3081" width="11.28515625" style="15" customWidth="1"/>
    <col min="3082" max="3082" width="11" style="15" bestFit="1" customWidth="1"/>
    <col min="3083" max="3083" width="11.85546875" style="15" customWidth="1"/>
    <col min="3084" max="3324" width="9.140625" style="15"/>
    <col min="3325" max="3325" width="2.28515625" style="15" customWidth="1"/>
    <col min="3326" max="3326" width="9.140625" style="15"/>
    <col min="3327" max="3327" width="35.85546875" style="15" bestFit="1" customWidth="1"/>
    <col min="3328" max="3328" width="10.7109375" style="15" customWidth="1"/>
    <col min="3329" max="3329" width="8.85546875" style="15" customWidth="1"/>
    <col min="3330" max="3330" width="13" style="15" customWidth="1"/>
    <col min="3331" max="3331" width="8.5703125" style="15" customWidth="1"/>
    <col min="3332" max="3333" width="11" style="15" customWidth="1"/>
    <col min="3334" max="3337" width="11.28515625" style="15" customWidth="1"/>
    <col min="3338" max="3338" width="11" style="15" bestFit="1" customWidth="1"/>
    <col min="3339" max="3339" width="11.85546875" style="15" customWidth="1"/>
    <col min="3340" max="3580" width="9.140625" style="15"/>
    <col min="3581" max="3581" width="2.28515625" style="15" customWidth="1"/>
    <col min="3582" max="3582" width="9.140625" style="15"/>
    <col min="3583" max="3583" width="35.85546875" style="15" bestFit="1" customWidth="1"/>
    <col min="3584" max="3584" width="10.7109375" style="15" customWidth="1"/>
    <col min="3585" max="3585" width="8.85546875" style="15" customWidth="1"/>
    <col min="3586" max="3586" width="13" style="15" customWidth="1"/>
    <col min="3587" max="3587" width="8.5703125" style="15" customWidth="1"/>
    <col min="3588" max="3589" width="11" style="15" customWidth="1"/>
    <col min="3590" max="3593" width="11.28515625" style="15" customWidth="1"/>
    <col min="3594" max="3594" width="11" style="15" bestFit="1" customWidth="1"/>
    <col min="3595" max="3595" width="11.85546875" style="15" customWidth="1"/>
    <col min="3596" max="3836" width="9.140625" style="15"/>
    <col min="3837" max="3837" width="2.28515625" style="15" customWidth="1"/>
    <col min="3838" max="3838" width="9.140625" style="15"/>
    <col min="3839" max="3839" width="35.85546875" style="15" bestFit="1" customWidth="1"/>
    <col min="3840" max="3840" width="10.7109375" style="15" customWidth="1"/>
    <col min="3841" max="3841" width="8.85546875" style="15" customWidth="1"/>
    <col min="3842" max="3842" width="13" style="15" customWidth="1"/>
    <col min="3843" max="3843" width="8.5703125" style="15" customWidth="1"/>
    <col min="3844" max="3845" width="11" style="15" customWidth="1"/>
    <col min="3846" max="3849" width="11.28515625" style="15" customWidth="1"/>
    <col min="3850" max="3850" width="11" style="15" bestFit="1" customWidth="1"/>
    <col min="3851" max="3851" width="11.85546875" style="15" customWidth="1"/>
    <col min="3852" max="4092" width="9.140625" style="15"/>
    <col min="4093" max="4093" width="2.28515625" style="15" customWidth="1"/>
    <col min="4094" max="4094" width="9.140625" style="15"/>
    <col min="4095" max="4095" width="35.85546875" style="15" bestFit="1" customWidth="1"/>
    <col min="4096" max="4096" width="10.7109375" style="15" customWidth="1"/>
    <col min="4097" max="4097" width="8.85546875" style="15" customWidth="1"/>
    <col min="4098" max="4098" width="13" style="15" customWidth="1"/>
    <col min="4099" max="4099" width="8.5703125" style="15" customWidth="1"/>
    <col min="4100" max="4101" width="11" style="15" customWidth="1"/>
    <col min="4102" max="4105" width="11.28515625" style="15" customWidth="1"/>
    <col min="4106" max="4106" width="11" style="15" bestFit="1" customWidth="1"/>
    <col min="4107" max="4107" width="11.85546875" style="15" customWidth="1"/>
    <col min="4108" max="4348" width="9.140625" style="15"/>
    <col min="4349" max="4349" width="2.28515625" style="15" customWidth="1"/>
    <col min="4350" max="4350" width="9.140625" style="15"/>
    <col min="4351" max="4351" width="35.85546875" style="15" bestFit="1" customWidth="1"/>
    <col min="4352" max="4352" width="10.7109375" style="15" customWidth="1"/>
    <col min="4353" max="4353" width="8.85546875" style="15" customWidth="1"/>
    <col min="4354" max="4354" width="13" style="15" customWidth="1"/>
    <col min="4355" max="4355" width="8.5703125" style="15" customWidth="1"/>
    <col min="4356" max="4357" width="11" style="15" customWidth="1"/>
    <col min="4358" max="4361" width="11.28515625" style="15" customWidth="1"/>
    <col min="4362" max="4362" width="11" style="15" bestFit="1" customWidth="1"/>
    <col min="4363" max="4363" width="11.85546875" style="15" customWidth="1"/>
    <col min="4364" max="4604" width="9.140625" style="15"/>
    <col min="4605" max="4605" width="2.28515625" style="15" customWidth="1"/>
    <col min="4606" max="4606" width="9.140625" style="15"/>
    <col min="4607" max="4607" width="35.85546875" style="15" bestFit="1" customWidth="1"/>
    <col min="4608" max="4608" width="10.7109375" style="15" customWidth="1"/>
    <col min="4609" max="4609" width="8.85546875" style="15" customWidth="1"/>
    <col min="4610" max="4610" width="13" style="15" customWidth="1"/>
    <col min="4611" max="4611" width="8.5703125" style="15" customWidth="1"/>
    <col min="4612" max="4613" width="11" style="15" customWidth="1"/>
    <col min="4614" max="4617" width="11.28515625" style="15" customWidth="1"/>
    <col min="4618" max="4618" width="11" style="15" bestFit="1" customWidth="1"/>
    <col min="4619" max="4619" width="11.85546875" style="15" customWidth="1"/>
    <col min="4620" max="4860" width="9.140625" style="15"/>
    <col min="4861" max="4861" width="2.28515625" style="15" customWidth="1"/>
    <col min="4862" max="4862" width="9.140625" style="15"/>
    <col min="4863" max="4863" width="35.85546875" style="15" bestFit="1" customWidth="1"/>
    <col min="4864" max="4864" width="10.7109375" style="15" customWidth="1"/>
    <col min="4865" max="4865" width="8.85546875" style="15" customWidth="1"/>
    <col min="4866" max="4866" width="13" style="15" customWidth="1"/>
    <col min="4867" max="4867" width="8.5703125" style="15" customWidth="1"/>
    <col min="4868" max="4869" width="11" style="15" customWidth="1"/>
    <col min="4870" max="4873" width="11.28515625" style="15" customWidth="1"/>
    <col min="4874" max="4874" width="11" style="15" bestFit="1" customWidth="1"/>
    <col min="4875" max="4875" width="11.85546875" style="15" customWidth="1"/>
    <col min="4876" max="5116" width="9.140625" style="15"/>
    <col min="5117" max="5117" width="2.28515625" style="15" customWidth="1"/>
    <col min="5118" max="5118" width="9.140625" style="15"/>
    <col min="5119" max="5119" width="35.85546875" style="15" bestFit="1" customWidth="1"/>
    <col min="5120" max="5120" width="10.7109375" style="15" customWidth="1"/>
    <col min="5121" max="5121" width="8.85546875" style="15" customWidth="1"/>
    <col min="5122" max="5122" width="13" style="15" customWidth="1"/>
    <col min="5123" max="5123" width="8.5703125" style="15" customWidth="1"/>
    <col min="5124" max="5125" width="11" style="15" customWidth="1"/>
    <col min="5126" max="5129" width="11.28515625" style="15" customWidth="1"/>
    <col min="5130" max="5130" width="11" style="15" bestFit="1" customWidth="1"/>
    <col min="5131" max="5131" width="11.85546875" style="15" customWidth="1"/>
    <col min="5132" max="5372" width="9.140625" style="15"/>
    <col min="5373" max="5373" width="2.28515625" style="15" customWidth="1"/>
    <col min="5374" max="5374" width="9.140625" style="15"/>
    <col min="5375" max="5375" width="35.85546875" style="15" bestFit="1" customWidth="1"/>
    <col min="5376" max="5376" width="10.7109375" style="15" customWidth="1"/>
    <col min="5377" max="5377" width="8.85546875" style="15" customWidth="1"/>
    <col min="5378" max="5378" width="13" style="15" customWidth="1"/>
    <col min="5379" max="5379" width="8.5703125" style="15" customWidth="1"/>
    <col min="5380" max="5381" width="11" style="15" customWidth="1"/>
    <col min="5382" max="5385" width="11.28515625" style="15" customWidth="1"/>
    <col min="5386" max="5386" width="11" style="15" bestFit="1" customWidth="1"/>
    <col min="5387" max="5387" width="11.85546875" style="15" customWidth="1"/>
    <col min="5388" max="5628" width="9.140625" style="15"/>
    <col min="5629" max="5629" width="2.28515625" style="15" customWidth="1"/>
    <col min="5630" max="5630" width="9.140625" style="15"/>
    <col min="5631" max="5631" width="35.85546875" style="15" bestFit="1" customWidth="1"/>
    <col min="5632" max="5632" width="10.7109375" style="15" customWidth="1"/>
    <col min="5633" max="5633" width="8.85546875" style="15" customWidth="1"/>
    <col min="5634" max="5634" width="13" style="15" customWidth="1"/>
    <col min="5635" max="5635" width="8.5703125" style="15" customWidth="1"/>
    <col min="5636" max="5637" width="11" style="15" customWidth="1"/>
    <col min="5638" max="5641" width="11.28515625" style="15" customWidth="1"/>
    <col min="5642" max="5642" width="11" style="15" bestFit="1" customWidth="1"/>
    <col min="5643" max="5643" width="11.85546875" style="15" customWidth="1"/>
    <col min="5644" max="5884" width="9.140625" style="15"/>
    <col min="5885" max="5885" width="2.28515625" style="15" customWidth="1"/>
    <col min="5886" max="5886" width="9.140625" style="15"/>
    <col min="5887" max="5887" width="35.85546875" style="15" bestFit="1" customWidth="1"/>
    <col min="5888" max="5888" width="10.7109375" style="15" customWidth="1"/>
    <col min="5889" max="5889" width="8.85546875" style="15" customWidth="1"/>
    <col min="5890" max="5890" width="13" style="15" customWidth="1"/>
    <col min="5891" max="5891" width="8.5703125" style="15" customWidth="1"/>
    <col min="5892" max="5893" width="11" style="15" customWidth="1"/>
    <col min="5894" max="5897" width="11.28515625" style="15" customWidth="1"/>
    <col min="5898" max="5898" width="11" style="15" bestFit="1" customWidth="1"/>
    <col min="5899" max="5899" width="11.85546875" style="15" customWidth="1"/>
    <col min="5900" max="6140" width="9.140625" style="15"/>
    <col min="6141" max="6141" width="2.28515625" style="15" customWidth="1"/>
    <col min="6142" max="6142" width="9.140625" style="15"/>
    <col min="6143" max="6143" width="35.85546875" style="15" bestFit="1" customWidth="1"/>
    <col min="6144" max="6144" width="10.7109375" style="15" customWidth="1"/>
    <col min="6145" max="6145" width="8.85546875" style="15" customWidth="1"/>
    <col min="6146" max="6146" width="13" style="15" customWidth="1"/>
    <col min="6147" max="6147" width="8.5703125" style="15" customWidth="1"/>
    <col min="6148" max="6149" width="11" style="15" customWidth="1"/>
    <col min="6150" max="6153" width="11.28515625" style="15" customWidth="1"/>
    <col min="6154" max="6154" width="11" style="15" bestFit="1" customWidth="1"/>
    <col min="6155" max="6155" width="11.85546875" style="15" customWidth="1"/>
    <col min="6156" max="6396" width="9.140625" style="15"/>
    <col min="6397" max="6397" width="2.28515625" style="15" customWidth="1"/>
    <col min="6398" max="6398" width="9.140625" style="15"/>
    <col min="6399" max="6399" width="35.85546875" style="15" bestFit="1" customWidth="1"/>
    <col min="6400" max="6400" width="10.7109375" style="15" customWidth="1"/>
    <col min="6401" max="6401" width="8.85546875" style="15" customWidth="1"/>
    <col min="6402" max="6402" width="13" style="15" customWidth="1"/>
    <col min="6403" max="6403" width="8.5703125" style="15" customWidth="1"/>
    <col min="6404" max="6405" width="11" style="15" customWidth="1"/>
    <col min="6406" max="6409" width="11.28515625" style="15" customWidth="1"/>
    <col min="6410" max="6410" width="11" style="15" bestFit="1" customWidth="1"/>
    <col min="6411" max="6411" width="11.85546875" style="15" customWidth="1"/>
    <col min="6412" max="6652" width="9.140625" style="15"/>
    <col min="6653" max="6653" width="2.28515625" style="15" customWidth="1"/>
    <col min="6654" max="6654" width="9.140625" style="15"/>
    <col min="6655" max="6655" width="35.85546875" style="15" bestFit="1" customWidth="1"/>
    <col min="6656" max="6656" width="10.7109375" style="15" customWidth="1"/>
    <col min="6657" max="6657" width="8.85546875" style="15" customWidth="1"/>
    <col min="6658" max="6658" width="13" style="15" customWidth="1"/>
    <col min="6659" max="6659" width="8.5703125" style="15" customWidth="1"/>
    <col min="6660" max="6661" width="11" style="15" customWidth="1"/>
    <col min="6662" max="6665" width="11.28515625" style="15" customWidth="1"/>
    <col min="6666" max="6666" width="11" style="15" bestFit="1" customWidth="1"/>
    <col min="6667" max="6667" width="11.85546875" style="15" customWidth="1"/>
    <col min="6668" max="6908" width="9.140625" style="15"/>
    <col min="6909" max="6909" width="2.28515625" style="15" customWidth="1"/>
    <col min="6910" max="6910" width="9.140625" style="15"/>
    <col min="6911" max="6911" width="35.85546875" style="15" bestFit="1" customWidth="1"/>
    <col min="6912" max="6912" width="10.7109375" style="15" customWidth="1"/>
    <col min="6913" max="6913" width="8.85546875" style="15" customWidth="1"/>
    <col min="6914" max="6914" width="13" style="15" customWidth="1"/>
    <col min="6915" max="6915" width="8.5703125" style="15" customWidth="1"/>
    <col min="6916" max="6917" width="11" style="15" customWidth="1"/>
    <col min="6918" max="6921" width="11.28515625" style="15" customWidth="1"/>
    <col min="6922" max="6922" width="11" style="15" bestFit="1" customWidth="1"/>
    <col min="6923" max="6923" width="11.85546875" style="15" customWidth="1"/>
    <col min="6924" max="7164" width="9.140625" style="15"/>
    <col min="7165" max="7165" width="2.28515625" style="15" customWidth="1"/>
    <col min="7166" max="7166" width="9.140625" style="15"/>
    <col min="7167" max="7167" width="35.85546875" style="15" bestFit="1" customWidth="1"/>
    <col min="7168" max="7168" width="10.7109375" style="15" customWidth="1"/>
    <col min="7169" max="7169" width="8.85546875" style="15" customWidth="1"/>
    <col min="7170" max="7170" width="13" style="15" customWidth="1"/>
    <col min="7171" max="7171" width="8.5703125" style="15" customWidth="1"/>
    <col min="7172" max="7173" width="11" style="15" customWidth="1"/>
    <col min="7174" max="7177" width="11.28515625" style="15" customWidth="1"/>
    <col min="7178" max="7178" width="11" style="15" bestFit="1" customWidth="1"/>
    <col min="7179" max="7179" width="11.85546875" style="15" customWidth="1"/>
    <col min="7180" max="7420" width="9.140625" style="15"/>
    <col min="7421" max="7421" width="2.28515625" style="15" customWidth="1"/>
    <col min="7422" max="7422" width="9.140625" style="15"/>
    <col min="7423" max="7423" width="35.85546875" style="15" bestFit="1" customWidth="1"/>
    <col min="7424" max="7424" width="10.7109375" style="15" customWidth="1"/>
    <col min="7425" max="7425" width="8.85546875" style="15" customWidth="1"/>
    <col min="7426" max="7426" width="13" style="15" customWidth="1"/>
    <col min="7427" max="7427" width="8.5703125" style="15" customWidth="1"/>
    <col min="7428" max="7429" width="11" style="15" customWidth="1"/>
    <col min="7430" max="7433" width="11.28515625" style="15" customWidth="1"/>
    <col min="7434" max="7434" width="11" style="15" bestFit="1" customWidth="1"/>
    <col min="7435" max="7435" width="11.85546875" style="15" customWidth="1"/>
    <col min="7436" max="7676" width="9.140625" style="15"/>
    <col min="7677" max="7677" width="2.28515625" style="15" customWidth="1"/>
    <col min="7678" max="7678" width="9.140625" style="15"/>
    <col min="7679" max="7679" width="35.85546875" style="15" bestFit="1" customWidth="1"/>
    <col min="7680" max="7680" width="10.7109375" style="15" customWidth="1"/>
    <col min="7681" max="7681" width="8.85546875" style="15" customWidth="1"/>
    <col min="7682" max="7682" width="13" style="15" customWidth="1"/>
    <col min="7683" max="7683" width="8.5703125" style="15" customWidth="1"/>
    <col min="7684" max="7685" width="11" style="15" customWidth="1"/>
    <col min="7686" max="7689" width="11.28515625" style="15" customWidth="1"/>
    <col min="7690" max="7690" width="11" style="15" bestFit="1" customWidth="1"/>
    <col min="7691" max="7691" width="11.85546875" style="15" customWidth="1"/>
    <col min="7692" max="7932" width="9.140625" style="15"/>
    <col min="7933" max="7933" width="2.28515625" style="15" customWidth="1"/>
    <col min="7934" max="7934" width="9.140625" style="15"/>
    <col min="7935" max="7935" width="35.85546875" style="15" bestFit="1" customWidth="1"/>
    <col min="7936" max="7936" width="10.7109375" style="15" customWidth="1"/>
    <col min="7937" max="7937" width="8.85546875" style="15" customWidth="1"/>
    <col min="7938" max="7938" width="13" style="15" customWidth="1"/>
    <col min="7939" max="7939" width="8.5703125" style="15" customWidth="1"/>
    <col min="7940" max="7941" width="11" style="15" customWidth="1"/>
    <col min="7942" max="7945" width="11.28515625" style="15" customWidth="1"/>
    <col min="7946" max="7946" width="11" style="15" bestFit="1" customWidth="1"/>
    <col min="7947" max="7947" width="11.85546875" style="15" customWidth="1"/>
    <col min="7948" max="8188" width="9.140625" style="15"/>
    <col min="8189" max="8189" width="2.28515625" style="15" customWidth="1"/>
    <col min="8190" max="8190" width="9.140625" style="15"/>
    <col min="8191" max="8191" width="35.85546875" style="15" bestFit="1" customWidth="1"/>
    <col min="8192" max="8192" width="10.7109375" style="15" customWidth="1"/>
    <col min="8193" max="8193" width="8.85546875" style="15" customWidth="1"/>
    <col min="8194" max="8194" width="13" style="15" customWidth="1"/>
    <col min="8195" max="8195" width="8.5703125" style="15" customWidth="1"/>
    <col min="8196" max="8197" width="11" style="15" customWidth="1"/>
    <col min="8198" max="8201" width="11.28515625" style="15" customWidth="1"/>
    <col min="8202" max="8202" width="11" style="15" bestFit="1" customWidth="1"/>
    <col min="8203" max="8203" width="11.85546875" style="15" customWidth="1"/>
    <col min="8204" max="8444" width="9.140625" style="15"/>
    <col min="8445" max="8445" width="2.28515625" style="15" customWidth="1"/>
    <col min="8446" max="8446" width="9.140625" style="15"/>
    <col min="8447" max="8447" width="35.85546875" style="15" bestFit="1" customWidth="1"/>
    <col min="8448" max="8448" width="10.7109375" style="15" customWidth="1"/>
    <col min="8449" max="8449" width="8.85546875" style="15" customWidth="1"/>
    <col min="8450" max="8450" width="13" style="15" customWidth="1"/>
    <col min="8451" max="8451" width="8.5703125" style="15" customWidth="1"/>
    <col min="8452" max="8453" width="11" style="15" customWidth="1"/>
    <col min="8454" max="8457" width="11.28515625" style="15" customWidth="1"/>
    <col min="8458" max="8458" width="11" style="15" bestFit="1" customWidth="1"/>
    <col min="8459" max="8459" width="11.85546875" style="15" customWidth="1"/>
    <col min="8460" max="8700" width="9.140625" style="15"/>
    <col min="8701" max="8701" width="2.28515625" style="15" customWidth="1"/>
    <col min="8702" max="8702" width="9.140625" style="15"/>
    <col min="8703" max="8703" width="35.85546875" style="15" bestFit="1" customWidth="1"/>
    <col min="8704" max="8704" width="10.7109375" style="15" customWidth="1"/>
    <col min="8705" max="8705" width="8.85546875" style="15" customWidth="1"/>
    <col min="8706" max="8706" width="13" style="15" customWidth="1"/>
    <col min="8707" max="8707" width="8.5703125" style="15" customWidth="1"/>
    <col min="8708" max="8709" width="11" style="15" customWidth="1"/>
    <col min="8710" max="8713" width="11.28515625" style="15" customWidth="1"/>
    <col min="8714" max="8714" width="11" style="15" bestFit="1" customWidth="1"/>
    <col min="8715" max="8715" width="11.85546875" style="15" customWidth="1"/>
    <col min="8716" max="8956" width="9.140625" style="15"/>
    <col min="8957" max="8957" width="2.28515625" style="15" customWidth="1"/>
    <col min="8958" max="8958" width="9.140625" style="15"/>
    <col min="8959" max="8959" width="35.85546875" style="15" bestFit="1" customWidth="1"/>
    <col min="8960" max="8960" width="10.7109375" style="15" customWidth="1"/>
    <col min="8961" max="8961" width="8.85546875" style="15" customWidth="1"/>
    <col min="8962" max="8962" width="13" style="15" customWidth="1"/>
    <col min="8963" max="8963" width="8.5703125" style="15" customWidth="1"/>
    <col min="8964" max="8965" width="11" style="15" customWidth="1"/>
    <col min="8966" max="8969" width="11.28515625" style="15" customWidth="1"/>
    <col min="8970" max="8970" width="11" style="15" bestFit="1" customWidth="1"/>
    <col min="8971" max="8971" width="11.85546875" style="15" customWidth="1"/>
    <col min="8972" max="9212" width="9.140625" style="15"/>
    <col min="9213" max="9213" width="2.28515625" style="15" customWidth="1"/>
    <col min="9214" max="9214" width="9.140625" style="15"/>
    <col min="9215" max="9215" width="35.85546875" style="15" bestFit="1" customWidth="1"/>
    <col min="9216" max="9216" width="10.7109375" style="15" customWidth="1"/>
    <col min="9217" max="9217" width="8.85546875" style="15" customWidth="1"/>
    <col min="9218" max="9218" width="13" style="15" customWidth="1"/>
    <col min="9219" max="9219" width="8.5703125" style="15" customWidth="1"/>
    <col min="9220" max="9221" width="11" style="15" customWidth="1"/>
    <col min="9222" max="9225" width="11.28515625" style="15" customWidth="1"/>
    <col min="9226" max="9226" width="11" style="15" bestFit="1" customWidth="1"/>
    <col min="9227" max="9227" width="11.85546875" style="15" customWidth="1"/>
    <col min="9228" max="9468" width="9.140625" style="15"/>
    <col min="9469" max="9469" width="2.28515625" style="15" customWidth="1"/>
    <col min="9470" max="9470" width="9.140625" style="15"/>
    <col min="9471" max="9471" width="35.85546875" style="15" bestFit="1" customWidth="1"/>
    <col min="9472" max="9472" width="10.7109375" style="15" customWidth="1"/>
    <col min="9473" max="9473" width="8.85546875" style="15" customWidth="1"/>
    <col min="9474" max="9474" width="13" style="15" customWidth="1"/>
    <col min="9475" max="9475" width="8.5703125" style="15" customWidth="1"/>
    <col min="9476" max="9477" width="11" style="15" customWidth="1"/>
    <col min="9478" max="9481" width="11.28515625" style="15" customWidth="1"/>
    <col min="9482" max="9482" width="11" style="15" bestFit="1" customWidth="1"/>
    <col min="9483" max="9483" width="11.85546875" style="15" customWidth="1"/>
    <col min="9484" max="9724" width="9.140625" style="15"/>
    <col min="9725" max="9725" width="2.28515625" style="15" customWidth="1"/>
    <col min="9726" max="9726" width="9.140625" style="15"/>
    <col min="9727" max="9727" width="35.85546875" style="15" bestFit="1" customWidth="1"/>
    <col min="9728" max="9728" width="10.7109375" style="15" customWidth="1"/>
    <col min="9729" max="9729" width="8.85546875" style="15" customWidth="1"/>
    <col min="9730" max="9730" width="13" style="15" customWidth="1"/>
    <col min="9731" max="9731" width="8.5703125" style="15" customWidth="1"/>
    <col min="9732" max="9733" width="11" style="15" customWidth="1"/>
    <col min="9734" max="9737" width="11.28515625" style="15" customWidth="1"/>
    <col min="9738" max="9738" width="11" style="15" bestFit="1" customWidth="1"/>
    <col min="9739" max="9739" width="11.85546875" style="15" customWidth="1"/>
    <col min="9740" max="9980" width="9.140625" style="15"/>
    <col min="9981" max="9981" width="2.28515625" style="15" customWidth="1"/>
    <col min="9982" max="9982" width="9.140625" style="15"/>
    <col min="9983" max="9983" width="35.85546875" style="15" bestFit="1" customWidth="1"/>
    <col min="9984" max="9984" width="10.7109375" style="15" customWidth="1"/>
    <col min="9985" max="9985" width="8.85546875" style="15" customWidth="1"/>
    <col min="9986" max="9986" width="13" style="15" customWidth="1"/>
    <col min="9987" max="9987" width="8.5703125" style="15" customWidth="1"/>
    <col min="9988" max="9989" width="11" style="15" customWidth="1"/>
    <col min="9990" max="9993" width="11.28515625" style="15" customWidth="1"/>
    <col min="9994" max="9994" width="11" style="15" bestFit="1" customWidth="1"/>
    <col min="9995" max="9995" width="11.85546875" style="15" customWidth="1"/>
    <col min="9996" max="10236" width="9.140625" style="15"/>
    <col min="10237" max="10237" width="2.28515625" style="15" customWidth="1"/>
    <col min="10238" max="10238" width="9.140625" style="15"/>
    <col min="10239" max="10239" width="35.85546875" style="15" bestFit="1" customWidth="1"/>
    <col min="10240" max="10240" width="10.7109375" style="15" customWidth="1"/>
    <col min="10241" max="10241" width="8.85546875" style="15" customWidth="1"/>
    <col min="10242" max="10242" width="13" style="15" customWidth="1"/>
    <col min="10243" max="10243" width="8.5703125" style="15" customWidth="1"/>
    <col min="10244" max="10245" width="11" style="15" customWidth="1"/>
    <col min="10246" max="10249" width="11.28515625" style="15" customWidth="1"/>
    <col min="10250" max="10250" width="11" style="15" bestFit="1" customWidth="1"/>
    <col min="10251" max="10251" width="11.85546875" style="15" customWidth="1"/>
    <col min="10252" max="10492" width="9.140625" style="15"/>
    <col min="10493" max="10493" width="2.28515625" style="15" customWidth="1"/>
    <col min="10494" max="10494" width="9.140625" style="15"/>
    <col min="10495" max="10495" width="35.85546875" style="15" bestFit="1" customWidth="1"/>
    <col min="10496" max="10496" width="10.7109375" style="15" customWidth="1"/>
    <col min="10497" max="10497" width="8.85546875" style="15" customWidth="1"/>
    <col min="10498" max="10498" width="13" style="15" customWidth="1"/>
    <col min="10499" max="10499" width="8.5703125" style="15" customWidth="1"/>
    <col min="10500" max="10501" width="11" style="15" customWidth="1"/>
    <col min="10502" max="10505" width="11.28515625" style="15" customWidth="1"/>
    <col min="10506" max="10506" width="11" style="15" bestFit="1" customWidth="1"/>
    <col min="10507" max="10507" width="11.85546875" style="15" customWidth="1"/>
    <col min="10508" max="10748" width="9.140625" style="15"/>
    <col min="10749" max="10749" width="2.28515625" style="15" customWidth="1"/>
    <col min="10750" max="10750" width="9.140625" style="15"/>
    <col min="10751" max="10751" width="35.85546875" style="15" bestFit="1" customWidth="1"/>
    <col min="10752" max="10752" width="10.7109375" style="15" customWidth="1"/>
    <col min="10753" max="10753" width="8.85546875" style="15" customWidth="1"/>
    <col min="10754" max="10754" width="13" style="15" customWidth="1"/>
    <col min="10755" max="10755" width="8.5703125" style="15" customWidth="1"/>
    <col min="10756" max="10757" width="11" style="15" customWidth="1"/>
    <col min="10758" max="10761" width="11.28515625" style="15" customWidth="1"/>
    <col min="10762" max="10762" width="11" style="15" bestFit="1" customWidth="1"/>
    <col min="10763" max="10763" width="11.85546875" style="15" customWidth="1"/>
    <col min="10764" max="11004" width="9.140625" style="15"/>
    <col min="11005" max="11005" width="2.28515625" style="15" customWidth="1"/>
    <col min="11006" max="11006" width="9.140625" style="15"/>
    <col min="11007" max="11007" width="35.85546875" style="15" bestFit="1" customWidth="1"/>
    <col min="11008" max="11008" width="10.7109375" style="15" customWidth="1"/>
    <col min="11009" max="11009" width="8.85546875" style="15" customWidth="1"/>
    <col min="11010" max="11010" width="13" style="15" customWidth="1"/>
    <col min="11011" max="11011" width="8.5703125" style="15" customWidth="1"/>
    <col min="11012" max="11013" width="11" style="15" customWidth="1"/>
    <col min="11014" max="11017" width="11.28515625" style="15" customWidth="1"/>
    <col min="11018" max="11018" width="11" style="15" bestFit="1" customWidth="1"/>
    <col min="11019" max="11019" width="11.85546875" style="15" customWidth="1"/>
    <col min="11020" max="11260" width="9.140625" style="15"/>
    <col min="11261" max="11261" width="2.28515625" style="15" customWidth="1"/>
    <col min="11262" max="11262" width="9.140625" style="15"/>
    <col min="11263" max="11263" width="35.85546875" style="15" bestFit="1" customWidth="1"/>
    <col min="11264" max="11264" width="10.7109375" style="15" customWidth="1"/>
    <col min="11265" max="11265" width="8.85546875" style="15" customWidth="1"/>
    <col min="11266" max="11266" width="13" style="15" customWidth="1"/>
    <col min="11267" max="11267" width="8.5703125" style="15" customWidth="1"/>
    <col min="11268" max="11269" width="11" style="15" customWidth="1"/>
    <col min="11270" max="11273" width="11.28515625" style="15" customWidth="1"/>
    <col min="11274" max="11274" width="11" style="15" bestFit="1" customWidth="1"/>
    <col min="11275" max="11275" width="11.85546875" style="15" customWidth="1"/>
    <col min="11276" max="11516" width="9.140625" style="15"/>
    <col min="11517" max="11517" width="2.28515625" style="15" customWidth="1"/>
    <col min="11518" max="11518" width="9.140625" style="15"/>
    <col min="11519" max="11519" width="35.85546875" style="15" bestFit="1" customWidth="1"/>
    <col min="11520" max="11520" width="10.7109375" style="15" customWidth="1"/>
    <col min="11521" max="11521" width="8.85546875" style="15" customWidth="1"/>
    <col min="11522" max="11522" width="13" style="15" customWidth="1"/>
    <col min="11523" max="11523" width="8.5703125" style="15" customWidth="1"/>
    <col min="11524" max="11525" width="11" style="15" customWidth="1"/>
    <col min="11526" max="11529" width="11.28515625" style="15" customWidth="1"/>
    <col min="11530" max="11530" width="11" style="15" bestFit="1" customWidth="1"/>
    <col min="11531" max="11531" width="11.85546875" style="15" customWidth="1"/>
    <col min="11532" max="11772" width="9.140625" style="15"/>
    <col min="11773" max="11773" width="2.28515625" style="15" customWidth="1"/>
    <col min="11774" max="11774" width="9.140625" style="15"/>
    <col min="11775" max="11775" width="35.85546875" style="15" bestFit="1" customWidth="1"/>
    <col min="11776" max="11776" width="10.7109375" style="15" customWidth="1"/>
    <col min="11777" max="11777" width="8.85546875" style="15" customWidth="1"/>
    <col min="11778" max="11778" width="13" style="15" customWidth="1"/>
    <col min="11779" max="11779" width="8.5703125" style="15" customWidth="1"/>
    <col min="11780" max="11781" width="11" style="15" customWidth="1"/>
    <col min="11782" max="11785" width="11.28515625" style="15" customWidth="1"/>
    <col min="11786" max="11786" width="11" style="15" bestFit="1" customWidth="1"/>
    <col min="11787" max="11787" width="11.85546875" style="15" customWidth="1"/>
    <col min="11788" max="12028" width="9.140625" style="15"/>
    <col min="12029" max="12029" width="2.28515625" style="15" customWidth="1"/>
    <col min="12030" max="12030" width="9.140625" style="15"/>
    <col min="12031" max="12031" width="35.85546875" style="15" bestFit="1" customWidth="1"/>
    <col min="12032" max="12032" width="10.7109375" style="15" customWidth="1"/>
    <col min="12033" max="12033" width="8.85546875" style="15" customWidth="1"/>
    <col min="12034" max="12034" width="13" style="15" customWidth="1"/>
    <col min="12035" max="12035" width="8.5703125" style="15" customWidth="1"/>
    <col min="12036" max="12037" width="11" style="15" customWidth="1"/>
    <col min="12038" max="12041" width="11.28515625" style="15" customWidth="1"/>
    <col min="12042" max="12042" width="11" style="15" bestFit="1" customWidth="1"/>
    <col min="12043" max="12043" width="11.85546875" style="15" customWidth="1"/>
    <col min="12044" max="12284" width="9.140625" style="15"/>
    <col min="12285" max="12285" width="2.28515625" style="15" customWidth="1"/>
    <col min="12286" max="12286" width="9.140625" style="15"/>
    <col min="12287" max="12287" width="35.85546875" style="15" bestFit="1" customWidth="1"/>
    <col min="12288" max="12288" width="10.7109375" style="15" customWidth="1"/>
    <col min="12289" max="12289" width="8.85546875" style="15" customWidth="1"/>
    <col min="12290" max="12290" width="13" style="15" customWidth="1"/>
    <col min="12291" max="12291" width="8.5703125" style="15" customWidth="1"/>
    <col min="12292" max="12293" width="11" style="15" customWidth="1"/>
    <col min="12294" max="12297" width="11.28515625" style="15" customWidth="1"/>
    <col min="12298" max="12298" width="11" style="15" bestFit="1" customWidth="1"/>
    <col min="12299" max="12299" width="11.85546875" style="15" customWidth="1"/>
    <col min="12300" max="12540" width="9.140625" style="15"/>
    <col min="12541" max="12541" width="2.28515625" style="15" customWidth="1"/>
    <col min="12542" max="12542" width="9.140625" style="15"/>
    <col min="12543" max="12543" width="35.85546875" style="15" bestFit="1" customWidth="1"/>
    <col min="12544" max="12544" width="10.7109375" style="15" customWidth="1"/>
    <col min="12545" max="12545" width="8.85546875" style="15" customWidth="1"/>
    <col min="12546" max="12546" width="13" style="15" customWidth="1"/>
    <col min="12547" max="12547" width="8.5703125" style="15" customWidth="1"/>
    <col min="12548" max="12549" width="11" style="15" customWidth="1"/>
    <col min="12550" max="12553" width="11.28515625" style="15" customWidth="1"/>
    <col min="12554" max="12554" width="11" style="15" bestFit="1" customWidth="1"/>
    <col min="12555" max="12555" width="11.85546875" style="15" customWidth="1"/>
    <col min="12556" max="12796" width="9.140625" style="15"/>
    <col min="12797" max="12797" width="2.28515625" style="15" customWidth="1"/>
    <col min="12798" max="12798" width="9.140625" style="15"/>
    <col min="12799" max="12799" width="35.85546875" style="15" bestFit="1" customWidth="1"/>
    <col min="12800" max="12800" width="10.7109375" style="15" customWidth="1"/>
    <col min="12801" max="12801" width="8.85546875" style="15" customWidth="1"/>
    <col min="12802" max="12802" width="13" style="15" customWidth="1"/>
    <col min="12803" max="12803" width="8.5703125" style="15" customWidth="1"/>
    <col min="12804" max="12805" width="11" style="15" customWidth="1"/>
    <col min="12806" max="12809" width="11.28515625" style="15" customWidth="1"/>
    <col min="12810" max="12810" width="11" style="15" bestFit="1" customWidth="1"/>
    <col min="12811" max="12811" width="11.85546875" style="15" customWidth="1"/>
    <col min="12812" max="13052" width="9.140625" style="15"/>
    <col min="13053" max="13053" width="2.28515625" style="15" customWidth="1"/>
    <col min="13054" max="13054" width="9.140625" style="15"/>
    <col min="13055" max="13055" width="35.85546875" style="15" bestFit="1" customWidth="1"/>
    <col min="13056" max="13056" width="10.7109375" style="15" customWidth="1"/>
    <col min="13057" max="13057" width="8.85546875" style="15" customWidth="1"/>
    <col min="13058" max="13058" width="13" style="15" customWidth="1"/>
    <col min="13059" max="13059" width="8.5703125" style="15" customWidth="1"/>
    <col min="13060" max="13061" width="11" style="15" customWidth="1"/>
    <col min="13062" max="13065" width="11.28515625" style="15" customWidth="1"/>
    <col min="13066" max="13066" width="11" style="15" bestFit="1" customWidth="1"/>
    <col min="13067" max="13067" width="11.85546875" style="15" customWidth="1"/>
    <col min="13068" max="13308" width="9.140625" style="15"/>
    <col min="13309" max="13309" width="2.28515625" style="15" customWidth="1"/>
    <col min="13310" max="13310" width="9.140625" style="15"/>
    <col min="13311" max="13311" width="35.85546875" style="15" bestFit="1" customWidth="1"/>
    <col min="13312" max="13312" width="10.7109375" style="15" customWidth="1"/>
    <col min="13313" max="13313" width="8.85546875" style="15" customWidth="1"/>
    <col min="13314" max="13314" width="13" style="15" customWidth="1"/>
    <col min="13315" max="13315" width="8.5703125" style="15" customWidth="1"/>
    <col min="13316" max="13317" width="11" style="15" customWidth="1"/>
    <col min="13318" max="13321" width="11.28515625" style="15" customWidth="1"/>
    <col min="13322" max="13322" width="11" style="15" bestFit="1" customWidth="1"/>
    <col min="13323" max="13323" width="11.85546875" style="15" customWidth="1"/>
    <col min="13324" max="13564" width="9.140625" style="15"/>
    <col min="13565" max="13565" width="2.28515625" style="15" customWidth="1"/>
    <col min="13566" max="13566" width="9.140625" style="15"/>
    <col min="13567" max="13567" width="35.85546875" style="15" bestFit="1" customWidth="1"/>
    <col min="13568" max="13568" width="10.7109375" style="15" customWidth="1"/>
    <col min="13569" max="13569" width="8.85546875" style="15" customWidth="1"/>
    <col min="13570" max="13570" width="13" style="15" customWidth="1"/>
    <col min="13571" max="13571" width="8.5703125" style="15" customWidth="1"/>
    <col min="13572" max="13573" width="11" style="15" customWidth="1"/>
    <col min="13574" max="13577" width="11.28515625" style="15" customWidth="1"/>
    <col min="13578" max="13578" width="11" style="15" bestFit="1" customWidth="1"/>
    <col min="13579" max="13579" width="11.85546875" style="15" customWidth="1"/>
    <col min="13580" max="13820" width="9.140625" style="15"/>
    <col min="13821" max="13821" width="2.28515625" style="15" customWidth="1"/>
    <col min="13822" max="13822" width="9.140625" style="15"/>
    <col min="13823" max="13823" width="35.85546875" style="15" bestFit="1" customWidth="1"/>
    <col min="13824" max="13824" width="10.7109375" style="15" customWidth="1"/>
    <col min="13825" max="13825" width="8.85546875" style="15" customWidth="1"/>
    <col min="13826" max="13826" width="13" style="15" customWidth="1"/>
    <col min="13827" max="13827" width="8.5703125" style="15" customWidth="1"/>
    <col min="13828" max="13829" width="11" style="15" customWidth="1"/>
    <col min="13830" max="13833" width="11.28515625" style="15" customWidth="1"/>
    <col min="13834" max="13834" width="11" style="15" bestFit="1" customWidth="1"/>
    <col min="13835" max="13835" width="11.85546875" style="15" customWidth="1"/>
    <col min="13836" max="14076" width="9.140625" style="15"/>
    <col min="14077" max="14077" width="2.28515625" style="15" customWidth="1"/>
    <col min="14078" max="14078" width="9.140625" style="15"/>
    <col min="14079" max="14079" width="35.85546875" style="15" bestFit="1" customWidth="1"/>
    <col min="14080" max="14080" width="10.7109375" style="15" customWidth="1"/>
    <col min="14081" max="14081" width="8.85546875" style="15" customWidth="1"/>
    <col min="14082" max="14082" width="13" style="15" customWidth="1"/>
    <col min="14083" max="14083" width="8.5703125" style="15" customWidth="1"/>
    <col min="14084" max="14085" width="11" style="15" customWidth="1"/>
    <col min="14086" max="14089" width="11.28515625" style="15" customWidth="1"/>
    <col min="14090" max="14090" width="11" style="15" bestFit="1" customWidth="1"/>
    <col min="14091" max="14091" width="11.85546875" style="15" customWidth="1"/>
    <col min="14092" max="14332" width="9.140625" style="15"/>
    <col min="14333" max="14333" width="2.28515625" style="15" customWidth="1"/>
    <col min="14334" max="14334" width="9.140625" style="15"/>
    <col min="14335" max="14335" width="35.85546875" style="15" bestFit="1" customWidth="1"/>
    <col min="14336" max="14336" width="10.7109375" style="15" customWidth="1"/>
    <col min="14337" max="14337" width="8.85546875" style="15" customWidth="1"/>
    <col min="14338" max="14338" width="13" style="15" customWidth="1"/>
    <col min="14339" max="14339" width="8.5703125" style="15" customWidth="1"/>
    <col min="14340" max="14341" width="11" style="15" customWidth="1"/>
    <col min="14342" max="14345" width="11.28515625" style="15" customWidth="1"/>
    <col min="14346" max="14346" width="11" style="15" bestFit="1" customWidth="1"/>
    <col min="14347" max="14347" width="11.85546875" style="15" customWidth="1"/>
    <col min="14348" max="14588" width="9.140625" style="15"/>
    <col min="14589" max="14589" width="2.28515625" style="15" customWidth="1"/>
    <col min="14590" max="14590" width="9.140625" style="15"/>
    <col min="14591" max="14591" width="35.85546875" style="15" bestFit="1" customWidth="1"/>
    <col min="14592" max="14592" width="10.7109375" style="15" customWidth="1"/>
    <col min="14593" max="14593" width="8.85546875" style="15" customWidth="1"/>
    <col min="14594" max="14594" width="13" style="15" customWidth="1"/>
    <col min="14595" max="14595" width="8.5703125" style="15" customWidth="1"/>
    <col min="14596" max="14597" width="11" style="15" customWidth="1"/>
    <col min="14598" max="14601" width="11.28515625" style="15" customWidth="1"/>
    <col min="14602" max="14602" width="11" style="15" bestFit="1" customWidth="1"/>
    <col min="14603" max="14603" width="11.85546875" style="15" customWidth="1"/>
    <col min="14604" max="14844" width="9.140625" style="15"/>
    <col min="14845" max="14845" width="2.28515625" style="15" customWidth="1"/>
    <col min="14846" max="14846" width="9.140625" style="15"/>
    <col min="14847" max="14847" width="35.85546875" style="15" bestFit="1" customWidth="1"/>
    <col min="14848" max="14848" width="10.7109375" style="15" customWidth="1"/>
    <col min="14849" max="14849" width="8.85546875" style="15" customWidth="1"/>
    <col min="14850" max="14850" width="13" style="15" customWidth="1"/>
    <col min="14851" max="14851" width="8.5703125" style="15" customWidth="1"/>
    <col min="14852" max="14853" width="11" style="15" customWidth="1"/>
    <col min="14854" max="14857" width="11.28515625" style="15" customWidth="1"/>
    <col min="14858" max="14858" width="11" style="15" bestFit="1" customWidth="1"/>
    <col min="14859" max="14859" width="11.85546875" style="15" customWidth="1"/>
    <col min="14860" max="15100" width="9.140625" style="15"/>
    <col min="15101" max="15101" width="2.28515625" style="15" customWidth="1"/>
    <col min="15102" max="15102" width="9.140625" style="15"/>
    <col min="15103" max="15103" width="35.85546875" style="15" bestFit="1" customWidth="1"/>
    <col min="15104" max="15104" width="10.7109375" style="15" customWidth="1"/>
    <col min="15105" max="15105" width="8.85546875" style="15" customWidth="1"/>
    <col min="15106" max="15106" width="13" style="15" customWidth="1"/>
    <col min="15107" max="15107" width="8.5703125" style="15" customWidth="1"/>
    <col min="15108" max="15109" width="11" style="15" customWidth="1"/>
    <col min="15110" max="15113" width="11.28515625" style="15" customWidth="1"/>
    <col min="15114" max="15114" width="11" style="15" bestFit="1" customWidth="1"/>
    <col min="15115" max="15115" width="11.85546875" style="15" customWidth="1"/>
    <col min="15116" max="15356" width="9.140625" style="15"/>
    <col min="15357" max="15357" width="2.28515625" style="15" customWidth="1"/>
    <col min="15358" max="15358" width="9.140625" style="15"/>
    <col min="15359" max="15359" width="35.85546875" style="15" bestFit="1" customWidth="1"/>
    <col min="15360" max="15360" width="10.7109375" style="15" customWidth="1"/>
    <col min="15361" max="15361" width="8.85546875" style="15" customWidth="1"/>
    <col min="15362" max="15362" width="13" style="15" customWidth="1"/>
    <col min="15363" max="15363" width="8.5703125" style="15" customWidth="1"/>
    <col min="15364" max="15365" width="11" style="15" customWidth="1"/>
    <col min="15366" max="15369" width="11.28515625" style="15" customWidth="1"/>
    <col min="15370" max="15370" width="11" style="15" bestFit="1" customWidth="1"/>
    <col min="15371" max="15371" width="11.85546875" style="15" customWidth="1"/>
    <col min="15372" max="15612" width="9.140625" style="15"/>
    <col min="15613" max="15613" width="2.28515625" style="15" customWidth="1"/>
    <col min="15614" max="15614" width="9.140625" style="15"/>
    <col min="15615" max="15615" width="35.85546875" style="15" bestFit="1" customWidth="1"/>
    <col min="15616" max="15616" width="10.7109375" style="15" customWidth="1"/>
    <col min="15617" max="15617" width="8.85546875" style="15" customWidth="1"/>
    <col min="15618" max="15618" width="13" style="15" customWidth="1"/>
    <col min="15619" max="15619" width="8.5703125" style="15" customWidth="1"/>
    <col min="15620" max="15621" width="11" style="15" customWidth="1"/>
    <col min="15622" max="15625" width="11.28515625" style="15" customWidth="1"/>
    <col min="15626" max="15626" width="11" style="15" bestFit="1" customWidth="1"/>
    <col min="15627" max="15627" width="11.85546875" style="15" customWidth="1"/>
    <col min="15628" max="15868" width="9.140625" style="15"/>
    <col min="15869" max="15869" width="2.28515625" style="15" customWidth="1"/>
    <col min="15870" max="15870" width="9.140625" style="15"/>
    <col min="15871" max="15871" width="35.85546875" style="15" bestFit="1" customWidth="1"/>
    <col min="15872" max="15872" width="10.7109375" style="15" customWidth="1"/>
    <col min="15873" max="15873" width="8.85546875" style="15" customWidth="1"/>
    <col min="15874" max="15874" width="13" style="15" customWidth="1"/>
    <col min="15875" max="15875" width="8.5703125" style="15" customWidth="1"/>
    <col min="15876" max="15877" width="11" style="15" customWidth="1"/>
    <col min="15878" max="15881" width="11.28515625" style="15" customWidth="1"/>
    <col min="15882" max="15882" width="11" style="15" bestFit="1" customWidth="1"/>
    <col min="15883" max="15883" width="11.85546875" style="15" customWidth="1"/>
    <col min="15884" max="16124" width="9.140625" style="15"/>
    <col min="16125" max="16125" width="2.28515625" style="15" customWidth="1"/>
    <col min="16126" max="16126" width="9.140625" style="15"/>
    <col min="16127" max="16127" width="35.85546875" style="15" bestFit="1" customWidth="1"/>
    <col min="16128" max="16128" width="10.7109375" style="15" customWidth="1"/>
    <col min="16129" max="16129" width="8.85546875" style="15" customWidth="1"/>
    <col min="16130" max="16130" width="13" style="15" customWidth="1"/>
    <col min="16131" max="16131" width="8.5703125" style="15" customWidth="1"/>
    <col min="16132" max="16133" width="11" style="15" customWidth="1"/>
    <col min="16134" max="16137" width="11.28515625" style="15" customWidth="1"/>
    <col min="16138" max="16138" width="11" style="15" bestFit="1" customWidth="1"/>
    <col min="16139" max="16139" width="11.85546875" style="15" customWidth="1"/>
    <col min="16140" max="16384" width="9.140625" style="15"/>
  </cols>
  <sheetData>
    <row r="1" spans="1:17" ht="18">
      <c r="A1" s="443"/>
      <c r="B1" s="444"/>
      <c r="C1" s="444"/>
      <c r="D1" s="390"/>
      <c r="E1" s="390"/>
      <c r="F1" s="390"/>
      <c r="J1" s="502" t="str">
        <f>'2D_Service Life'!H1</f>
        <v>EB-2024-0130</v>
      </c>
    </row>
    <row r="2" spans="1:17" ht="15">
      <c r="B2" s="391"/>
      <c r="J2" s="502" t="str">
        <f>'2D_Service Life'!H2</f>
        <v>Exhibit 2</v>
      </c>
    </row>
    <row r="3" spans="1:17" ht="15">
      <c r="B3" s="391"/>
      <c r="J3" s="210">
        <f>'2D_Service Life'!H3</f>
        <v>45491</v>
      </c>
    </row>
    <row r="5" spans="1:17" ht="18">
      <c r="A5" s="552" t="s">
        <v>90</v>
      </c>
      <c r="B5" s="552"/>
      <c r="C5" s="552"/>
      <c r="D5" s="552"/>
      <c r="E5" s="552"/>
      <c r="F5" s="552"/>
      <c r="G5" s="552"/>
      <c r="H5" s="552"/>
      <c r="I5" s="552"/>
      <c r="J5" s="552"/>
      <c r="K5" s="111"/>
      <c r="Q5" s="15" t="s">
        <v>26</v>
      </c>
    </row>
    <row r="6" spans="1:17" ht="18">
      <c r="A6" s="552" t="s">
        <v>91</v>
      </c>
      <c r="B6" s="552"/>
      <c r="C6" s="552"/>
      <c r="D6" s="552"/>
      <c r="E6" s="552"/>
      <c r="F6" s="552"/>
      <c r="G6" s="552"/>
      <c r="H6" s="552"/>
      <c r="I6" s="552"/>
      <c r="J6" s="552"/>
      <c r="K6" s="111"/>
      <c r="Q6" s="15" t="s">
        <v>92</v>
      </c>
    </row>
    <row r="7" spans="1:17" ht="18">
      <c r="A7" s="440"/>
      <c r="B7" s="440"/>
      <c r="C7" s="440"/>
      <c r="D7" s="440"/>
      <c r="E7" s="440"/>
      <c r="F7" s="440"/>
      <c r="G7" s="440"/>
      <c r="H7" s="440"/>
      <c r="I7" s="440"/>
      <c r="J7" s="440"/>
      <c r="K7" s="440"/>
    </row>
    <row r="8" spans="1:17" ht="14.25" customHeight="1">
      <c r="A8" s="597" t="s">
        <v>484</v>
      </c>
      <c r="B8" s="598"/>
      <c r="C8" s="598"/>
      <c r="D8" s="598"/>
      <c r="E8" s="598"/>
      <c r="F8" s="598"/>
      <c r="G8" s="598"/>
      <c r="H8" s="599"/>
      <c r="I8" s="71"/>
      <c r="J8" s="71"/>
      <c r="K8" s="71"/>
      <c r="Q8" s="15" t="s">
        <v>93</v>
      </c>
    </row>
    <row r="9" spans="1:17">
      <c r="A9" s="445" t="s">
        <v>485</v>
      </c>
      <c r="B9" s="445" t="s">
        <v>95</v>
      </c>
      <c r="C9" s="445" t="s">
        <v>486</v>
      </c>
      <c r="D9" s="445" t="s">
        <v>487</v>
      </c>
      <c r="E9" s="445" t="s">
        <v>488</v>
      </c>
      <c r="F9" s="445" t="s">
        <v>489</v>
      </c>
      <c r="G9" s="445" t="s">
        <v>490</v>
      </c>
      <c r="H9" s="445" t="s">
        <v>491</v>
      </c>
    </row>
    <row r="10" spans="1:17">
      <c r="A10" s="47">
        <v>488</v>
      </c>
      <c r="B10" s="34" t="s">
        <v>264</v>
      </c>
      <c r="C10" s="446">
        <v>4930.55</v>
      </c>
      <c r="D10" s="446">
        <v>13021.16</v>
      </c>
      <c r="E10" s="446">
        <v>10850.86</v>
      </c>
      <c r="F10" s="446">
        <v>10911.32</v>
      </c>
      <c r="G10" s="446">
        <v>11663.056759698562</v>
      </c>
      <c r="H10" s="446">
        <v>12277.565765760544</v>
      </c>
    </row>
    <row r="11" spans="1:17">
      <c r="A11" s="47">
        <v>490</v>
      </c>
      <c r="B11" s="34" t="s">
        <v>261</v>
      </c>
      <c r="C11" s="446">
        <v>57723.38</v>
      </c>
      <c r="D11" s="446">
        <v>50204.85</v>
      </c>
      <c r="E11" s="446">
        <v>33003.54</v>
      </c>
      <c r="F11" s="446">
        <v>40071.49</v>
      </c>
      <c r="G11" s="446">
        <v>44281.701793016677</v>
      </c>
      <c r="H11" s="446">
        <v>32628.313559192396</v>
      </c>
    </row>
    <row r="12" spans="1:17">
      <c r="A12" s="47">
        <v>499</v>
      </c>
      <c r="B12" s="34" t="s">
        <v>350</v>
      </c>
      <c r="C12" s="446">
        <v>-3876.83</v>
      </c>
      <c r="D12" s="446">
        <v>-7642.63</v>
      </c>
      <c r="E12" s="446">
        <v>-7642.63</v>
      </c>
      <c r="F12" s="446">
        <v>-7642.63</v>
      </c>
      <c r="G12" s="446">
        <v>-8331.2631251497223</v>
      </c>
      <c r="H12" s="446">
        <v>-8331.2631251497223</v>
      </c>
    </row>
    <row r="13" spans="1:17">
      <c r="A13" s="44">
        <v>499</v>
      </c>
      <c r="B13" s="46" t="s">
        <v>351</v>
      </c>
      <c r="C13" s="446">
        <v>-1813.9</v>
      </c>
      <c r="D13" s="446">
        <v>-3701.54</v>
      </c>
      <c r="E13" s="446">
        <v>-5917.81</v>
      </c>
      <c r="F13" s="446">
        <v>-6663.47</v>
      </c>
      <c r="G13" s="446">
        <v>-7552.8940296334522</v>
      </c>
      <c r="H13" s="446">
        <v>-8130.9287117143776</v>
      </c>
    </row>
    <row r="14" spans="1:17">
      <c r="A14" s="44">
        <v>499</v>
      </c>
      <c r="B14" s="34" t="s">
        <v>352</v>
      </c>
      <c r="C14" s="446">
        <v>-331.57</v>
      </c>
      <c r="D14" s="446">
        <v>-331.57</v>
      </c>
      <c r="E14" s="446">
        <v>-331.57</v>
      </c>
      <c r="F14" s="446">
        <v>-331.57</v>
      </c>
      <c r="G14" s="446">
        <v>-361.44585233170966</v>
      </c>
      <c r="H14" s="446">
        <v>-361.44585233170966</v>
      </c>
    </row>
    <row r="15" spans="1:17">
      <c r="A15" s="44">
        <v>499</v>
      </c>
      <c r="B15" s="34" t="s">
        <v>353</v>
      </c>
      <c r="C15" s="446">
        <v>-3735.3500000000004</v>
      </c>
      <c r="D15" s="446">
        <v>-5654.35</v>
      </c>
      <c r="E15" s="446">
        <v>-7049.91</v>
      </c>
      <c r="F15" s="446">
        <v>-9406.49</v>
      </c>
      <c r="G15" s="446">
        <v>-10847.150568235198</v>
      </c>
      <c r="H15" s="446">
        <v>-12033.343036854445</v>
      </c>
    </row>
    <row r="16" spans="1:17">
      <c r="A16" s="44">
        <v>401</v>
      </c>
      <c r="B16" s="34" t="s">
        <v>354</v>
      </c>
      <c r="C16" s="446">
        <v>31492.48</v>
      </c>
      <c r="D16" s="446">
        <v>31618.75</v>
      </c>
      <c r="E16" s="446">
        <v>31618.75</v>
      </c>
      <c r="F16" s="446">
        <v>33425.43</v>
      </c>
      <c r="G16" s="446">
        <v>35232</v>
      </c>
      <c r="H16" s="446">
        <v>35232</v>
      </c>
    </row>
    <row r="17" spans="1:11" ht="15">
      <c r="A17" s="44">
        <v>483</v>
      </c>
      <c r="B17" s="34" t="s">
        <v>260</v>
      </c>
      <c r="C17" s="446">
        <v>3008.37</v>
      </c>
      <c r="D17" s="446">
        <v>9307.3700000000008</v>
      </c>
      <c r="E17" s="446">
        <v>7627.62</v>
      </c>
      <c r="F17" s="446">
        <v>7627.62</v>
      </c>
      <c r="G17" s="446">
        <v>7773.9921052461441</v>
      </c>
      <c r="H17" s="446">
        <v>7773.9921052461441</v>
      </c>
      <c r="K17" s="455"/>
    </row>
    <row r="18" spans="1:11">
      <c r="A18" s="44">
        <v>480</v>
      </c>
      <c r="B18" s="34" t="s">
        <v>44</v>
      </c>
      <c r="C18" s="446">
        <v>0</v>
      </c>
      <c r="D18" s="446">
        <v>0</v>
      </c>
      <c r="E18" s="446">
        <v>0</v>
      </c>
      <c r="F18" s="446">
        <v>0</v>
      </c>
      <c r="G18" s="446">
        <v>0</v>
      </c>
      <c r="H18" s="446">
        <v>0</v>
      </c>
    </row>
    <row r="19" spans="1:11">
      <c r="A19" s="44">
        <v>475</v>
      </c>
      <c r="B19" s="34" t="s">
        <v>300</v>
      </c>
      <c r="C19" s="446">
        <v>0</v>
      </c>
      <c r="D19" s="446">
        <v>0</v>
      </c>
      <c r="E19" s="446">
        <v>0</v>
      </c>
      <c r="F19" s="446">
        <v>0</v>
      </c>
      <c r="G19" s="446">
        <v>0</v>
      </c>
      <c r="H19" s="446">
        <v>0</v>
      </c>
    </row>
    <row r="20" spans="1:11">
      <c r="A20" s="44">
        <v>475</v>
      </c>
      <c r="B20" s="34" t="s">
        <v>301</v>
      </c>
      <c r="C20" s="446">
        <v>69946.510000000009</v>
      </c>
      <c r="D20" s="446">
        <v>80109.78</v>
      </c>
      <c r="E20" s="446">
        <v>81363.31</v>
      </c>
      <c r="F20" s="446">
        <v>78663.210000000006</v>
      </c>
      <c r="G20" s="446">
        <v>83143.034202414725</v>
      </c>
      <c r="H20" s="446">
        <v>89083.628261820675</v>
      </c>
    </row>
    <row r="21" spans="1:11">
      <c r="A21" s="44">
        <v>475</v>
      </c>
      <c r="B21" s="34" t="s">
        <v>302</v>
      </c>
      <c r="C21" s="446">
        <v>252941.53</v>
      </c>
      <c r="D21" s="446">
        <v>271860.08</v>
      </c>
      <c r="E21" s="446">
        <v>283681.65999999997</v>
      </c>
      <c r="F21" s="446">
        <v>301095.17</v>
      </c>
      <c r="G21" s="446">
        <v>332081.78094101069</v>
      </c>
      <c r="H21" s="446">
        <v>373259.81562309165</v>
      </c>
    </row>
    <row r="22" spans="1:11">
      <c r="A22" s="44">
        <v>477</v>
      </c>
      <c r="B22" s="34" t="s">
        <v>299</v>
      </c>
      <c r="C22" s="446">
        <v>28038.63</v>
      </c>
      <c r="D22" s="446">
        <v>32657.77</v>
      </c>
      <c r="E22" s="446">
        <v>34521.380000000005</v>
      </c>
      <c r="F22" s="446">
        <v>41014.19</v>
      </c>
      <c r="G22" s="446">
        <v>48469.851730232942</v>
      </c>
      <c r="H22" s="446">
        <v>56525.400510720749</v>
      </c>
    </row>
    <row r="23" spans="1:11">
      <c r="A23" s="44">
        <v>477</v>
      </c>
      <c r="B23" s="34" t="s">
        <v>355</v>
      </c>
      <c r="C23" s="446">
        <v>21086.59</v>
      </c>
      <c r="D23" s="446">
        <v>21086.59</v>
      </c>
      <c r="E23" s="446">
        <v>21086.59</v>
      </c>
      <c r="F23" s="446">
        <v>21086.59</v>
      </c>
      <c r="G23" s="446">
        <v>21086.59</v>
      </c>
      <c r="H23" s="446">
        <v>21086.59</v>
      </c>
    </row>
    <row r="24" spans="1:11">
      <c r="A24" s="44">
        <v>478</v>
      </c>
      <c r="B24" s="34" t="s">
        <v>268</v>
      </c>
      <c r="C24" s="446">
        <v>63773.08</v>
      </c>
      <c r="D24" s="446">
        <v>69089.759999999995</v>
      </c>
      <c r="E24" s="446">
        <v>74404.22</v>
      </c>
      <c r="F24" s="446">
        <v>76601.83</v>
      </c>
      <c r="G24" s="446">
        <v>82071.799810085897</v>
      </c>
      <c r="H24" s="446">
        <v>89996.799810085897</v>
      </c>
    </row>
    <row r="25" spans="1:11">
      <c r="A25" s="44">
        <v>478</v>
      </c>
      <c r="B25" s="34" t="s">
        <v>298</v>
      </c>
      <c r="C25" s="446">
        <v>8078.84</v>
      </c>
      <c r="D25" s="446">
        <v>0</v>
      </c>
      <c r="E25" s="446">
        <v>0</v>
      </c>
      <c r="F25" s="446">
        <v>0</v>
      </c>
      <c r="G25" s="446">
        <v>0</v>
      </c>
      <c r="H25" s="446">
        <v>0</v>
      </c>
    </row>
    <row r="26" spans="1:11">
      <c r="A26" s="44">
        <v>478</v>
      </c>
      <c r="B26" s="34" t="s">
        <v>297</v>
      </c>
      <c r="C26" s="446">
        <v>283218.64</v>
      </c>
      <c r="D26" s="446">
        <v>142271.54999999999</v>
      </c>
      <c r="E26" s="446">
        <v>154415.91</v>
      </c>
      <c r="F26" s="446">
        <v>176445.31</v>
      </c>
      <c r="G26" s="446">
        <v>221063.25102557661</v>
      </c>
      <c r="H26" s="446">
        <v>293692.54285961087</v>
      </c>
    </row>
    <row r="27" spans="1:11">
      <c r="A27" s="44">
        <v>474</v>
      </c>
      <c r="B27" s="46" t="s">
        <v>270</v>
      </c>
      <c r="C27" s="446">
        <v>11650.61</v>
      </c>
      <c r="D27" s="446">
        <v>14841.62</v>
      </c>
      <c r="E27" s="446">
        <v>17912.47</v>
      </c>
      <c r="F27" s="446">
        <v>21445.5</v>
      </c>
      <c r="G27" s="446">
        <v>29500.783739627324</v>
      </c>
      <c r="H27" s="446">
        <v>43538.033739627324</v>
      </c>
    </row>
    <row r="28" spans="1:11">
      <c r="A28" s="44">
        <v>473</v>
      </c>
      <c r="B28" s="46" t="s">
        <v>303</v>
      </c>
      <c r="C28" s="446">
        <v>47548</v>
      </c>
      <c r="D28" s="446">
        <v>64775.92</v>
      </c>
      <c r="E28" s="446">
        <v>75198.47</v>
      </c>
      <c r="F28" s="446">
        <v>90416.81</v>
      </c>
      <c r="G28" s="446">
        <v>102589.87742599718</v>
      </c>
      <c r="H28" s="446">
        <v>123272.55525026497</v>
      </c>
    </row>
    <row r="29" spans="1:11">
      <c r="A29" s="44">
        <v>491</v>
      </c>
      <c r="B29" s="34" t="s">
        <v>262</v>
      </c>
      <c r="C29" s="446">
        <v>28647.25</v>
      </c>
      <c r="D29" s="446">
        <v>33233.96</v>
      </c>
      <c r="E29" s="446">
        <v>35973.269999999997</v>
      </c>
      <c r="F29" s="446">
        <v>40635.800000000003</v>
      </c>
      <c r="G29" s="446">
        <v>42591.626066882833</v>
      </c>
      <c r="H29" s="446">
        <v>43063.906066882832</v>
      </c>
    </row>
    <row r="30" spans="1:11">
      <c r="A30" s="44">
        <v>482</v>
      </c>
      <c r="B30" s="34" t="s">
        <v>304</v>
      </c>
      <c r="C30" s="446">
        <v>11304.21</v>
      </c>
      <c r="D30" s="446">
        <v>11304.21</v>
      </c>
      <c r="E30" s="446">
        <v>11304.21</v>
      </c>
      <c r="F30" s="446">
        <v>12100.32</v>
      </c>
      <c r="G30" s="446">
        <v>12332.522090894938</v>
      </c>
      <c r="H30" s="446">
        <v>13518.410090894937</v>
      </c>
    </row>
    <row r="31" spans="1:11">
      <c r="A31" s="44">
        <v>486</v>
      </c>
      <c r="B31" s="34" t="s">
        <v>263</v>
      </c>
      <c r="C31" s="446">
        <v>17212.78</v>
      </c>
      <c r="D31" s="446">
        <v>17734.099999999999</v>
      </c>
      <c r="E31" s="446">
        <v>20364.849999999999</v>
      </c>
      <c r="F31" s="446">
        <v>24250.05</v>
      </c>
      <c r="G31" s="446">
        <v>25495.402347236006</v>
      </c>
      <c r="H31" s="446">
        <v>27043.069013902674</v>
      </c>
    </row>
    <row r="32" spans="1:11">
      <c r="A32" s="44">
        <v>485</v>
      </c>
      <c r="B32" s="34" t="s">
        <v>306</v>
      </c>
      <c r="C32" s="446">
        <v>2291.3000000000002</v>
      </c>
      <c r="D32" s="446">
        <v>2291.3000000000002</v>
      </c>
      <c r="E32" s="446">
        <v>2291.3000000000002</v>
      </c>
      <c r="F32" s="446">
        <v>2291.3000000000002</v>
      </c>
      <c r="G32" s="446">
        <v>2335.2694694741599</v>
      </c>
      <c r="H32" s="446">
        <v>2335.2694694741599</v>
      </c>
    </row>
    <row r="33" spans="1:8">
      <c r="A33" s="44">
        <v>484</v>
      </c>
      <c r="B33" s="34" t="s">
        <v>305</v>
      </c>
      <c r="C33" s="446">
        <v>47658.689999999995</v>
      </c>
      <c r="D33" s="446">
        <v>52780.42</v>
      </c>
      <c r="E33" s="446">
        <v>61807.390000000007</v>
      </c>
      <c r="F33" s="446">
        <v>74840.47</v>
      </c>
      <c r="G33" s="446">
        <v>84809.973088972823</v>
      </c>
      <c r="H33" s="446">
        <v>85328.385482700702</v>
      </c>
    </row>
    <row r="34" spans="1:8">
      <c r="A34" s="44"/>
      <c r="B34" s="34" t="s">
        <v>492</v>
      </c>
      <c r="C34" s="446">
        <v>-151840.95000000001</v>
      </c>
      <c r="D34" s="446">
        <v>0</v>
      </c>
      <c r="E34" s="446">
        <v>0</v>
      </c>
      <c r="F34" s="446">
        <v>0</v>
      </c>
      <c r="G34" s="446">
        <v>0</v>
      </c>
      <c r="H34" s="446">
        <v>0</v>
      </c>
    </row>
    <row r="35" spans="1:8">
      <c r="A35" s="447" t="s">
        <v>6</v>
      </c>
      <c r="B35" s="56"/>
      <c r="C35" s="446">
        <f>SUM(C10:C34)</f>
        <v>828952.84000000008</v>
      </c>
      <c r="D35" s="446">
        <f t="shared" ref="D35:H35" si="0">SUM(D10:D34)</f>
        <v>900859.10000000009</v>
      </c>
      <c r="E35" s="446">
        <f t="shared" si="0"/>
        <v>936483.88</v>
      </c>
      <c r="F35" s="446">
        <f t="shared" si="0"/>
        <v>1028878.2500000001</v>
      </c>
      <c r="G35" s="446">
        <f t="shared" si="0"/>
        <v>1159429.7590210175</v>
      </c>
      <c r="H35" s="446">
        <f t="shared" si="0"/>
        <v>1320799.2968832264</v>
      </c>
    </row>
    <row r="38" spans="1:8">
      <c r="A38" s="600" t="s">
        <v>493</v>
      </c>
      <c r="B38" s="601"/>
      <c r="C38" s="601"/>
      <c r="D38" s="601"/>
      <c r="E38" s="601"/>
      <c r="F38" s="601"/>
      <c r="G38" s="601"/>
      <c r="H38" s="602"/>
    </row>
    <row r="39" spans="1:8" ht="25.5">
      <c r="A39" s="445" t="s">
        <v>485</v>
      </c>
      <c r="B39" s="445" t="s">
        <v>95</v>
      </c>
      <c r="C39" s="448" t="s">
        <v>494</v>
      </c>
      <c r="D39" s="445" t="s">
        <v>495</v>
      </c>
      <c r="E39" s="445" t="s">
        <v>496</v>
      </c>
      <c r="F39" s="448" t="s">
        <v>497</v>
      </c>
      <c r="G39" s="448" t="s">
        <v>498</v>
      </c>
      <c r="H39" s="445" t="s">
        <v>499</v>
      </c>
    </row>
    <row r="40" spans="1:8">
      <c r="A40" s="27"/>
      <c r="B40" s="28"/>
      <c r="C40" s="29" t="s">
        <v>96</v>
      </c>
      <c r="D40" s="29" t="s">
        <v>97</v>
      </c>
      <c r="E40" s="29" t="s">
        <v>98</v>
      </c>
      <c r="F40" s="29" t="s">
        <v>99</v>
      </c>
      <c r="G40" s="29" t="s">
        <v>500</v>
      </c>
      <c r="H40" s="29" t="s">
        <v>501</v>
      </c>
    </row>
    <row r="41" spans="1:8">
      <c r="A41" s="47">
        <v>488</v>
      </c>
      <c r="B41" s="34" t="s">
        <v>264</v>
      </c>
      <c r="C41" s="449">
        <v>313003.45999999996</v>
      </c>
      <c r="D41" s="449">
        <v>12530</v>
      </c>
      <c r="E41" s="450">
        <v>6.6699999999999995E-2</v>
      </c>
      <c r="F41" s="449">
        <v>11245.181259698562</v>
      </c>
      <c r="G41" s="449">
        <f>D41*E41*0.5</f>
        <v>417.87549999999999</v>
      </c>
      <c r="H41" s="449">
        <f>F41+G41</f>
        <v>11663.056759698562</v>
      </c>
    </row>
    <row r="42" spans="1:8">
      <c r="A42" s="47">
        <v>490</v>
      </c>
      <c r="B42" s="34" t="s">
        <v>261</v>
      </c>
      <c r="C42" s="449">
        <v>581100.5</v>
      </c>
      <c r="D42" s="449">
        <v>27530</v>
      </c>
      <c r="E42" s="450">
        <v>0.25</v>
      </c>
      <c r="F42" s="449">
        <v>40840.451793016677</v>
      </c>
      <c r="G42" s="449">
        <f t="shared" ref="G42:G64" si="1">D42*E42*0.5</f>
        <v>3441.25</v>
      </c>
      <c r="H42" s="449">
        <f t="shared" ref="H42:H64" si="2">F42+G42</f>
        <v>44281.701793016677</v>
      </c>
    </row>
    <row r="43" spans="1:8">
      <c r="A43" s="47">
        <v>499</v>
      </c>
      <c r="B43" s="34" t="s">
        <v>350</v>
      </c>
      <c r="C43" s="451">
        <v>-376287.94</v>
      </c>
      <c r="D43" s="451">
        <v>0</v>
      </c>
      <c r="E43" s="452">
        <v>1.9800000000000002E-2</v>
      </c>
      <c r="F43" s="451">
        <v>-8331.2631251497223</v>
      </c>
      <c r="G43" s="451">
        <f t="shared" si="1"/>
        <v>0</v>
      </c>
      <c r="H43" s="451">
        <f t="shared" si="2"/>
        <v>-8331.2631251497223</v>
      </c>
    </row>
    <row r="44" spans="1:8">
      <c r="A44" s="44">
        <v>499</v>
      </c>
      <c r="B44" s="46" t="s">
        <v>351</v>
      </c>
      <c r="C44" s="451">
        <v>-292496.40000000002</v>
      </c>
      <c r="D44" s="451">
        <v>-25000</v>
      </c>
      <c r="E44" s="452">
        <v>2.3099999999999999E-2</v>
      </c>
      <c r="F44" s="451">
        <v>-7264.1440296334522</v>
      </c>
      <c r="G44" s="451">
        <f t="shared" si="1"/>
        <v>-288.75</v>
      </c>
      <c r="H44" s="451">
        <f t="shared" si="2"/>
        <v>-7552.8940296334522</v>
      </c>
    </row>
    <row r="45" spans="1:8">
      <c r="A45" s="44">
        <v>499</v>
      </c>
      <c r="B45" s="34" t="s">
        <v>352</v>
      </c>
      <c r="C45" s="451">
        <v>-13207.81</v>
      </c>
      <c r="D45" s="451">
        <v>0</v>
      </c>
      <c r="E45" s="452">
        <v>2.8299999999999999E-2</v>
      </c>
      <c r="F45" s="451">
        <v>-361.44585233170966</v>
      </c>
      <c r="G45" s="451">
        <f t="shared" si="1"/>
        <v>0</v>
      </c>
      <c r="H45" s="451">
        <f t="shared" si="2"/>
        <v>-361.44585233170966</v>
      </c>
    </row>
    <row r="46" spans="1:8">
      <c r="A46" s="44">
        <v>499</v>
      </c>
      <c r="B46" s="34" t="s">
        <v>353</v>
      </c>
      <c r="C46" s="451">
        <v>-457029.73</v>
      </c>
      <c r="D46" s="451">
        <v>-47250</v>
      </c>
      <c r="E46" s="452">
        <v>2.5100000000000001E-2</v>
      </c>
      <c r="F46" s="451">
        <v>-10254.163068235199</v>
      </c>
      <c r="G46" s="451">
        <f t="shared" si="1"/>
        <v>-592.98750000000007</v>
      </c>
      <c r="H46" s="451">
        <f t="shared" si="2"/>
        <v>-10847.150568235198</v>
      </c>
    </row>
    <row r="47" spans="1:8">
      <c r="A47" s="44">
        <v>401</v>
      </c>
      <c r="B47" s="34" t="s">
        <v>354</v>
      </c>
      <c r="C47" s="451">
        <v>842666.73999999987</v>
      </c>
      <c r="D47" s="451">
        <v>0</v>
      </c>
      <c r="E47" s="452">
        <v>4.8000000000000001E-2</v>
      </c>
      <c r="F47" s="451">
        <v>35232</v>
      </c>
      <c r="G47" s="451">
        <f t="shared" si="1"/>
        <v>0</v>
      </c>
      <c r="H47" s="451">
        <f t="shared" si="2"/>
        <v>35232</v>
      </c>
    </row>
    <row r="48" spans="1:8">
      <c r="A48" s="44">
        <v>483</v>
      </c>
      <c r="B48" s="34" t="s">
        <v>260</v>
      </c>
      <c r="C48" s="451">
        <v>200719.96</v>
      </c>
      <c r="D48" s="451">
        <v>0</v>
      </c>
      <c r="E48" s="452">
        <v>6.6699999999999995E-2</v>
      </c>
      <c r="F48" s="451">
        <v>7773.9921052461441</v>
      </c>
      <c r="G48" s="451">
        <f t="shared" si="1"/>
        <v>0</v>
      </c>
      <c r="H48" s="451">
        <f t="shared" si="2"/>
        <v>7773.9921052461441</v>
      </c>
    </row>
    <row r="49" spans="1:8">
      <c r="A49" s="44">
        <v>480</v>
      </c>
      <c r="B49" s="34" t="s">
        <v>44</v>
      </c>
      <c r="C49" s="451">
        <v>82653.239999999991</v>
      </c>
      <c r="D49" s="451">
        <v>0</v>
      </c>
      <c r="E49" s="452">
        <v>0</v>
      </c>
      <c r="F49" s="451">
        <v>0</v>
      </c>
      <c r="G49" s="451">
        <f t="shared" si="1"/>
        <v>0</v>
      </c>
      <c r="H49" s="451">
        <f t="shared" si="2"/>
        <v>0</v>
      </c>
    </row>
    <row r="50" spans="1:8">
      <c r="A50" s="44">
        <v>475</v>
      </c>
      <c r="B50" s="34" t="s">
        <v>300</v>
      </c>
      <c r="C50" s="451">
        <v>0</v>
      </c>
      <c r="D50" s="451">
        <v>0</v>
      </c>
      <c r="E50" s="452">
        <v>2.8299999999999999E-2</v>
      </c>
      <c r="F50" s="451">
        <v>0</v>
      </c>
      <c r="G50" s="451">
        <f t="shared" si="1"/>
        <v>0</v>
      </c>
      <c r="H50" s="451">
        <f t="shared" si="2"/>
        <v>0</v>
      </c>
    </row>
    <row r="51" spans="1:8">
      <c r="A51" s="44">
        <v>475</v>
      </c>
      <c r="B51" s="34" t="s">
        <v>301</v>
      </c>
      <c r="C51" s="451">
        <v>6230973.9499999993</v>
      </c>
      <c r="D51" s="451">
        <v>300000</v>
      </c>
      <c r="E51" s="452">
        <v>1.9800000000000002E-2</v>
      </c>
      <c r="F51" s="451">
        <v>80173.034202414725</v>
      </c>
      <c r="G51" s="451">
        <f t="shared" si="1"/>
        <v>2970.0000000000005</v>
      </c>
      <c r="H51" s="451">
        <f t="shared" si="2"/>
        <v>83143.034202414725</v>
      </c>
    </row>
    <row r="52" spans="1:8">
      <c r="A52" s="44">
        <v>475</v>
      </c>
      <c r="B52" s="34" t="s">
        <v>302</v>
      </c>
      <c r="C52" s="451">
        <v>16153236.049999999</v>
      </c>
      <c r="D52" s="451">
        <v>2180550</v>
      </c>
      <c r="E52" s="452">
        <v>2.3099999999999999E-2</v>
      </c>
      <c r="F52" s="451">
        <v>306896.42844101071</v>
      </c>
      <c r="G52" s="451">
        <f t="shared" si="1"/>
        <v>25185.352499999997</v>
      </c>
      <c r="H52" s="451">
        <f t="shared" si="2"/>
        <v>332081.78094101069</v>
      </c>
    </row>
    <row r="53" spans="1:8">
      <c r="A53" s="44">
        <v>477</v>
      </c>
      <c r="B53" s="34" t="s">
        <v>299</v>
      </c>
      <c r="C53" s="451">
        <v>2098729</v>
      </c>
      <c r="D53" s="451">
        <v>342430</v>
      </c>
      <c r="E53" s="452">
        <v>3.6600000000000001E-2</v>
      </c>
      <c r="F53" s="451">
        <v>42203.382730232945</v>
      </c>
      <c r="G53" s="451">
        <f t="shared" si="1"/>
        <v>6266.4690000000001</v>
      </c>
      <c r="H53" s="451">
        <f t="shared" si="2"/>
        <v>48469.851730232942</v>
      </c>
    </row>
    <row r="54" spans="1:8">
      <c r="A54" s="44">
        <v>477</v>
      </c>
      <c r="B54" s="34" t="s">
        <v>355</v>
      </c>
      <c r="C54" s="451">
        <v>576367.02</v>
      </c>
      <c r="D54" s="451">
        <v>0</v>
      </c>
      <c r="E54" s="452">
        <v>3.6600000000000001E-2</v>
      </c>
      <c r="F54" s="451">
        <v>21086.59</v>
      </c>
      <c r="G54" s="451">
        <f t="shared" si="1"/>
        <v>0</v>
      </c>
      <c r="H54" s="451">
        <f t="shared" si="2"/>
        <v>21086.59</v>
      </c>
    </row>
    <row r="55" spans="1:8">
      <c r="A55" s="44">
        <v>478</v>
      </c>
      <c r="B55" s="34" t="s">
        <v>268</v>
      </c>
      <c r="C55" s="449">
        <v>1926249.47</v>
      </c>
      <c r="D55" s="449">
        <v>160000</v>
      </c>
      <c r="E55" s="450">
        <v>0.05</v>
      </c>
      <c r="F55" s="449">
        <v>78071.799810085897</v>
      </c>
      <c r="G55" s="449">
        <f t="shared" si="1"/>
        <v>4000</v>
      </c>
      <c r="H55" s="449">
        <f t="shared" si="2"/>
        <v>82071.799810085897</v>
      </c>
    </row>
    <row r="56" spans="1:8">
      <c r="A56" s="44">
        <v>478</v>
      </c>
      <c r="B56" s="34" t="s">
        <v>298</v>
      </c>
      <c r="C56" s="449">
        <v>14139.4</v>
      </c>
      <c r="D56" s="449">
        <v>0</v>
      </c>
      <c r="E56" s="450">
        <v>0.16669999999999999</v>
      </c>
      <c r="F56" s="449">
        <v>0</v>
      </c>
      <c r="G56" s="449">
        <f t="shared" si="1"/>
        <v>0</v>
      </c>
      <c r="H56" s="449">
        <f t="shared" si="2"/>
        <v>0</v>
      </c>
    </row>
    <row r="57" spans="1:8">
      <c r="A57" s="44">
        <v>478</v>
      </c>
      <c r="B57" s="34" t="s">
        <v>297</v>
      </c>
      <c r="C57" s="449">
        <v>2623113.1999999997</v>
      </c>
      <c r="D57" s="449">
        <v>824640</v>
      </c>
      <c r="E57" s="450">
        <v>0.1</v>
      </c>
      <c r="F57" s="449">
        <v>179831.25102557661</v>
      </c>
      <c r="G57" s="449">
        <f t="shared" si="1"/>
        <v>41232</v>
      </c>
      <c r="H57" s="449">
        <f t="shared" si="2"/>
        <v>221063.25102557661</v>
      </c>
    </row>
    <row r="58" spans="1:8">
      <c r="A58" s="44">
        <v>474</v>
      </c>
      <c r="B58" s="46" t="s">
        <v>270</v>
      </c>
      <c r="C58" s="449">
        <v>807745.57</v>
      </c>
      <c r="D58" s="449">
        <v>305750</v>
      </c>
      <c r="E58" s="450">
        <v>0.05</v>
      </c>
      <c r="F58" s="449">
        <v>21857.033739627324</v>
      </c>
      <c r="G58" s="449">
        <f t="shared" si="1"/>
        <v>7643.75</v>
      </c>
      <c r="H58" s="449">
        <f t="shared" si="2"/>
        <v>29500.783739627324</v>
      </c>
    </row>
    <row r="59" spans="1:8">
      <c r="A59" s="44">
        <v>473</v>
      </c>
      <c r="B59" s="46" t="s">
        <v>303</v>
      </c>
      <c r="C59" s="449">
        <v>6614832.3200000003</v>
      </c>
      <c r="D59" s="449">
        <v>831560</v>
      </c>
      <c r="E59" s="450">
        <v>2.5100000000000001E-2</v>
      </c>
      <c r="F59" s="449">
        <v>92153.799425997189</v>
      </c>
      <c r="G59" s="449">
        <f t="shared" si="1"/>
        <v>10436.078</v>
      </c>
      <c r="H59" s="449">
        <f t="shared" si="2"/>
        <v>102589.87742599718</v>
      </c>
    </row>
    <row r="60" spans="1:8">
      <c r="A60" s="44">
        <v>491</v>
      </c>
      <c r="B60" s="34" t="s">
        <v>262</v>
      </c>
      <c r="C60" s="449">
        <v>748286.65999999992</v>
      </c>
      <c r="D60" s="449">
        <v>6400</v>
      </c>
      <c r="E60" s="450">
        <v>0.1</v>
      </c>
      <c r="F60" s="449">
        <v>42271.626066882833</v>
      </c>
      <c r="G60" s="449">
        <f t="shared" si="1"/>
        <v>320</v>
      </c>
      <c r="H60" s="449">
        <f t="shared" si="2"/>
        <v>42591.626066882833</v>
      </c>
    </row>
    <row r="61" spans="1:8">
      <c r="A61" s="44">
        <v>482</v>
      </c>
      <c r="B61" s="34" t="s">
        <v>304</v>
      </c>
      <c r="C61" s="449">
        <v>782561.52</v>
      </c>
      <c r="D61" s="449">
        <v>0</v>
      </c>
      <c r="E61" s="450">
        <v>1.9199999999999998E-2</v>
      </c>
      <c r="F61" s="449">
        <v>12332.522090894938</v>
      </c>
      <c r="G61" s="449">
        <f t="shared" si="1"/>
        <v>0</v>
      </c>
      <c r="H61" s="449">
        <f t="shared" si="2"/>
        <v>12332.522090894938</v>
      </c>
    </row>
    <row r="62" spans="1:8">
      <c r="A62" s="44">
        <v>486</v>
      </c>
      <c r="B62" s="34" t="s">
        <v>263</v>
      </c>
      <c r="C62" s="449">
        <v>894278.56000000017</v>
      </c>
      <c r="D62" s="449">
        <v>23400</v>
      </c>
      <c r="E62" s="450">
        <v>6.6699999999999995E-2</v>
      </c>
      <c r="F62" s="449">
        <v>24715.012347236006</v>
      </c>
      <c r="G62" s="449">
        <f t="shared" si="1"/>
        <v>780.39</v>
      </c>
      <c r="H62" s="449">
        <f t="shared" si="2"/>
        <v>25495.402347236006</v>
      </c>
    </row>
    <row r="63" spans="1:8">
      <c r="A63" s="44">
        <v>485</v>
      </c>
      <c r="B63" s="34" t="s">
        <v>306</v>
      </c>
      <c r="C63" s="449">
        <v>33032.959999999999</v>
      </c>
      <c r="D63" s="449">
        <v>0</v>
      </c>
      <c r="E63" s="450">
        <v>6.9199999999999998E-2</v>
      </c>
      <c r="F63" s="449">
        <v>2335.2694694741599</v>
      </c>
      <c r="G63" s="449">
        <f t="shared" si="1"/>
        <v>0</v>
      </c>
      <c r="H63" s="449">
        <f t="shared" si="2"/>
        <v>2335.2694694741599</v>
      </c>
    </row>
    <row r="64" spans="1:8">
      <c r="A64" s="44">
        <v>484</v>
      </c>
      <c r="B64" s="34" t="s">
        <v>305</v>
      </c>
      <c r="C64" s="449">
        <v>771093.39999999991</v>
      </c>
      <c r="D64" s="449">
        <v>102400</v>
      </c>
      <c r="E64" s="450">
        <v>0.16600000000000001</v>
      </c>
      <c r="F64" s="449">
        <v>76310.773088972826</v>
      </c>
      <c r="G64" s="449">
        <f t="shared" si="1"/>
        <v>8499.2000000000007</v>
      </c>
      <c r="H64" s="449">
        <f t="shared" si="2"/>
        <v>84809.973088972823</v>
      </c>
    </row>
    <row r="65" spans="1:10">
      <c r="A65" s="447" t="s">
        <v>6</v>
      </c>
      <c r="B65" s="56"/>
      <c r="C65" s="453">
        <f>SUM(C41:C64)</f>
        <v>41155761.099999994</v>
      </c>
      <c r="D65" s="453">
        <f>SUM(D41:D64)</f>
        <v>5044940</v>
      </c>
      <c r="E65" s="453"/>
      <c r="F65" s="453">
        <f t="shared" ref="F65:H65" si="3">SUM(F41:F64)</f>
        <v>1049119.1315210178</v>
      </c>
      <c r="G65" s="453">
        <f t="shared" si="3"/>
        <v>110310.62749999999</v>
      </c>
      <c r="H65" s="453">
        <f t="shared" si="3"/>
        <v>1159429.7590210175</v>
      </c>
    </row>
    <row r="68" spans="1:10">
      <c r="A68" s="600" t="s">
        <v>502</v>
      </c>
      <c r="B68" s="601"/>
      <c r="C68" s="601"/>
      <c r="D68" s="601"/>
      <c r="E68" s="601"/>
      <c r="F68" s="601"/>
      <c r="G68" s="601"/>
      <c r="H68" s="601"/>
      <c r="I68" s="601"/>
      <c r="J68" s="602"/>
    </row>
    <row r="69" spans="1:10" ht="25.5">
      <c r="A69" s="454" t="s">
        <v>485</v>
      </c>
      <c r="B69" s="454" t="s">
        <v>95</v>
      </c>
      <c r="C69" s="454" t="s">
        <v>494</v>
      </c>
      <c r="D69" s="454" t="s">
        <v>495</v>
      </c>
      <c r="E69" s="454" t="s">
        <v>503</v>
      </c>
      <c r="F69" s="454" t="s">
        <v>496</v>
      </c>
      <c r="G69" s="454" t="s">
        <v>497</v>
      </c>
      <c r="H69" s="454" t="s">
        <v>498</v>
      </c>
      <c r="I69" s="454" t="s">
        <v>504</v>
      </c>
      <c r="J69" s="454" t="s">
        <v>499</v>
      </c>
    </row>
    <row r="70" spans="1:10">
      <c r="A70" s="27"/>
      <c r="B70" s="28"/>
      <c r="C70" s="29" t="s">
        <v>96</v>
      </c>
      <c r="D70" s="29" t="s">
        <v>97</v>
      </c>
      <c r="E70" s="29" t="s">
        <v>98</v>
      </c>
      <c r="F70" s="29" t="s">
        <v>99</v>
      </c>
      <c r="G70" s="29" t="s">
        <v>100</v>
      </c>
      <c r="H70" s="29" t="s">
        <v>505</v>
      </c>
      <c r="I70" s="29" t="s">
        <v>506</v>
      </c>
      <c r="J70" s="29" t="s">
        <v>507</v>
      </c>
    </row>
    <row r="71" spans="1:10">
      <c r="A71" s="47">
        <v>488</v>
      </c>
      <c r="B71" s="34" t="s">
        <v>264</v>
      </c>
      <c r="C71" s="449">
        <v>313003.45999999996</v>
      </c>
      <c r="D71" s="449">
        <v>12530</v>
      </c>
      <c r="E71" s="449">
        <v>17525</v>
      </c>
      <c r="F71" s="450">
        <v>6.6699999999999995E-2</v>
      </c>
      <c r="G71" s="449">
        <v>10857.356015760544</v>
      </c>
      <c r="H71" s="449">
        <f>D71*F71</f>
        <v>835.75099999999998</v>
      </c>
      <c r="I71" s="449">
        <f>E71*F71*0.5</f>
        <v>584.45875000000001</v>
      </c>
      <c r="J71" s="449">
        <f>SUM(G71:I71)</f>
        <v>12277.565765760544</v>
      </c>
    </row>
    <row r="72" spans="1:10">
      <c r="A72" s="47">
        <v>490</v>
      </c>
      <c r="B72" s="34" t="s">
        <v>261</v>
      </c>
      <c r="C72" s="449">
        <v>581100.5</v>
      </c>
      <c r="D72" s="449">
        <v>27530</v>
      </c>
      <c r="E72" s="449">
        <v>57525</v>
      </c>
      <c r="F72" s="450">
        <v>0.25</v>
      </c>
      <c r="G72" s="449">
        <v>18555.188559192396</v>
      </c>
      <c r="H72" s="449">
        <f t="shared" ref="H72:H94" si="4">D72*F72</f>
        <v>6882.5</v>
      </c>
      <c r="I72" s="449">
        <f t="shared" ref="I72:I94" si="5">E72*F72*0.5</f>
        <v>7190.625</v>
      </c>
      <c r="J72" s="449">
        <f t="shared" ref="J72:J94" si="6">SUM(G72:I72)</f>
        <v>32628.313559192396</v>
      </c>
    </row>
    <row r="73" spans="1:10">
      <c r="A73" s="47">
        <v>499</v>
      </c>
      <c r="B73" s="34" t="s">
        <v>350</v>
      </c>
      <c r="C73" s="451">
        <v>-376287.94</v>
      </c>
      <c r="D73" s="451">
        <v>0</v>
      </c>
      <c r="E73" s="449">
        <v>0</v>
      </c>
      <c r="F73" s="452">
        <v>1.9800000000000002E-2</v>
      </c>
      <c r="G73" s="449">
        <v>-8331.2631251497223</v>
      </c>
      <c r="H73" s="449">
        <f t="shared" si="4"/>
        <v>0</v>
      </c>
      <c r="I73" s="449">
        <f t="shared" si="5"/>
        <v>0</v>
      </c>
      <c r="J73" s="449">
        <f t="shared" si="6"/>
        <v>-8331.2631251497223</v>
      </c>
    </row>
    <row r="74" spans="1:10">
      <c r="A74" s="44">
        <v>499</v>
      </c>
      <c r="B74" s="46" t="s">
        <v>351</v>
      </c>
      <c r="C74" s="451">
        <v>-292496.40000000002</v>
      </c>
      <c r="D74" s="451">
        <v>-25000</v>
      </c>
      <c r="E74" s="449">
        <v>-25000</v>
      </c>
      <c r="F74" s="452">
        <v>2.3099999999999999E-2</v>
      </c>
      <c r="G74" s="449">
        <v>-7264.6787117143776</v>
      </c>
      <c r="H74" s="449">
        <f t="shared" si="4"/>
        <v>-577.5</v>
      </c>
      <c r="I74" s="449">
        <f t="shared" si="5"/>
        <v>-288.75</v>
      </c>
      <c r="J74" s="449">
        <f t="shared" si="6"/>
        <v>-8130.9287117143776</v>
      </c>
    </row>
    <row r="75" spans="1:10">
      <c r="A75" s="44">
        <v>499</v>
      </c>
      <c r="B75" s="34" t="s">
        <v>352</v>
      </c>
      <c r="C75" s="451">
        <v>-13207.81</v>
      </c>
      <c r="D75" s="451">
        <v>0</v>
      </c>
      <c r="E75" s="449">
        <v>0</v>
      </c>
      <c r="F75" s="452">
        <v>2.8299999999999999E-2</v>
      </c>
      <c r="G75" s="449">
        <v>-361.44585233170966</v>
      </c>
      <c r="H75" s="449">
        <f t="shared" si="4"/>
        <v>0</v>
      </c>
      <c r="I75" s="449">
        <f t="shared" si="5"/>
        <v>0</v>
      </c>
      <c r="J75" s="449">
        <f t="shared" si="6"/>
        <v>-361.44585233170966</v>
      </c>
    </row>
    <row r="76" spans="1:10">
      <c r="A76" s="44">
        <v>499</v>
      </c>
      <c r="B76" s="34" t="s">
        <v>353</v>
      </c>
      <c r="C76" s="451">
        <v>-457029.73</v>
      </c>
      <c r="D76" s="451">
        <v>-47250</v>
      </c>
      <c r="E76" s="449">
        <v>-47250</v>
      </c>
      <c r="F76" s="452">
        <v>2.5100000000000001E-2</v>
      </c>
      <c r="G76" s="449">
        <v>-10254.380536854445</v>
      </c>
      <c r="H76" s="449">
        <f t="shared" si="4"/>
        <v>-1185.9750000000001</v>
      </c>
      <c r="I76" s="449">
        <f t="shared" si="5"/>
        <v>-592.98750000000007</v>
      </c>
      <c r="J76" s="449">
        <f t="shared" si="6"/>
        <v>-12033.343036854445</v>
      </c>
    </row>
    <row r="77" spans="1:10">
      <c r="A77" s="44">
        <v>401</v>
      </c>
      <c r="B77" s="34" t="s">
        <v>354</v>
      </c>
      <c r="C77" s="451">
        <v>842666.73999999987</v>
      </c>
      <c r="D77" s="451">
        <v>0</v>
      </c>
      <c r="E77" s="449">
        <v>0</v>
      </c>
      <c r="F77" s="452">
        <v>4.8000000000000001E-2</v>
      </c>
      <c r="G77" s="449">
        <v>35232</v>
      </c>
      <c r="H77" s="449">
        <f t="shared" si="4"/>
        <v>0</v>
      </c>
      <c r="I77" s="449">
        <f t="shared" si="5"/>
        <v>0</v>
      </c>
      <c r="J77" s="449">
        <f t="shared" si="6"/>
        <v>35232</v>
      </c>
    </row>
    <row r="78" spans="1:10">
      <c r="A78" s="44">
        <v>483</v>
      </c>
      <c r="B78" s="34" t="s">
        <v>260</v>
      </c>
      <c r="C78" s="451">
        <v>200719.96</v>
      </c>
      <c r="D78" s="451">
        <v>0</v>
      </c>
      <c r="E78" s="449">
        <v>0</v>
      </c>
      <c r="F78" s="452">
        <v>6.6699999999999995E-2</v>
      </c>
      <c r="G78" s="449">
        <v>7773.9921052461441</v>
      </c>
      <c r="H78" s="449">
        <f t="shared" si="4"/>
        <v>0</v>
      </c>
      <c r="I78" s="449">
        <f t="shared" si="5"/>
        <v>0</v>
      </c>
      <c r="J78" s="449">
        <f t="shared" si="6"/>
        <v>7773.9921052461441</v>
      </c>
    </row>
    <row r="79" spans="1:10">
      <c r="A79" s="44">
        <v>480</v>
      </c>
      <c r="B79" s="34" t="s">
        <v>44</v>
      </c>
      <c r="C79" s="451">
        <v>82653.239999999991</v>
      </c>
      <c r="D79" s="451">
        <v>0</v>
      </c>
      <c r="E79" s="449">
        <v>0</v>
      </c>
      <c r="F79" s="452">
        <v>0</v>
      </c>
      <c r="G79" s="449">
        <v>0</v>
      </c>
      <c r="H79" s="449">
        <f t="shared" si="4"/>
        <v>0</v>
      </c>
      <c r="I79" s="449">
        <f t="shared" si="5"/>
        <v>0</v>
      </c>
      <c r="J79" s="449">
        <f t="shared" si="6"/>
        <v>0</v>
      </c>
    </row>
    <row r="80" spans="1:10">
      <c r="A80" s="44">
        <v>475</v>
      </c>
      <c r="B80" s="34" t="s">
        <v>300</v>
      </c>
      <c r="C80" s="451">
        <v>0</v>
      </c>
      <c r="D80" s="451">
        <v>0</v>
      </c>
      <c r="E80" s="449">
        <v>0</v>
      </c>
      <c r="F80" s="452">
        <v>2.8299999999999999E-2</v>
      </c>
      <c r="G80" s="449">
        <v>0</v>
      </c>
      <c r="H80" s="449">
        <f t="shared" si="4"/>
        <v>0</v>
      </c>
      <c r="I80" s="449">
        <f t="shared" si="5"/>
        <v>0</v>
      </c>
      <c r="J80" s="449">
        <f t="shared" si="6"/>
        <v>0</v>
      </c>
    </row>
    <row r="81" spans="1:10">
      <c r="A81" s="44">
        <v>475</v>
      </c>
      <c r="B81" s="34" t="s">
        <v>301</v>
      </c>
      <c r="C81" s="451">
        <v>6230973.9499999993</v>
      </c>
      <c r="D81" s="451">
        <v>300000</v>
      </c>
      <c r="E81" s="449">
        <v>300000</v>
      </c>
      <c r="F81" s="452">
        <v>1.9800000000000002E-2</v>
      </c>
      <c r="G81" s="449">
        <v>80173.628261820675</v>
      </c>
      <c r="H81" s="449">
        <f t="shared" si="4"/>
        <v>5940.0000000000009</v>
      </c>
      <c r="I81" s="449">
        <f t="shared" si="5"/>
        <v>2970.0000000000005</v>
      </c>
      <c r="J81" s="449">
        <f t="shared" si="6"/>
        <v>89083.628261820675</v>
      </c>
    </row>
    <row r="82" spans="1:10">
      <c r="A82" s="44">
        <v>475</v>
      </c>
      <c r="B82" s="34" t="s">
        <v>302</v>
      </c>
      <c r="C82" s="451">
        <v>16153236.049999999</v>
      </c>
      <c r="D82" s="451">
        <v>2180550</v>
      </c>
      <c r="E82" s="449">
        <v>1381350</v>
      </c>
      <c r="F82" s="452">
        <v>2.3099999999999999E-2</v>
      </c>
      <c r="G82" s="449">
        <v>306934.51812309166</v>
      </c>
      <c r="H82" s="449">
        <f t="shared" si="4"/>
        <v>50370.704999999994</v>
      </c>
      <c r="I82" s="449">
        <f t="shared" si="5"/>
        <v>15954.592499999999</v>
      </c>
      <c r="J82" s="449">
        <f t="shared" si="6"/>
        <v>373259.81562309165</v>
      </c>
    </row>
    <row r="83" spans="1:10">
      <c r="A83" s="44">
        <v>477</v>
      </c>
      <c r="B83" s="34" t="s">
        <v>299</v>
      </c>
      <c r="C83" s="451">
        <v>2098729</v>
      </c>
      <c r="D83" s="451">
        <v>342430</v>
      </c>
      <c r="E83" s="449">
        <v>97940</v>
      </c>
      <c r="F83" s="452">
        <v>3.6600000000000001E-2</v>
      </c>
      <c r="G83" s="449">
        <v>42200.160510720751</v>
      </c>
      <c r="H83" s="449">
        <f t="shared" si="4"/>
        <v>12532.938</v>
      </c>
      <c r="I83" s="449">
        <f t="shared" si="5"/>
        <v>1792.3020000000001</v>
      </c>
      <c r="J83" s="449">
        <f t="shared" si="6"/>
        <v>56525.400510720756</v>
      </c>
    </row>
    <row r="84" spans="1:10">
      <c r="A84" s="44">
        <v>477</v>
      </c>
      <c r="B84" s="34" t="s">
        <v>355</v>
      </c>
      <c r="C84" s="451">
        <v>576367.02</v>
      </c>
      <c r="D84" s="451">
        <v>0</v>
      </c>
      <c r="E84" s="449">
        <v>0</v>
      </c>
      <c r="F84" s="452">
        <v>3.6600000000000001E-2</v>
      </c>
      <c r="G84" s="449">
        <v>21086.59</v>
      </c>
      <c r="H84" s="449">
        <f t="shared" si="4"/>
        <v>0</v>
      </c>
      <c r="I84" s="449">
        <f t="shared" si="5"/>
        <v>0</v>
      </c>
      <c r="J84" s="449">
        <f t="shared" si="6"/>
        <v>21086.59</v>
      </c>
    </row>
    <row r="85" spans="1:10">
      <c r="A85" s="44">
        <v>478</v>
      </c>
      <c r="B85" s="34" t="s">
        <v>268</v>
      </c>
      <c r="C85" s="449">
        <v>1926249.47</v>
      </c>
      <c r="D85" s="449">
        <v>160000</v>
      </c>
      <c r="E85" s="449">
        <v>157000</v>
      </c>
      <c r="F85" s="450">
        <v>0.05</v>
      </c>
      <c r="G85" s="449">
        <v>78071.799810085897</v>
      </c>
      <c r="H85" s="449">
        <f t="shared" si="4"/>
        <v>8000</v>
      </c>
      <c r="I85" s="449">
        <f t="shared" si="5"/>
        <v>3925</v>
      </c>
      <c r="J85" s="449">
        <f t="shared" si="6"/>
        <v>89996.799810085897</v>
      </c>
    </row>
    <row r="86" spans="1:10">
      <c r="A86" s="44">
        <v>478</v>
      </c>
      <c r="B86" s="34" t="s">
        <v>298</v>
      </c>
      <c r="C86" s="449">
        <v>14139.4</v>
      </c>
      <c r="D86" s="449">
        <v>0</v>
      </c>
      <c r="E86" s="449">
        <v>0</v>
      </c>
      <c r="F86" s="450">
        <v>0.16669999999999999</v>
      </c>
      <c r="G86" s="449">
        <v>0</v>
      </c>
      <c r="H86" s="449">
        <f t="shared" si="4"/>
        <v>0</v>
      </c>
      <c r="I86" s="449">
        <f t="shared" si="5"/>
        <v>0</v>
      </c>
      <c r="J86" s="449">
        <f t="shared" si="6"/>
        <v>0</v>
      </c>
    </row>
    <row r="87" spans="1:10">
      <c r="A87" s="44">
        <v>478</v>
      </c>
      <c r="B87" s="34" t="s">
        <v>297</v>
      </c>
      <c r="C87" s="449">
        <v>2623113.1999999997</v>
      </c>
      <c r="D87" s="449">
        <v>824640</v>
      </c>
      <c r="E87" s="449">
        <v>820860</v>
      </c>
      <c r="F87" s="450">
        <v>0.1</v>
      </c>
      <c r="G87" s="449">
        <v>170185.54285961087</v>
      </c>
      <c r="H87" s="449">
        <f t="shared" si="4"/>
        <v>82464</v>
      </c>
      <c r="I87" s="449">
        <f t="shared" si="5"/>
        <v>41043</v>
      </c>
      <c r="J87" s="449">
        <f t="shared" si="6"/>
        <v>293692.54285961087</v>
      </c>
    </row>
    <row r="88" spans="1:10">
      <c r="A88" s="44">
        <v>474</v>
      </c>
      <c r="B88" s="46" t="s">
        <v>270</v>
      </c>
      <c r="C88" s="449">
        <v>807745.57</v>
      </c>
      <c r="D88" s="449">
        <v>305750</v>
      </c>
      <c r="E88" s="449">
        <v>255740</v>
      </c>
      <c r="F88" s="450">
        <v>0.05</v>
      </c>
      <c r="G88" s="449">
        <v>21857.033739627324</v>
      </c>
      <c r="H88" s="449">
        <f t="shared" si="4"/>
        <v>15287.5</v>
      </c>
      <c r="I88" s="449">
        <f t="shared" si="5"/>
        <v>6393.5</v>
      </c>
      <c r="J88" s="449">
        <f t="shared" si="6"/>
        <v>43538.033739627324</v>
      </c>
    </row>
    <row r="89" spans="1:10">
      <c r="A89" s="44">
        <v>473</v>
      </c>
      <c r="B89" s="46" t="s">
        <v>303</v>
      </c>
      <c r="C89" s="449">
        <v>6614832.3200000003</v>
      </c>
      <c r="D89" s="449">
        <v>831560</v>
      </c>
      <c r="E89" s="449">
        <v>816160</v>
      </c>
      <c r="F89" s="450">
        <v>2.5100000000000001E-2</v>
      </c>
      <c r="G89" s="449">
        <v>92157.591250264959</v>
      </c>
      <c r="H89" s="449">
        <f t="shared" si="4"/>
        <v>20872.155999999999</v>
      </c>
      <c r="I89" s="449">
        <f t="shared" si="5"/>
        <v>10242.808000000001</v>
      </c>
      <c r="J89" s="449">
        <f t="shared" si="6"/>
        <v>123272.55525026497</v>
      </c>
    </row>
    <row r="90" spans="1:10">
      <c r="A90" s="44">
        <v>491</v>
      </c>
      <c r="B90" s="34" t="s">
        <v>262</v>
      </c>
      <c r="C90" s="449">
        <v>748286.65999999992</v>
      </c>
      <c r="D90" s="449">
        <v>6400</v>
      </c>
      <c r="E90" s="449">
        <v>10000</v>
      </c>
      <c r="F90" s="450">
        <v>0.1</v>
      </c>
      <c r="G90" s="449">
        <v>41923.906066882832</v>
      </c>
      <c r="H90" s="449">
        <f t="shared" si="4"/>
        <v>640</v>
      </c>
      <c r="I90" s="449">
        <f t="shared" si="5"/>
        <v>500</v>
      </c>
      <c r="J90" s="449">
        <f t="shared" si="6"/>
        <v>43063.906066882832</v>
      </c>
    </row>
    <row r="91" spans="1:10">
      <c r="A91" s="44">
        <v>482</v>
      </c>
      <c r="B91" s="34" t="s">
        <v>304</v>
      </c>
      <c r="C91" s="449">
        <v>782561.52</v>
      </c>
      <c r="D91" s="449">
        <v>0</v>
      </c>
      <c r="E91" s="449">
        <v>123530</v>
      </c>
      <c r="F91" s="450">
        <v>1.9199999999999998E-2</v>
      </c>
      <c r="G91" s="449">
        <v>12332.522090894938</v>
      </c>
      <c r="H91" s="449">
        <f t="shared" si="4"/>
        <v>0</v>
      </c>
      <c r="I91" s="449">
        <f t="shared" si="5"/>
        <v>1185.8879999999999</v>
      </c>
      <c r="J91" s="449">
        <f t="shared" si="6"/>
        <v>13518.410090894937</v>
      </c>
    </row>
    <row r="92" spans="1:10">
      <c r="A92" s="44">
        <v>486</v>
      </c>
      <c r="B92" s="34" t="s">
        <v>263</v>
      </c>
      <c r="C92" s="449">
        <v>894278.56000000017</v>
      </c>
      <c r="D92" s="449">
        <v>23400</v>
      </c>
      <c r="E92" s="449">
        <v>23030</v>
      </c>
      <c r="F92" s="450">
        <v>6.6699999999999995E-2</v>
      </c>
      <c r="G92" s="449">
        <v>24714.238513902674</v>
      </c>
      <c r="H92" s="449">
        <f t="shared" si="4"/>
        <v>1560.78</v>
      </c>
      <c r="I92" s="449">
        <f t="shared" si="5"/>
        <v>768.05049999999994</v>
      </c>
      <c r="J92" s="449">
        <f t="shared" si="6"/>
        <v>27043.069013902674</v>
      </c>
    </row>
    <row r="93" spans="1:10">
      <c r="A93" s="44">
        <v>485</v>
      </c>
      <c r="B93" s="34" t="s">
        <v>306</v>
      </c>
      <c r="C93" s="449">
        <v>33032.959999999999</v>
      </c>
      <c r="D93" s="449">
        <v>0</v>
      </c>
      <c r="E93" s="449">
        <v>0</v>
      </c>
      <c r="F93" s="450">
        <v>6.9199999999999998E-2</v>
      </c>
      <c r="G93" s="449">
        <v>2335.2694694741599</v>
      </c>
      <c r="H93" s="449">
        <f t="shared" si="4"/>
        <v>0</v>
      </c>
      <c r="I93" s="449">
        <f t="shared" si="5"/>
        <v>0</v>
      </c>
      <c r="J93" s="449">
        <f t="shared" si="6"/>
        <v>2335.2694694741599</v>
      </c>
    </row>
    <row r="94" spans="1:10">
      <c r="A94" s="44">
        <v>484</v>
      </c>
      <c r="B94" s="34" t="s">
        <v>305</v>
      </c>
      <c r="C94" s="449">
        <v>771093.39999999991</v>
      </c>
      <c r="D94" s="449">
        <v>102400</v>
      </c>
      <c r="E94" s="449">
        <v>75520</v>
      </c>
      <c r="F94" s="450">
        <v>0.16600000000000001</v>
      </c>
      <c r="G94" s="449">
        <v>62061.825482700704</v>
      </c>
      <c r="H94" s="449">
        <f t="shared" si="4"/>
        <v>16998.400000000001</v>
      </c>
      <c r="I94" s="449">
        <f t="shared" si="5"/>
        <v>6268.1600000000008</v>
      </c>
      <c r="J94" s="449">
        <f t="shared" si="6"/>
        <v>85328.385482700716</v>
      </c>
    </row>
    <row r="95" spans="1:10">
      <c r="A95" s="447" t="s">
        <v>6</v>
      </c>
      <c r="B95" s="56"/>
      <c r="C95" s="453">
        <f>SUM(C71:C94)</f>
        <v>41155761.099999994</v>
      </c>
      <c r="D95" s="453">
        <f>SUM(D71:D94)</f>
        <v>5044940</v>
      </c>
      <c r="E95" s="453">
        <f>SUM(E71:E94)</f>
        <v>4063930</v>
      </c>
      <c r="F95" s="453"/>
      <c r="G95" s="453">
        <f t="shared" ref="G95:J95" si="7">SUM(G71:G94)</f>
        <v>1002241.3946332263</v>
      </c>
      <c r="H95" s="453">
        <f t="shared" si="7"/>
        <v>220621.25499999998</v>
      </c>
      <c r="I95" s="453">
        <f t="shared" si="7"/>
        <v>97936.647250000009</v>
      </c>
      <c r="J95" s="453">
        <f t="shared" si="7"/>
        <v>1320799.2968832264</v>
      </c>
    </row>
  </sheetData>
  <sheetProtection sheet="1" objects="1" scenarios="1"/>
  <mergeCells count="5">
    <mergeCell ref="A6:J6"/>
    <mergeCell ref="A5:J5"/>
    <mergeCell ref="A8:H8"/>
    <mergeCell ref="A38:H38"/>
    <mergeCell ref="A68:J68"/>
  </mergeCells>
  <dataValidations count="1">
    <dataValidation allowBlank="1" showInputMessage="1" showErrorMessage="1" promptTitle="Date Format" prompt="E.g:  &quot;August 1, 2011&quot;" sqref="K65050 JE65050 TA65050 ACW65050 AMS65050 AWO65050 BGK65050 BQG65050 CAC65050 CJY65050 CTU65050 DDQ65050 DNM65050 DXI65050 EHE65050 ERA65050 FAW65050 FKS65050 FUO65050 GEK65050 GOG65050 GYC65050 HHY65050 HRU65050 IBQ65050 ILM65050 IVI65050 JFE65050 JPA65050 JYW65050 KIS65050 KSO65050 LCK65050 LMG65050 LWC65050 MFY65050 MPU65050 MZQ65050 NJM65050 NTI65050 ODE65050 ONA65050 OWW65050 PGS65050 PQO65050 QAK65050 QKG65050 QUC65050 RDY65050 RNU65050 RXQ65050 SHM65050 SRI65050 TBE65050 TLA65050 TUW65050 UES65050 UOO65050 UYK65050 VIG65050 VSC65050 WBY65050 WLU65050 WVQ65050 K130586 JE130586 TA130586 ACW130586 AMS130586 AWO130586 BGK130586 BQG130586 CAC130586 CJY130586 CTU130586 DDQ130586 DNM130586 DXI130586 EHE130586 ERA130586 FAW130586 FKS130586 FUO130586 GEK130586 GOG130586 GYC130586 HHY130586 HRU130586 IBQ130586 ILM130586 IVI130586 JFE130586 JPA130586 JYW130586 KIS130586 KSO130586 LCK130586 LMG130586 LWC130586 MFY130586 MPU130586 MZQ130586 NJM130586 NTI130586 ODE130586 ONA130586 OWW130586 PGS130586 PQO130586 QAK130586 QKG130586 QUC130586 RDY130586 RNU130586 RXQ130586 SHM130586 SRI130586 TBE130586 TLA130586 TUW130586 UES130586 UOO130586 UYK130586 VIG130586 VSC130586 WBY130586 WLU130586 WVQ130586 K196122 JE196122 TA196122 ACW196122 AMS196122 AWO196122 BGK196122 BQG196122 CAC196122 CJY196122 CTU196122 DDQ196122 DNM196122 DXI196122 EHE196122 ERA196122 FAW196122 FKS196122 FUO196122 GEK196122 GOG196122 GYC196122 HHY196122 HRU196122 IBQ196122 ILM196122 IVI196122 JFE196122 JPA196122 JYW196122 KIS196122 KSO196122 LCK196122 LMG196122 LWC196122 MFY196122 MPU196122 MZQ196122 NJM196122 NTI196122 ODE196122 ONA196122 OWW196122 PGS196122 PQO196122 QAK196122 QKG196122 QUC196122 RDY196122 RNU196122 RXQ196122 SHM196122 SRI196122 TBE196122 TLA196122 TUW196122 UES196122 UOO196122 UYK196122 VIG196122 VSC196122 WBY196122 WLU196122 WVQ196122 K261658 JE261658 TA261658 ACW261658 AMS261658 AWO261658 BGK261658 BQG261658 CAC261658 CJY261658 CTU261658 DDQ261658 DNM261658 DXI261658 EHE261658 ERA261658 FAW261658 FKS261658 FUO261658 GEK261658 GOG261658 GYC261658 HHY261658 HRU261658 IBQ261658 ILM261658 IVI261658 JFE261658 JPA261658 JYW261658 KIS261658 KSO261658 LCK261658 LMG261658 LWC261658 MFY261658 MPU261658 MZQ261658 NJM261658 NTI261658 ODE261658 ONA261658 OWW261658 PGS261658 PQO261658 QAK261658 QKG261658 QUC261658 RDY261658 RNU261658 RXQ261658 SHM261658 SRI261658 TBE261658 TLA261658 TUW261658 UES261658 UOO261658 UYK261658 VIG261658 VSC261658 WBY261658 WLU261658 WVQ261658 K327194 JE327194 TA327194 ACW327194 AMS327194 AWO327194 BGK327194 BQG327194 CAC327194 CJY327194 CTU327194 DDQ327194 DNM327194 DXI327194 EHE327194 ERA327194 FAW327194 FKS327194 FUO327194 GEK327194 GOG327194 GYC327194 HHY327194 HRU327194 IBQ327194 ILM327194 IVI327194 JFE327194 JPA327194 JYW327194 KIS327194 KSO327194 LCK327194 LMG327194 LWC327194 MFY327194 MPU327194 MZQ327194 NJM327194 NTI327194 ODE327194 ONA327194 OWW327194 PGS327194 PQO327194 QAK327194 QKG327194 QUC327194 RDY327194 RNU327194 RXQ327194 SHM327194 SRI327194 TBE327194 TLA327194 TUW327194 UES327194 UOO327194 UYK327194 VIG327194 VSC327194 WBY327194 WLU327194 WVQ327194 K392730 JE392730 TA392730 ACW392730 AMS392730 AWO392730 BGK392730 BQG392730 CAC392730 CJY392730 CTU392730 DDQ392730 DNM392730 DXI392730 EHE392730 ERA392730 FAW392730 FKS392730 FUO392730 GEK392730 GOG392730 GYC392730 HHY392730 HRU392730 IBQ392730 ILM392730 IVI392730 JFE392730 JPA392730 JYW392730 KIS392730 KSO392730 LCK392730 LMG392730 LWC392730 MFY392730 MPU392730 MZQ392730 NJM392730 NTI392730 ODE392730 ONA392730 OWW392730 PGS392730 PQO392730 QAK392730 QKG392730 QUC392730 RDY392730 RNU392730 RXQ392730 SHM392730 SRI392730 TBE392730 TLA392730 TUW392730 UES392730 UOO392730 UYK392730 VIG392730 VSC392730 WBY392730 WLU392730 WVQ392730 K458266 JE458266 TA458266 ACW458266 AMS458266 AWO458266 BGK458266 BQG458266 CAC458266 CJY458266 CTU458266 DDQ458266 DNM458266 DXI458266 EHE458266 ERA458266 FAW458266 FKS458266 FUO458266 GEK458266 GOG458266 GYC458266 HHY458266 HRU458266 IBQ458266 ILM458266 IVI458266 JFE458266 JPA458266 JYW458266 KIS458266 KSO458266 LCK458266 LMG458266 LWC458266 MFY458266 MPU458266 MZQ458266 NJM458266 NTI458266 ODE458266 ONA458266 OWW458266 PGS458266 PQO458266 QAK458266 QKG458266 QUC458266 RDY458266 RNU458266 RXQ458266 SHM458266 SRI458266 TBE458266 TLA458266 TUW458266 UES458266 UOO458266 UYK458266 VIG458266 VSC458266 WBY458266 WLU458266 WVQ458266 K523802 JE523802 TA523802 ACW523802 AMS523802 AWO523802 BGK523802 BQG523802 CAC523802 CJY523802 CTU523802 DDQ523802 DNM523802 DXI523802 EHE523802 ERA523802 FAW523802 FKS523802 FUO523802 GEK523802 GOG523802 GYC523802 HHY523802 HRU523802 IBQ523802 ILM523802 IVI523802 JFE523802 JPA523802 JYW523802 KIS523802 KSO523802 LCK523802 LMG523802 LWC523802 MFY523802 MPU523802 MZQ523802 NJM523802 NTI523802 ODE523802 ONA523802 OWW523802 PGS523802 PQO523802 QAK523802 QKG523802 QUC523802 RDY523802 RNU523802 RXQ523802 SHM523802 SRI523802 TBE523802 TLA523802 TUW523802 UES523802 UOO523802 UYK523802 VIG523802 VSC523802 WBY523802 WLU523802 WVQ523802 K589338 JE589338 TA589338 ACW589338 AMS589338 AWO589338 BGK589338 BQG589338 CAC589338 CJY589338 CTU589338 DDQ589338 DNM589338 DXI589338 EHE589338 ERA589338 FAW589338 FKS589338 FUO589338 GEK589338 GOG589338 GYC589338 HHY589338 HRU589338 IBQ589338 ILM589338 IVI589338 JFE589338 JPA589338 JYW589338 KIS589338 KSO589338 LCK589338 LMG589338 LWC589338 MFY589338 MPU589338 MZQ589338 NJM589338 NTI589338 ODE589338 ONA589338 OWW589338 PGS589338 PQO589338 QAK589338 QKG589338 QUC589338 RDY589338 RNU589338 RXQ589338 SHM589338 SRI589338 TBE589338 TLA589338 TUW589338 UES589338 UOO589338 UYK589338 VIG589338 VSC589338 WBY589338 WLU589338 WVQ589338 K654874 JE654874 TA654874 ACW654874 AMS654874 AWO654874 BGK654874 BQG654874 CAC654874 CJY654874 CTU654874 DDQ654874 DNM654874 DXI654874 EHE654874 ERA654874 FAW654874 FKS654874 FUO654874 GEK654874 GOG654874 GYC654874 HHY654874 HRU654874 IBQ654874 ILM654874 IVI654874 JFE654874 JPA654874 JYW654874 KIS654874 KSO654874 LCK654874 LMG654874 LWC654874 MFY654874 MPU654874 MZQ654874 NJM654874 NTI654874 ODE654874 ONA654874 OWW654874 PGS654874 PQO654874 QAK654874 QKG654874 QUC654874 RDY654874 RNU654874 RXQ654874 SHM654874 SRI654874 TBE654874 TLA654874 TUW654874 UES654874 UOO654874 UYK654874 VIG654874 VSC654874 WBY654874 WLU654874 WVQ654874 K720410 JE720410 TA720410 ACW720410 AMS720410 AWO720410 BGK720410 BQG720410 CAC720410 CJY720410 CTU720410 DDQ720410 DNM720410 DXI720410 EHE720410 ERA720410 FAW720410 FKS720410 FUO720410 GEK720410 GOG720410 GYC720410 HHY720410 HRU720410 IBQ720410 ILM720410 IVI720410 JFE720410 JPA720410 JYW720410 KIS720410 KSO720410 LCK720410 LMG720410 LWC720410 MFY720410 MPU720410 MZQ720410 NJM720410 NTI720410 ODE720410 ONA720410 OWW720410 PGS720410 PQO720410 QAK720410 QKG720410 QUC720410 RDY720410 RNU720410 RXQ720410 SHM720410 SRI720410 TBE720410 TLA720410 TUW720410 UES720410 UOO720410 UYK720410 VIG720410 VSC720410 WBY720410 WLU720410 WVQ720410 K785946 JE785946 TA785946 ACW785946 AMS785946 AWO785946 BGK785946 BQG785946 CAC785946 CJY785946 CTU785946 DDQ785946 DNM785946 DXI785946 EHE785946 ERA785946 FAW785946 FKS785946 FUO785946 GEK785946 GOG785946 GYC785946 HHY785946 HRU785946 IBQ785946 ILM785946 IVI785946 JFE785946 JPA785946 JYW785946 KIS785946 KSO785946 LCK785946 LMG785946 LWC785946 MFY785946 MPU785946 MZQ785946 NJM785946 NTI785946 ODE785946 ONA785946 OWW785946 PGS785946 PQO785946 QAK785946 QKG785946 QUC785946 RDY785946 RNU785946 RXQ785946 SHM785946 SRI785946 TBE785946 TLA785946 TUW785946 UES785946 UOO785946 UYK785946 VIG785946 VSC785946 WBY785946 WLU785946 WVQ785946 K851482 JE851482 TA851482 ACW851482 AMS851482 AWO851482 BGK851482 BQG851482 CAC851482 CJY851482 CTU851482 DDQ851482 DNM851482 DXI851482 EHE851482 ERA851482 FAW851482 FKS851482 FUO851482 GEK851482 GOG851482 GYC851482 HHY851482 HRU851482 IBQ851482 ILM851482 IVI851482 JFE851482 JPA851482 JYW851482 KIS851482 KSO851482 LCK851482 LMG851482 LWC851482 MFY851482 MPU851482 MZQ851482 NJM851482 NTI851482 ODE851482 ONA851482 OWW851482 PGS851482 PQO851482 QAK851482 QKG851482 QUC851482 RDY851482 RNU851482 RXQ851482 SHM851482 SRI851482 TBE851482 TLA851482 TUW851482 UES851482 UOO851482 UYK851482 VIG851482 VSC851482 WBY851482 WLU851482 WVQ851482 K917018 JE917018 TA917018 ACW917018 AMS917018 AWO917018 BGK917018 BQG917018 CAC917018 CJY917018 CTU917018 DDQ917018 DNM917018 DXI917018 EHE917018 ERA917018 FAW917018 FKS917018 FUO917018 GEK917018 GOG917018 GYC917018 HHY917018 HRU917018 IBQ917018 ILM917018 IVI917018 JFE917018 JPA917018 JYW917018 KIS917018 KSO917018 LCK917018 LMG917018 LWC917018 MFY917018 MPU917018 MZQ917018 NJM917018 NTI917018 ODE917018 ONA917018 OWW917018 PGS917018 PQO917018 QAK917018 QKG917018 QUC917018 RDY917018 RNU917018 RXQ917018 SHM917018 SRI917018 TBE917018 TLA917018 TUW917018 UES917018 UOO917018 UYK917018 VIG917018 VSC917018 WBY917018 WLU917018 WVQ917018 K982554 JE982554 TA982554 ACW982554 AMS982554 AWO982554 BGK982554 BQG982554 CAC982554 CJY982554 CTU982554 DDQ982554 DNM982554 DXI982554 EHE982554 ERA982554 FAW982554 FKS982554 FUO982554 GEK982554 GOG982554 GYC982554 HHY982554 HRU982554 IBQ982554 ILM982554 IVI982554 JFE982554 JPA982554 JYW982554 KIS982554 KSO982554 LCK982554 LMG982554 LWC982554 MFY982554 MPU982554 MZQ982554 NJM982554 NTI982554 ODE982554 ONA982554 OWW982554 PGS982554 PQO982554 QAK982554 QKG982554 QUC982554 RDY982554 RNU982554 RXQ982554 SHM982554 SRI982554 TBE982554 TLA982554 TUW982554 UES982554 UOO982554 UYK982554 VIG982554 VSC982554 WBY982554 WLU982554 WVQ982554"/>
  </dataValidations>
  <pageMargins left="0.7" right="0.7" top="0.75" bottom="0.75" header="0.3" footer="0.3"/>
  <pageSetup scale="58" fitToHeight="2" orientation="landscape"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9</xdr:col>
                    <xdr:colOff>466725</xdr:colOff>
                    <xdr:row>0</xdr:row>
                    <xdr:rowOff>0</xdr:rowOff>
                  </from>
                  <to>
                    <xdr:col>9</xdr:col>
                    <xdr:colOff>523875</xdr:colOff>
                    <xdr:row>0</xdr:row>
                    <xdr:rowOff>38100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9</xdr:col>
                    <xdr:colOff>2352675</xdr:colOff>
                    <xdr:row>0</xdr:row>
                    <xdr:rowOff>0</xdr:rowOff>
                  </from>
                  <to>
                    <xdr:col>10</xdr:col>
                    <xdr:colOff>0</xdr:colOff>
                    <xdr:row>0</xdr:row>
                    <xdr:rowOff>152400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9</xdr:col>
                    <xdr:colOff>466725</xdr:colOff>
                    <xdr:row>0</xdr:row>
                    <xdr:rowOff>0</xdr:rowOff>
                  </from>
                  <to>
                    <xdr:col>9</xdr:col>
                    <xdr:colOff>523875</xdr:colOff>
                    <xdr:row>0</xdr:row>
                    <xdr:rowOff>38100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6" r:id="rId16" name="Check Box 12">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7" r:id="rId17" name="Check Box 13">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8" r:id="rId18" name="Check Box 14">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59" r:id="rId19" name="Check Box 15">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0" r:id="rId20" name="Check Box 16">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1" r:id="rId21" name="Check Box 17">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2" r:id="rId22" name="Check Box 18">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3" r:id="rId23" name="Check Box 19">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4" r:id="rId24" name="Check Box 20">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5" r:id="rId25" name="Check Box 21">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6" r:id="rId26" name="Check Box 22">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7" r:id="rId27" name="Check Box 23">
              <controlPr defaultSize="0" autoFill="0" autoLine="0" autoPict="0">
                <anchor moveWithCells="1">
                  <from>
                    <xdr:col>1</xdr:col>
                    <xdr:colOff>466725</xdr:colOff>
                    <xdr:row>8</xdr:row>
                    <xdr:rowOff>0</xdr:rowOff>
                  </from>
                  <to>
                    <xdr:col>1</xdr:col>
                    <xdr:colOff>523875</xdr:colOff>
                    <xdr:row>8</xdr:row>
                    <xdr:rowOff>38100</xdr:rowOff>
                  </to>
                </anchor>
              </controlPr>
            </control>
          </mc:Choice>
        </mc:AlternateContent>
        <mc:AlternateContent xmlns:mc="http://schemas.openxmlformats.org/markup-compatibility/2006">
          <mc:Choice Requires="x14">
            <control shapeId="6168" r:id="rId28" name="Check Box 24">
              <controlPr defaultSize="0" autoFill="0" autoLine="0" autoPict="0">
                <anchor moveWithCells="1">
                  <from>
                    <xdr:col>9</xdr:col>
                    <xdr:colOff>466725</xdr:colOff>
                    <xdr:row>1</xdr:row>
                    <xdr:rowOff>0</xdr:rowOff>
                  </from>
                  <to>
                    <xdr:col>9</xdr:col>
                    <xdr:colOff>523875</xdr:colOff>
                    <xdr:row>1</xdr:row>
                    <xdr:rowOff>38100</xdr:rowOff>
                  </to>
                </anchor>
              </controlPr>
            </control>
          </mc:Choice>
        </mc:AlternateContent>
        <mc:AlternateContent xmlns:mc="http://schemas.openxmlformats.org/markup-compatibility/2006">
          <mc:Choice Requires="x14">
            <control shapeId="6169" r:id="rId29" name="Check Box 25">
              <controlPr defaultSize="0" autoFill="0" autoLine="0" autoPict="0">
                <anchor moveWithCells="1">
                  <from>
                    <xdr:col>9</xdr:col>
                    <xdr:colOff>466725</xdr:colOff>
                    <xdr:row>1</xdr:row>
                    <xdr:rowOff>0</xdr:rowOff>
                  </from>
                  <to>
                    <xdr:col>9</xdr:col>
                    <xdr:colOff>523875</xdr:colOff>
                    <xdr:row>1</xdr:row>
                    <xdr:rowOff>38100</xdr:rowOff>
                  </to>
                </anchor>
              </controlPr>
            </control>
          </mc:Choice>
        </mc:AlternateContent>
        <mc:AlternateContent xmlns:mc="http://schemas.openxmlformats.org/markup-compatibility/2006">
          <mc:Choice Requires="x14">
            <control shapeId="6170" r:id="rId30" name="Check Box 26">
              <controlPr defaultSize="0" autoFill="0" autoLine="0" autoPict="0">
                <anchor moveWithCells="1">
                  <from>
                    <xdr:col>9</xdr:col>
                    <xdr:colOff>466725</xdr:colOff>
                    <xdr:row>2</xdr:row>
                    <xdr:rowOff>0</xdr:rowOff>
                  </from>
                  <to>
                    <xdr:col>9</xdr:col>
                    <xdr:colOff>523875</xdr:colOff>
                    <xdr:row>2</xdr:row>
                    <xdr:rowOff>38100</xdr:rowOff>
                  </to>
                </anchor>
              </controlPr>
            </control>
          </mc:Choice>
        </mc:AlternateContent>
        <mc:AlternateContent xmlns:mc="http://schemas.openxmlformats.org/markup-compatibility/2006">
          <mc:Choice Requires="x14">
            <control shapeId="6171" r:id="rId31" name="Check Box 27">
              <controlPr defaultSize="0" autoFill="0" autoLine="0" autoPict="0">
                <anchor moveWithCells="1">
                  <from>
                    <xdr:col>9</xdr:col>
                    <xdr:colOff>466725</xdr:colOff>
                    <xdr:row>2</xdr:row>
                    <xdr:rowOff>0</xdr:rowOff>
                  </from>
                  <to>
                    <xdr:col>9</xdr:col>
                    <xdr:colOff>523875</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showGridLines="0" zoomScale="80" zoomScaleNormal="80" workbookViewId="0">
      <selection activeCell="N45" sqref="N45"/>
    </sheetView>
  </sheetViews>
  <sheetFormatPr defaultRowHeight="12.75"/>
  <cols>
    <col min="1" max="1" width="55.5703125" style="15" customWidth="1"/>
    <col min="2" max="3" width="17" style="15" customWidth="1"/>
    <col min="4" max="8" width="15.5703125" style="15" customWidth="1"/>
    <col min="9" max="9" width="14.28515625" style="15" bestFit="1" customWidth="1"/>
    <col min="10" max="16384" width="9.140625" style="15"/>
  </cols>
  <sheetData>
    <row r="1" spans="1:9" ht="15">
      <c r="A1" s="207"/>
      <c r="B1" s="207"/>
      <c r="C1" s="208"/>
      <c r="I1" s="208" t="str">
        <f>'2B_Capital Expenditures'!U1</f>
        <v>EB-2024-0130</v>
      </c>
    </row>
    <row r="2" spans="1:9" ht="15">
      <c r="A2" s="207"/>
      <c r="B2" s="207"/>
      <c r="C2" s="208"/>
      <c r="I2" s="208" t="str">
        <f>'2B_Capital Expenditures'!U2</f>
        <v>Exhibit 2</v>
      </c>
    </row>
    <row r="3" spans="1:9" ht="15">
      <c r="A3" s="207"/>
      <c r="B3" s="207"/>
      <c r="C3" s="210"/>
      <c r="I3" s="210">
        <f>'2B_Capital Expenditures'!U3</f>
        <v>45491</v>
      </c>
    </row>
    <row r="4" spans="1:9" ht="15">
      <c r="A4" s="592" t="s">
        <v>310</v>
      </c>
      <c r="B4" s="592"/>
      <c r="C4" s="592"/>
      <c r="D4" s="592"/>
      <c r="E4" s="592"/>
      <c r="F4" s="592"/>
      <c r="G4" s="592"/>
      <c r="H4" s="592"/>
    </row>
    <row r="5" spans="1:9" ht="15">
      <c r="A5" s="593" t="s">
        <v>102</v>
      </c>
      <c r="B5" s="593"/>
      <c r="C5" s="593"/>
      <c r="D5" s="593"/>
      <c r="E5" s="593"/>
      <c r="F5" s="593"/>
      <c r="G5" s="593"/>
      <c r="H5" s="593"/>
    </row>
    <row r="6" spans="1:9" ht="15">
      <c r="A6" s="249"/>
      <c r="B6" s="249"/>
      <c r="C6" s="249"/>
      <c r="D6" s="249"/>
      <c r="E6" s="249"/>
      <c r="F6" s="249"/>
      <c r="G6" s="249"/>
      <c r="H6" s="249"/>
    </row>
    <row r="7" spans="1:9" ht="30" customHeight="1">
      <c r="A7" s="603" t="s">
        <v>103</v>
      </c>
      <c r="B7" s="603"/>
      <c r="C7" s="603"/>
      <c r="D7" s="603"/>
      <c r="E7" s="603"/>
      <c r="F7" s="603"/>
      <c r="G7" s="603"/>
      <c r="H7" s="603"/>
      <c r="I7" s="276"/>
    </row>
    <row r="8" spans="1:9" ht="13.5" thickBot="1">
      <c r="D8" s="73"/>
      <c r="E8" s="73"/>
      <c r="F8" s="73"/>
      <c r="G8" s="73"/>
      <c r="H8" s="73"/>
      <c r="I8" s="73"/>
    </row>
    <row r="9" spans="1:9" ht="12" customHeight="1">
      <c r="A9" s="251" t="s">
        <v>104</v>
      </c>
      <c r="B9" s="284" t="s">
        <v>308</v>
      </c>
      <c r="C9" s="284">
        <f t="shared" ref="C9:D9" si="0">G9-4</f>
        <v>2020</v>
      </c>
      <c r="D9" s="284">
        <f t="shared" si="0"/>
        <v>2021</v>
      </c>
      <c r="E9" s="284">
        <f>H9-3</f>
        <v>2022</v>
      </c>
      <c r="F9" s="284">
        <f>H9-2</f>
        <v>2023</v>
      </c>
      <c r="G9" s="284">
        <f>H9-1</f>
        <v>2024</v>
      </c>
      <c r="H9" s="284">
        <f>TESTYEAR</f>
        <v>2025</v>
      </c>
    </row>
    <row r="10" spans="1:9" s="278" customFormat="1" ht="26.25" thickBot="1">
      <c r="A10" s="285"/>
      <c r="B10" s="286" t="s">
        <v>123</v>
      </c>
      <c r="C10" s="287" t="s">
        <v>105</v>
      </c>
      <c r="D10" s="287" t="s">
        <v>105</v>
      </c>
      <c r="E10" s="287" t="s">
        <v>105</v>
      </c>
      <c r="F10" s="287" t="s">
        <v>105</v>
      </c>
      <c r="G10" s="287" t="s">
        <v>106</v>
      </c>
      <c r="H10" s="287" t="s">
        <v>107</v>
      </c>
    </row>
    <row r="11" spans="1:9">
      <c r="A11" s="364" t="s">
        <v>361</v>
      </c>
      <c r="B11" s="365">
        <v>3313354</v>
      </c>
      <c r="C11" s="365">
        <v>3053369.7500000005</v>
      </c>
      <c r="D11" s="365">
        <v>3111625.7499999995</v>
      </c>
      <c r="E11" s="365">
        <v>3639325.95</v>
      </c>
      <c r="F11" s="365">
        <v>3454425.3200000003</v>
      </c>
      <c r="G11" s="365">
        <v>3530391.8145310553</v>
      </c>
      <c r="H11" s="365">
        <v>4084499.4530672664</v>
      </c>
    </row>
    <row r="12" spans="1:9" ht="15">
      <c r="A12" s="366" t="s">
        <v>362</v>
      </c>
      <c r="B12" s="367">
        <v>45748</v>
      </c>
      <c r="C12" s="367">
        <v>109007.5</v>
      </c>
      <c r="D12" s="367">
        <v>116282.45999999999</v>
      </c>
      <c r="E12" s="367">
        <v>122312.52000000002</v>
      </c>
      <c r="F12" s="367">
        <v>137457.68000000002</v>
      </c>
      <c r="G12" s="367">
        <v>146264</v>
      </c>
      <c r="H12" s="367">
        <v>147778.01599999997</v>
      </c>
    </row>
    <row r="13" spans="1:9" ht="15">
      <c r="A13" s="366" t="s">
        <v>363</v>
      </c>
      <c r="B13" s="367">
        <v>0</v>
      </c>
      <c r="C13" s="367">
        <v>101553.07</v>
      </c>
      <c r="D13" s="367">
        <v>87777.37999999999</v>
      </c>
      <c r="E13" s="367">
        <v>57954.84</v>
      </c>
      <c r="F13" s="367">
        <v>88004.32</v>
      </c>
      <c r="G13" s="367">
        <v>88530</v>
      </c>
      <c r="H13" s="367">
        <v>89680.889999999985</v>
      </c>
    </row>
    <row r="14" spans="1:9" ht="15.75" thickBot="1">
      <c r="A14" s="531" t="s">
        <v>542</v>
      </c>
      <c r="B14" s="367">
        <v>-150000</v>
      </c>
      <c r="C14" s="367"/>
      <c r="D14" s="367"/>
      <c r="E14" s="367"/>
      <c r="F14" s="367"/>
      <c r="G14" s="367"/>
      <c r="H14" s="367"/>
    </row>
    <row r="15" spans="1:9" ht="15" hidden="1">
      <c r="A15" s="530"/>
      <c r="B15" s="76"/>
      <c r="C15" s="76"/>
      <c r="D15" s="76"/>
      <c r="E15" s="76"/>
      <c r="F15" s="76"/>
      <c r="G15" s="76"/>
      <c r="H15" s="76"/>
    </row>
    <row r="16" spans="1:9" ht="15" hidden="1">
      <c r="A16" s="75"/>
      <c r="B16" s="76"/>
      <c r="C16" s="76"/>
      <c r="D16" s="76"/>
      <c r="E16" s="76"/>
      <c r="F16" s="76"/>
      <c r="G16" s="76"/>
      <c r="H16" s="76"/>
    </row>
    <row r="17" spans="1:9" ht="13.7" hidden="1" customHeight="1">
      <c r="A17" s="75"/>
      <c r="B17" s="76"/>
      <c r="C17" s="76"/>
      <c r="D17" s="76"/>
      <c r="E17" s="76"/>
      <c r="F17" s="76"/>
      <c r="G17" s="76"/>
      <c r="H17" s="76"/>
    </row>
    <row r="18" spans="1:9" ht="13.7" hidden="1" customHeight="1">
      <c r="A18" s="75"/>
      <c r="B18" s="76"/>
      <c r="C18" s="76"/>
      <c r="D18" s="76"/>
      <c r="E18" s="76"/>
      <c r="F18" s="76"/>
      <c r="G18" s="76"/>
      <c r="H18" s="76"/>
    </row>
    <row r="19" spans="1:9" ht="15" hidden="1">
      <c r="A19" s="77"/>
      <c r="B19" s="76"/>
      <c r="C19" s="76"/>
      <c r="D19" s="76"/>
      <c r="E19" s="76"/>
      <c r="F19" s="76"/>
      <c r="G19" s="76"/>
      <c r="H19" s="76"/>
    </row>
    <row r="20" spans="1:9" ht="15.75" hidden="1" thickBot="1">
      <c r="A20" s="77"/>
      <c r="B20" s="78"/>
      <c r="C20" s="78"/>
      <c r="D20" s="78"/>
      <c r="E20" s="78"/>
      <c r="F20" s="78"/>
      <c r="G20" s="78"/>
      <c r="H20" s="78"/>
    </row>
    <row r="21" spans="1:9" ht="14.25" customHeight="1" thickTop="1" thickBot="1">
      <c r="A21" s="79" t="s">
        <v>108</v>
      </c>
      <c r="B21" s="80">
        <f t="shared" ref="B21:H21" si="1">SUM(B11:B20)</f>
        <v>3209102</v>
      </c>
      <c r="C21" s="80">
        <f t="shared" si="1"/>
        <v>3263930.3200000003</v>
      </c>
      <c r="D21" s="80">
        <f t="shared" si="1"/>
        <v>3315685.5899999994</v>
      </c>
      <c r="E21" s="80">
        <f t="shared" si="1"/>
        <v>3819593.31</v>
      </c>
      <c r="F21" s="80">
        <f t="shared" si="1"/>
        <v>3679887.3200000003</v>
      </c>
      <c r="G21" s="80">
        <f t="shared" si="1"/>
        <v>3765185.8145310553</v>
      </c>
      <c r="H21" s="80">
        <f t="shared" si="1"/>
        <v>4321958.3590672659</v>
      </c>
    </row>
    <row r="22" spans="1:9" ht="14.25" customHeight="1">
      <c r="A22" s="81"/>
      <c r="B22" s="81"/>
      <c r="C22" s="81"/>
      <c r="D22" s="82"/>
      <c r="E22" s="82"/>
      <c r="F22" s="82"/>
      <c r="G22" s="82"/>
      <c r="H22" s="82"/>
    </row>
    <row r="23" spans="1:9" s="59" customFormat="1" ht="31.7" customHeight="1">
      <c r="A23" s="604" t="s">
        <v>109</v>
      </c>
      <c r="B23" s="604"/>
      <c r="C23" s="604"/>
      <c r="D23" s="604"/>
      <c r="E23" s="604"/>
      <c r="F23" s="604"/>
      <c r="G23" s="604"/>
      <c r="H23" s="604"/>
      <c r="I23" s="83"/>
    </row>
    <row r="24" spans="1:9" s="59" customFormat="1" ht="14.25" customHeight="1" thickBot="1">
      <c r="A24" s="84"/>
      <c r="B24" s="84"/>
      <c r="C24" s="84"/>
      <c r="D24" s="83"/>
      <c r="E24" s="83"/>
      <c r="F24" s="83"/>
      <c r="G24" s="83"/>
      <c r="H24" s="83"/>
      <c r="I24" s="83"/>
    </row>
    <row r="25" spans="1:9" ht="12.75" customHeight="1">
      <c r="A25" s="252" t="s">
        <v>110</v>
      </c>
      <c r="B25" s="85"/>
      <c r="C25" s="85"/>
      <c r="D25" s="85"/>
      <c r="E25" s="86"/>
      <c r="F25" s="87"/>
      <c r="G25" s="86"/>
      <c r="H25" s="87"/>
      <c r="I25" s="86" t="s">
        <v>111</v>
      </c>
    </row>
    <row r="26" spans="1:9">
      <c r="A26" s="253"/>
      <c r="B26" s="74" t="str">
        <f>B9</f>
        <v>2020T</v>
      </c>
      <c r="C26" s="74">
        <f t="shared" ref="C26:H26" si="2">C9</f>
        <v>2020</v>
      </c>
      <c r="D26" s="74">
        <f t="shared" si="2"/>
        <v>2021</v>
      </c>
      <c r="E26" s="74">
        <f t="shared" si="2"/>
        <v>2022</v>
      </c>
      <c r="F26" s="74">
        <f t="shared" si="2"/>
        <v>2023</v>
      </c>
      <c r="G26" s="74">
        <f t="shared" si="2"/>
        <v>2024</v>
      </c>
      <c r="H26" s="74">
        <f t="shared" si="2"/>
        <v>2025</v>
      </c>
      <c r="I26" s="88" t="s">
        <v>112</v>
      </c>
    </row>
    <row r="27" spans="1:9" s="278" customFormat="1" ht="25.5">
      <c r="A27" s="254"/>
      <c r="B27" s="279" t="str">
        <f>B10</f>
        <v>Last Rebasing Year</v>
      </c>
      <c r="C27" s="280" t="s">
        <v>105</v>
      </c>
      <c r="D27" s="280" t="s">
        <v>105</v>
      </c>
      <c r="E27" s="280" t="s">
        <v>105</v>
      </c>
      <c r="F27" s="280" t="s">
        <v>105</v>
      </c>
      <c r="G27" s="281" t="s">
        <v>106</v>
      </c>
      <c r="H27" s="282" t="s">
        <v>107</v>
      </c>
      <c r="I27" s="283" t="s">
        <v>113</v>
      </c>
    </row>
    <row r="28" spans="1:9" ht="15" hidden="1">
      <c r="A28" s="89" t="s">
        <v>356</v>
      </c>
      <c r="B28" s="90"/>
      <c r="C28" s="90"/>
      <c r="D28" s="90"/>
      <c r="E28" s="90"/>
      <c r="F28" s="90"/>
      <c r="G28" s="90"/>
      <c r="H28" s="90"/>
      <c r="I28" s="91"/>
    </row>
    <row r="29" spans="1:9" ht="15" hidden="1">
      <c r="A29" s="92" t="s">
        <v>357</v>
      </c>
      <c r="B29" s="90"/>
      <c r="C29" s="90"/>
      <c r="D29" s="90"/>
      <c r="E29" s="90"/>
      <c r="F29" s="90"/>
      <c r="G29" s="90"/>
      <c r="H29" s="90"/>
      <c r="I29" s="91"/>
    </row>
    <row r="30" spans="1:9" ht="15" hidden="1">
      <c r="A30" s="89" t="s">
        <v>358</v>
      </c>
      <c r="B30" s="90"/>
      <c r="C30" s="90"/>
      <c r="D30" s="90"/>
      <c r="E30" s="90"/>
      <c r="F30" s="90"/>
      <c r="G30" s="90"/>
      <c r="H30" s="90"/>
      <c r="I30" s="91"/>
    </row>
    <row r="31" spans="1:9" ht="15" hidden="1">
      <c r="A31" s="93" t="s">
        <v>359</v>
      </c>
      <c r="B31" s="90"/>
      <c r="C31" s="90"/>
      <c r="D31" s="90"/>
      <c r="E31" s="90"/>
      <c r="F31" s="90"/>
      <c r="G31" s="90"/>
      <c r="H31" s="90"/>
      <c r="I31" s="91"/>
    </row>
    <row r="32" spans="1:9" ht="15" hidden="1">
      <c r="A32" s="92" t="s">
        <v>360</v>
      </c>
      <c r="B32" s="90"/>
      <c r="C32" s="90"/>
      <c r="D32" s="90"/>
      <c r="E32" s="90"/>
      <c r="F32" s="90"/>
      <c r="G32" s="90"/>
      <c r="H32" s="90"/>
      <c r="I32" s="91"/>
    </row>
    <row r="33" spans="1:9" ht="15">
      <c r="A33" s="361" t="s">
        <v>311</v>
      </c>
      <c r="B33" s="362">
        <v>235468</v>
      </c>
      <c r="C33" s="362">
        <v>150771.32</v>
      </c>
      <c r="D33" s="362">
        <v>173933.91999999998</v>
      </c>
      <c r="E33" s="362">
        <v>133184</v>
      </c>
      <c r="F33" s="362">
        <v>135266.9</v>
      </c>
      <c r="G33" s="362">
        <v>146613.16</v>
      </c>
      <c r="H33" s="362">
        <v>131417.74</v>
      </c>
      <c r="I33" s="91" t="s">
        <v>364</v>
      </c>
    </row>
    <row r="34" spans="1:9" ht="15.75" thickBot="1">
      <c r="A34" s="363" t="s">
        <v>312</v>
      </c>
      <c r="B34" s="362">
        <v>0</v>
      </c>
      <c r="C34" s="362">
        <v>190655.28</v>
      </c>
      <c r="D34" s="362">
        <v>225583.59999999998</v>
      </c>
      <c r="E34" s="362">
        <v>176692.80618598519</v>
      </c>
      <c r="F34" s="362">
        <v>235487.63124967169</v>
      </c>
      <c r="G34" s="362">
        <v>295458.39876680449</v>
      </c>
      <c r="H34" s="362">
        <v>336656.82288201305</v>
      </c>
      <c r="I34" s="91" t="s">
        <v>364</v>
      </c>
    </row>
    <row r="35" spans="1:9" ht="15" hidden="1">
      <c r="A35" s="94"/>
      <c r="B35" s="95"/>
      <c r="C35" s="95"/>
      <c r="D35" s="95"/>
      <c r="E35" s="95"/>
      <c r="F35" s="95"/>
      <c r="G35" s="95"/>
      <c r="H35" s="95"/>
      <c r="I35" s="91"/>
    </row>
    <row r="36" spans="1:9" ht="15" hidden="1">
      <c r="A36" s="94"/>
      <c r="B36" s="95"/>
      <c r="C36" s="95"/>
      <c r="D36" s="95"/>
      <c r="E36" s="95"/>
      <c r="F36" s="95"/>
      <c r="G36" s="95"/>
      <c r="H36" s="95"/>
      <c r="I36" s="91"/>
    </row>
    <row r="37" spans="1:9" ht="15" hidden="1">
      <c r="A37" s="94"/>
      <c r="B37" s="95"/>
      <c r="C37" s="95"/>
      <c r="D37" s="95"/>
      <c r="E37" s="95"/>
      <c r="F37" s="95"/>
      <c r="G37" s="95"/>
      <c r="H37" s="95"/>
      <c r="I37" s="96"/>
    </row>
    <row r="38" spans="1:9" ht="15" hidden="1">
      <c r="A38" s="94"/>
      <c r="B38" s="95"/>
      <c r="C38" s="95"/>
      <c r="D38" s="95"/>
      <c r="E38" s="95"/>
      <c r="F38" s="95"/>
      <c r="G38" s="95"/>
      <c r="H38" s="95"/>
      <c r="I38" s="91"/>
    </row>
    <row r="39" spans="1:9" ht="15" hidden="1">
      <c r="A39" s="94"/>
      <c r="B39" s="95"/>
      <c r="C39" s="95"/>
      <c r="D39" s="95"/>
      <c r="E39" s="95"/>
      <c r="F39" s="95"/>
      <c r="G39" s="95"/>
      <c r="H39" s="95"/>
      <c r="I39" s="91"/>
    </row>
    <row r="40" spans="1:9" ht="15.75" hidden="1" thickBot="1">
      <c r="A40" s="97"/>
      <c r="B40" s="98"/>
      <c r="C40" s="98"/>
      <c r="D40" s="98"/>
      <c r="E40" s="98"/>
      <c r="F40" s="98"/>
      <c r="G40" s="98"/>
      <c r="H40" s="98"/>
      <c r="I40" s="91"/>
    </row>
    <row r="41" spans="1:9" ht="16.5" thickTop="1" thickBot="1">
      <c r="A41" s="99" t="s">
        <v>114</v>
      </c>
      <c r="B41" s="100">
        <f t="shared" ref="B41:H41" si="3">SUM(B28:B40)</f>
        <v>235468</v>
      </c>
      <c r="C41" s="100">
        <f t="shared" si="3"/>
        <v>341426.6</v>
      </c>
      <c r="D41" s="100">
        <f t="shared" si="3"/>
        <v>399517.51999999996</v>
      </c>
      <c r="E41" s="100">
        <f t="shared" si="3"/>
        <v>309876.80618598522</v>
      </c>
      <c r="F41" s="100">
        <f t="shared" si="3"/>
        <v>370754.53124967171</v>
      </c>
      <c r="G41" s="100">
        <f t="shared" si="3"/>
        <v>442071.55876680452</v>
      </c>
      <c r="H41" s="100">
        <f t="shared" si="3"/>
        <v>468074.56288201304</v>
      </c>
      <c r="I41" s="101"/>
    </row>
    <row r="42" spans="1:9" s="59" customFormat="1" ht="15.75" thickBot="1">
      <c r="A42" s="84"/>
      <c r="B42" s="83"/>
      <c r="C42" s="83"/>
      <c r="D42" s="83"/>
      <c r="E42" s="83"/>
      <c r="F42" s="83"/>
      <c r="G42" s="83"/>
      <c r="H42" s="83"/>
      <c r="I42" s="83"/>
    </row>
    <row r="43" spans="1:9" ht="15.75" thickBot="1">
      <c r="A43" s="102" t="s">
        <v>115</v>
      </c>
      <c r="B43" s="103">
        <f t="shared" ref="B43:H43" si="4">IF(ISERROR(B41/B21),"0%",B41/B21)</f>
        <v>7.3375043859621791E-2</v>
      </c>
      <c r="C43" s="103">
        <f t="shared" si="4"/>
        <v>0.10460597087746651</v>
      </c>
      <c r="D43" s="103">
        <f t="shared" si="4"/>
        <v>0.12049318584516333</v>
      </c>
      <c r="E43" s="103">
        <f t="shared" si="4"/>
        <v>8.1128219953339797E-2</v>
      </c>
      <c r="F43" s="103">
        <f t="shared" si="4"/>
        <v>0.1007515988966944</v>
      </c>
      <c r="G43" s="103">
        <f t="shared" si="4"/>
        <v>0.11741029010061313</v>
      </c>
      <c r="H43" s="103">
        <f t="shared" si="4"/>
        <v>0.10830149760698517</v>
      </c>
      <c r="I43" s="104"/>
    </row>
    <row r="44" spans="1:9">
      <c r="A44" s="277"/>
      <c r="B44" s="250"/>
      <c r="C44" s="250"/>
      <c r="D44" s="255"/>
      <c r="E44" s="255"/>
      <c r="F44" s="255"/>
      <c r="G44" s="248"/>
    </row>
    <row r="45" spans="1:9">
      <c r="A45" s="277"/>
      <c r="B45" s="250"/>
      <c r="C45" s="250"/>
      <c r="D45" s="255"/>
      <c r="E45" s="255"/>
      <c r="F45" s="255"/>
      <c r="G45" s="105"/>
    </row>
    <row r="46" spans="1:9">
      <c r="A46" s="18"/>
      <c r="B46" s="18"/>
      <c r="C46" s="18"/>
      <c r="D46" s="19"/>
      <c r="E46" s="19"/>
      <c r="F46" s="19"/>
    </row>
    <row r="47" spans="1:9">
      <c r="A47" s="277"/>
      <c r="B47" s="250"/>
      <c r="C47" s="250"/>
      <c r="D47" s="106"/>
      <c r="E47" s="106"/>
      <c r="F47" s="106"/>
      <c r="G47" s="20"/>
    </row>
    <row r="48" spans="1:9">
      <c r="A48" s="277"/>
      <c r="B48" s="250"/>
      <c r="C48" s="250"/>
      <c r="D48" s="62"/>
      <c r="E48" s="62"/>
      <c r="F48" s="62"/>
    </row>
    <row r="49" spans="1:9">
      <c r="A49" s="73"/>
      <c r="B49" s="73"/>
      <c r="C49" s="73"/>
      <c r="D49" s="62"/>
      <c r="E49" s="62"/>
      <c r="F49" s="62"/>
    </row>
    <row r="50" spans="1:9">
      <c r="A50" s="277"/>
      <c r="B50" s="250"/>
      <c r="C50" s="250"/>
      <c r="D50" s="62"/>
      <c r="E50" s="62"/>
      <c r="F50" s="62"/>
      <c r="G50" s="105"/>
      <c r="H50" s="105"/>
      <c r="I50" s="105"/>
    </row>
    <row r="51" spans="1:9">
      <c r="A51" s="277"/>
      <c r="B51" s="250"/>
      <c r="C51" s="250"/>
      <c r="D51" s="62"/>
      <c r="E51" s="62"/>
      <c r="F51" s="62"/>
      <c r="G51" s="105"/>
      <c r="H51" s="105"/>
      <c r="I51" s="105"/>
    </row>
    <row r="52" spans="1:9">
      <c r="A52" s="73"/>
      <c r="B52" s="73"/>
      <c r="C52" s="73"/>
      <c r="D52" s="62"/>
      <c r="E52" s="62"/>
      <c r="F52" s="62"/>
      <c r="G52" s="105"/>
      <c r="H52" s="105"/>
      <c r="I52" s="105"/>
    </row>
    <row r="53" spans="1:9">
      <c r="A53" s="72"/>
      <c r="B53" s="256"/>
      <c r="C53" s="256"/>
      <c r="D53" s="62"/>
      <c r="E53" s="62"/>
      <c r="F53" s="62"/>
      <c r="G53" s="105"/>
      <c r="H53" s="105"/>
      <c r="I53" s="105"/>
    </row>
    <row r="54" spans="1:9">
      <c r="A54" s="72"/>
      <c r="B54" s="256"/>
      <c r="C54" s="256"/>
      <c r="D54" s="62"/>
      <c r="E54" s="62"/>
      <c r="F54" s="62"/>
      <c r="G54" s="105"/>
      <c r="H54" s="105"/>
      <c r="I54" s="105"/>
    </row>
    <row r="55" spans="1:9">
      <c r="A55" s="72"/>
      <c r="B55" s="256"/>
      <c r="C55" s="256"/>
      <c r="D55" s="62"/>
      <c r="E55" s="62"/>
      <c r="F55" s="62"/>
      <c r="G55" s="105"/>
      <c r="H55" s="105"/>
      <c r="I55" s="105"/>
    </row>
    <row r="56" spans="1:9">
      <c r="A56" s="72"/>
      <c r="B56" s="256"/>
      <c r="C56" s="256"/>
      <c r="D56" s="62"/>
      <c r="E56" s="62"/>
      <c r="F56" s="62"/>
      <c r="G56" s="105"/>
      <c r="H56" s="105"/>
      <c r="I56" s="105"/>
    </row>
    <row r="57" spans="1:9">
      <c r="A57" s="73"/>
      <c r="B57" s="73"/>
      <c r="C57" s="73"/>
      <c r="D57" s="62"/>
      <c r="E57" s="62"/>
      <c r="F57" s="62"/>
    </row>
    <row r="58" spans="1:9">
      <c r="A58" s="277"/>
      <c r="B58" s="250"/>
      <c r="C58" s="250"/>
      <c r="D58" s="62"/>
      <c r="E58" s="62"/>
      <c r="F58" s="62"/>
      <c r="G58" s="105"/>
      <c r="H58" s="105"/>
      <c r="I58" s="105"/>
    </row>
    <row r="59" spans="1:9">
      <c r="A59" s="277"/>
      <c r="B59" s="250"/>
      <c r="C59" s="250"/>
      <c r="D59" s="62"/>
      <c r="E59" s="62"/>
      <c r="F59" s="62"/>
      <c r="G59" s="105"/>
      <c r="H59" s="105"/>
      <c r="I59" s="105"/>
    </row>
    <row r="60" spans="1:9">
      <c r="D60" s="62"/>
      <c r="E60" s="62"/>
      <c r="F60" s="62"/>
    </row>
    <row r="61" spans="1:9">
      <c r="D61" s="62"/>
      <c r="E61" s="62"/>
      <c r="F61" s="62"/>
    </row>
    <row r="70" spans="1:3">
      <c r="A70" s="62"/>
      <c r="B70" s="62"/>
      <c r="C70" s="62"/>
    </row>
  </sheetData>
  <sheetProtection sheet="1" objects="1" scenarios="1"/>
  <mergeCells count="4">
    <mergeCell ref="A4:H4"/>
    <mergeCell ref="A5:H5"/>
    <mergeCell ref="A7:H7"/>
    <mergeCell ref="A23:H23"/>
  </mergeCells>
  <dataValidations count="1">
    <dataValidation type="list" allowBlank="1" showInputMessage="1" showErrorMessage="1" sqref="I28:I40">
      <formula1>"Yes, No"</formula1>
    </dataValidation>
  </dataValidations>
  <pageMargins left="0.7" right="0.7" top="0.75" bottom="0.75" header="0.3" footer="0.3"/>
  <pageSetup scale="67"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BAD137378F81F4FB318B1B24AB80438" ma:contentTypeVersion="3" ma:contentTypeDescription="Create a new document." ma:contentTypeScope="" ma:versionID="24e2e42336a1cd1f4ee2fe0de8a61d67">
  <xsd:schema xmlns:xsd="http://www.w3.org/2001/XMLSchema" xmlns:xs="http://www.w3.org/2001/XMLSchema" xmlns:p="http://schemas.microsoft.com/office/2006/metadata/properties" xmlns:ns2="2bc3004b-9ad1-483e-becf-bfd5ad8c6084" xmlns:ns3="5439dcb1-57cb-40ed-87e6-3a760137f3f8" targetNamespace="http://schemas.microsoft.com/office/2006/metadata/properties" ma:root="true" ma:fieldsID="123afb3d4e45bb2ee51a4b9193e9fa35" ns2:_="" ns3:_="">
    <xsd:import namespace="2bc3004b-9ad1-483e-becf-bfd5ad8c6084"/>
    <xsd:import namespace="5439dcb1-57cb-40ed-87e6-3a760137f3f8"/>
    <xsd:element name="properties">
      <xsd:complexType>
        <xsd:sequence>
          <xsd:element name="documentManagement">
            <xsd:complexType>
              <xsd:all>
                <xsd:element ref="ns2:_dlc_DocId" minOccurs="0"/>
                <xsd:element ref="ns2:_dlc_DocIdUrl" minOccurs="0"/>
                <xsd:element ref="ns2:_dlc_DocIdPersistId" minOccurs="0"/>
                <xsd:element ref="ns3:sn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39dcb1-57cb-40ed-87e6-3a760137f3f8" elementFormDefault="qualified">
    <xsd:import namespace="http://schemas.microsoft.com/office/2006/documentManagement/types"/>
    <xsd:import namespace="http://schemas.microsoft.com/office/infopath/2007/PartnerControls"/>
    <xsd:element name="snms" ma:index="11" nillable="true" ma:displayName="Description" ma:internalName="snm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nms xmlns="5439dcb1-57cb-40ed-87e6-3a760137f3f8" xsi:nil="true"/>
    <_dlc_DocId xmlns="2bc3004b-9ad1-483e-becf-bfd5ad8c6084">6YNFE3WTN53P-2032442789-630</_dlc_DocId>
    <_dlc_DocIdUrl xmlns="2bc3004b-9ad1-483e-becf-bfd5ad8c6084">
      <Url>https://epcorweb/en-ca/departments/natgas/sites/ON/ONReg/_layouts/15/DocIdRedir.aspx?ID=6YNFE3WTN53P-2032442789-630</Url>
      <Description>6YNFE3WTN53P-2032442789-630</Description>
    </_dlc_DocIdUrl>
  </documentManagement>
</p:properties>
</file>

<file path=customXml/itemProps1.xml><?xml version="1.0" encoding="utf-8"?>
<ds:datastoreItem xmlns:ds="http://schemas.openxmlformats.org/officeDocument/2006/customXml" ds:itemID="{2EB334D1-5E3E-4148-9426-37BE30D869D6}">
  <ds:schemaRefs>
    <ds:schemaRef ds:uri="http://schemas.microsoft.com/sharepoint/v3/contenttype/forms"/>
  </ds:schemaRefs>
</ds:datastoreItem>
</file>

<file path=customXml/itemProps2.xml><?xml version="1.0" encoding="utf-8"?>
<ds:datastoreItem xmlns:ds="http://schemas.openxmlformats.org/officeDocument/2006/customXml" ds:itemID="{4440B985-D6C0-46B2-A931-C222302B7C5F}">
  <ds:schemaRefs>
    <ds:schemaRef ds:uri="http://schemas.microsoft.com/sharepoint/events"/>
  </ds:schemaRefs>
</ds:datastoreItem>
</file>

<file path=customXml/itemProps3.xml><?xml version="1.0" encoding="utf-8"?>
<ds:datastoreItem xmlns:ds="http://schemas.openxmlformats.org/officeDocument/2006/customXml" ds:itemID="{39F8926E-44F0-4BD7-A67A-B4129AA4A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3004b-9ad1-483e-becf-bfd5ad8c6084"/>
    <ds:schemaRef ds:uri="5439dcb1-57cb-40ed-87e6-3a760137f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3D3243-5B1B-4647-AB4D-0FC57D10F2A6}">
  <ds:schemaRefs>
    <ds:schemaRef ds:uri="5439dcb1-57cb-40ed-87e6-3a760137f3f8"/>
    <ds:schemaRef ds:uri="http://purl.org/dc/terms/"/>
    <ds:schemaRef ds:uri="2bc3004b-9ad1-483e-becf-bfd5ad8c6084"/>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Summary</vt:lpstr>
      <vt:lpstr>1A_Customer Engagement</vt:lpstr>
      <vt:lpstr>1B_SQI</vt:lpstr>
      <vt:lpstr>2A_Capital Projects</vt:lpstr>
      <vt:lpstr>2B_Capital Expenditures</vt:lpstr>
      <vt:lpstr>2C_Fixed Asset Continuity</vt:lpstr>
      <vt:lpstr>2D_Service Life</vt:lpstr>
      <vt:lpstr>2E_Depreciation Expense</vt:lpstr>
      <vt:lpstr>2F_Overhead Expense</vt:lpstr>
      <vt:lpstr>3A_Load Forecast Summary</vt:lpstr>
      <vt:lpstr>4A_Total O&amp;M Summary</vt:lpstr>
      <vt:lpstr>4B_OM&amp;A Detail</vt:lpstr>
      <vt:lpstr>4C_Employee Costs</vt:lpstr>
      <vt:lpstr>4D_OM&amp;A Per Cust</vt:lpstr>
      <vt:lpstr>4E_One-time Costs</vt:lpstr>
      <vt:lpstr>4F_Corp_Cost_Allocation</vt:lpstr>
      <vt:lpstr>4G_Ontario_Affiliate_SS_Costs</vt:lpstr>
      <vt:lpstr>5A_Other Revenue</vt:lpstr>
      <vt:lpstr>5B_Capital Structure</vt:lpstr>
      <vt:lpstr>5C_Debt Instruments</vt:lpstr>
      <vt:lpstr>BRIDGEYEAR</vt:lpstr>
      <vt:lpstr>OEBFILE</vt:lpstr>
      <vt:lpstr>'2B_Capital Expenditures'!Print_Area</vt:lpstr>
      <vt:lpstr>TESTYEAR</vt:lpstr>
    </vt:vector>
  </TitlesOfParts>
  <Company>EPCOR Utilities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Hesselink, Tim</dc:creator>
  <cp:lastModifiedBy>Hesselink, Tim</cp:lastModifiedBy>
  <cp:lastPrinted>2024-07-18T15:20:56Z</cp:lastPrinted>
  <dcterms:created xsi:type="dcterms:W3CDTF">2023-08-29T13:04:27Z</dcterms:created>
  <dcterms:modified xsi:type="dcterms:W3CDTF">2024-07-18T18:30:09Z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0x0101002BAD137378F81F4FB318B1B24AB80438</vt:lpwstr>
  </property>
  <property fmtid="{D5CDD505-2E9C-101B-9397-08002B2CF9AE}" pid="3" name="_dlc_DocIdItemGuid">
    <vt:lpwstr>b85b77ce-a583-41b1-8f8d-96a26881828e</vt:lpwstr>
  </property>
</Properties>
</file>