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wsc\Documents\IGUA - GCOC - April 2024\Sean Evidence June 2024\Attachments\"/>
    </mc:Choice>
  </mc:AlternateContent>
  <xr:revisionPtr revIDLastSave="0" documentId="8_{D1CAB2CD-BE38-40CF-A7C0-8DD2E94124E8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I57" i="1"/>
  <c r="I56" i="1"/>
  <c r="I55" i="1"/>
  <c r="F58" i="1"/>
  <c r="F57" i="1"/>
  <c r="F56" i="1"/>
  <c r="F55" i="1"/>
  <c r="I19" i="1"/>
  <c r="I18" i="1"/>
  <c r="I17" i="1"/>
  <c r="I16" i="1"/>
  <c r="F19" i="1"/>
  <c r="F18" i="1"/>
  <c r="F17" i="1"/>
  <c r="F16" i="1"/>
  <c r="H55" i="1"/>
  <c r="G58" i="1"/>
  <c r="G57" i="1"/>
  <c r="G56" i="1"/>
  <c r="G55" i="1"/>
  <c r="V52" i="1"/>
  <c r="AE52" i="1"/>
  <c r="AF52" i="1"/>
  <c r="AG52" i="1"/>
  <c r="E55" i="1" l="1"/>
  <c r="K56" i="1" s="1"/>
  <c r="C55" i="1"/>
  <c r="B55" i="1"/>
  <c r="AS52" i="1"/>
  <c r="O56" i="1" l="1"/>
  <c r="W52" i="1"/>
  <c r="H16" i="1" l="1"/>
  <c r="G19" i="1"/>
  <c r="G18" i="1"/>
  <c r="G17" i="1"/>
  <c r="G16" i="1"/>
  <c r="E16" i="1"/>
  <c r="C16" i="1"/>
  <c r="B16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24" i="1"/>
  <c r="AW11" i="1"/>
  <c r="AX11" i="1"/>
  <c r="AE11" i="1"/>
  <c r="D17" i="1"/>
  <c r="K16" i="1" l="1"/>
  <c r="O16" i="1" s="1"/>
  <c r="D55" i="1"/>
  <c r="Y52" i="1"/>
  <c r="Z52" i="1"/>
  <c r="AA52" i="1"/>
  <c r="AB52" i="1"/>
  <c r="AC52" i="1"/>
  <c r="AD52" i="1"/>
  <c r="AL52" i="1"/>
  <c r="AM52" i="1"/>
  <c r="AN52" i="1"/>
  <c r="AO52" i="1"/>
  <c r="AP52" i="1"/>
  <c r="AQ52" i="1"/>
  <c r="AR52" i="1"/>
  <c r="H58" i="1"/>
  <c r="H57" i="1"/>
  <c r="H56" i="1"/>
  <c r="U52" i="1"/>
  <c r="P52" i="1"/>
  <c r="Q52" i="1"/>
  <c r="R52" i="1"/>
  <c r="S52" i="1"/>
  <c r="T52" i="1"/>
  <c r="O52" i="1"/>
  <c r="E58" i="1" l="1"/>
  <c r="E57" i="1"/>
  <c r="E56" i="1"/>
  <c r="K57" i="1" s="1"/>
  <c r="C58" i="1"/>
  <c r="C57" i="1"/>
  <c r="C56" i="1"/>
  <c r="B58" i="1"/>
  <c r="B57" i="1"/>
  <c r="B56" i="1"/>
  <c r="M56" i="1" l="1"/>
  <c r="M57" i="1"/>
  <c r="Z56" i="1" s="1"/>
  <c r="O57" i="1"/>
  <c r="Z55" i="1" l="1"/>
  <c r="Z57" i="1" s="1"/>
  <c r="P56" i="1"/>
  <c r="Y55" i="1" s="1"/>
  <c r="H19" i="1"/>
  <c r="H18" i="1"/>
  <c r="H17" i="1"/>
  <c r="E19" i="1"/>
  <c r="D19" i="1"/>
  <c r="C19" i="1"/>
  <c r="B19" i="1"/>
  <c r="E18" i="1"/>
  <c r="D18" i="1"/>
  <c r="C18" i="1"/>
  <c r="B18" i="1"/>
  <c r="E17" i="1"/>
  <c r="K17" i="1" s="1"/>
  <c r="C17" i="1"/>
  <c r="B17" i="1"/>
  <c r="O17" i="1" s="1"/>
  <c r="D16" i="1"/>
  <c r="AY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D57" i="1" l="1"/>
  <c r="D56" i="1"/>
  <c r="P57" i="1" s="1"/>
  <c r="Y56" i="1" s="1"/>
  <c r="D58" i="1"/>
  <c r="M16" i="1" l="1"/>
  <c r="M17" i="1"/>
  <c r="P17" i="1" s="1"/>
  <c r="Z16" i="1"/>
  <c r="Y16" i="1"/>
  <c r="Y57" i="1"/>
  <c r="Z15" i="1" l="1"/>
  <c r="P16" i="1"/>
  <c r="Y15" i="1" s="1"/>
  <c r="Y17" i="1" s="1"/>
  <c r="Z17" i="1"/>
</calcChain>
</file>

<file path=xl/sharedStrings.xml><?xml version="1.0" encoding="utf-8"?>
<sst xmlns="http://schemas.openxmlformats.org/spreadsheetml/2006/main" count="142" uniqueCount="80">
  <si>
    <t>payout</t>
  </si>
  <si>
    <t>ROE</t>
  </si>
  <si>
    <t>Current dividend yield</t>
  </si>
  <si>
    <t>5-year avg DY</t>
  </si>
  <si>
    <t>7-year avg DY</t>
  </si>
  <si>
    <t>TTM Payout</t>
  </si>
  <si>
    <t>2007-12</t>
  </si>
  <si>
    <t>2008-12</t>
  </si>
  <si>
    <t>2009-12</t>
  </si>
  <si>
    <t>2010-12</t>
  </si>
  <si>
    <t>2011-12</t>
  </si>
  <si>
    <t>2012-12</t>
  </si>
  <si>
    <t>2013-12</t>
  </si>
  <si>
    <t>2014-12</t>
  </si>
  <si>
    <t>2015-12</t>
  </si>
  <si>
    <t>2016-12</t>
  </si>
  <si>
    <t>2017-12</t>
  </si>
  <si>
    <t>2018-12</t>
  </si>
  <si>
    <t>Payout TTM</t>
  </si>
  <si>
    <t>TTM</t>
  </si>
  <si>
    <t>Fortis</t>
  </si>
  <si>
    <t>Emera</t>
  </si>
  <si>
    <t>Algonquin Power</t>
  </si>
  <si>
    <t>Canadian Utilities</t>
  </si>
  <si>
    <t>Average</t>
  </si>
  <si>
    <t>5 year avg DY</t>
  </si>
  <si>
    <t>7 year avg DY</t>
  </si>
  <si>
    <t>TTM ROE</t>
  </si>
  <si>
    <t>Median</t>
  </si>
  <si>
    <t>Max</t>
  </si>
  <si>
    <t>Min</t>
  </si>
  <si>
    <t xml:space="preserve"> </t>
  </si>
  <si>
    <t>ALLETE INC</t>
  </si>
  <si>
    <t>ALLIANT ENERGY CORP</t>
  </si>
  <si>
    <t>AMEREN CORP</t>
  </si>
  <si>
    <t>AMERICAN ELECTRIC POWER CO</t>
  </si>
  <si>
    <t>ATMOS ENERGY CORP</t>
  </si>
  <si>
    <t>CENTERPOINT ENERGY INC</t>
  </si>
  <si>
    <t>CMS ENERGY CORP</t>
  </si>
  <si>
    <t>DTE ENERGY CO</t>
  </si>
  <si>
    <t>ENTERGY CORP</t>
  </si>
  <si>
    <t>MGE ENERGY INC</t>
  </si>
  <si>
    <t>NEW JERSEY RESOURCES CORP</t>
  </si>
  <si>
    <t>NORTHWESTERN CORP</t>
  </si>
  <si>
    <t>OGE ENERGY CORP</t>
  </si>
  <si>
    <t>PORTLAND GENERAL ELECTRIC CO</t>
  </si>
  <si>
    <t>XCEL ENERGY INC</t>
  </si>
  <si>
    <t>Duke Energy Corporation</t>
  </si>
  <si>
    <t>Eversource Energy</t>
  </si>
  <si>
    <t>Sempra Energy</t>
  </si>
  <si>
    <t>Black Hills</t>
  </si>
  <si>
    <t>Unitil Corporation</t>
  </si>
  <si>
    <t>WEC Energy Group</t>
  </si>
  <si>
    <t>NiSource Inc.</t>
  </si>
  <si>
    <t>Northwest Natural Holding Company</t>
  </si>
  <si>
    <t>Evergy Inc</t>
  </si>
  <si>
    <t>DOMINION Energy Inc</t>
  </si>
  <si>
    <t>Spire Inc</t>
  </si>
  <si>
    <t>ONE Gas Inc</t>
  </si>
  <si>
    <t>Current Dividend</t>
  </si>
  <si>
    <t>DY</t>
  </si>
  <si>
    <t>Southern Company</t>
  </si>
  <si>
    <t>Avg of two averages</t>
  </si>
  <si>
    <t>Avg of two medians</t>
  </si>
  <si>
    <t>Ke</t>
  </si>
  <si>
    <t>g</t>
  </si>
  <si>
    <t>2023 payout</t>
  </si>
  <si>
    <t>DY (Dec 23)</t>
  </si>
  <si>
    <t>2023 ROE</t>
  </si>
  <si>
    <t>Implied g (using 2023 payout and 2023 ROE)</t>
  </si>
  <si>
    <t>Implied Ke (using g for 2023 payout and ROE) and Dec 23 DY</t>
  </si>
  <si>
    <t>Implied Ke (using g based 16-23 payout and 16-23 ROE) and using 7-year avg DY</t>
  </si>
  <si>
    <t>payout(17-23)</t>
  </si>
  <si>
    <t>Avg ROE (17-23)</t>
  </si>
  <si>
    <t>Implied g (using avg 17-23 payout and avg 17-23 ROE)</t>
  </si>
  <si>
    <t>Implied g (using 17-23 payout and 17-23 ROE)</t>
  </si>
  <si>
    <t>Implied Ke (using g based 17-23 payout and 17-23 ROE) and using 7-year avg DY</t>
  </si>
  <si>
    <t>Hydro One Ltd</t>
  </si>
  <si>
    <t>Hydro One</t>
  </si>
  <si>
    <t>Table 10 and 11 - Data and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</si>
</sst>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vertical="center" wrapText="1"/>
    </xf>
    <xf numFmtId="2" fontId="0" fillId="0" borderId="0" xfId="0" applyNumberFormat="1" applyAlignment="1">
      <alignment horizontal="righ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/>
    <xf numFmtId="0" fontId="0" fillId="2" borderId="0" xfId="0" applyFill="1"/>
    <xf numFmtId="2" fontId="0" fillId="2" borderId="0" xfId="0" applyNumberFormat="1" applyFill="1"/>
    <xf numFmtId="0" fontId="2" fillId="2" borderId="0" xfId="0" applyFont="1" applyFill="1"/>
    <xf numFmtId="2" fontId="2" fillId="2" borderId="0" xfId="0" applyNumberFormat="1" applyFont="1" applyFill="1"/>
    <xf numFmtId="2" fontId="4" fillId="0" borderId="0" xfId="0" applyNumberFormat="1" applyFont="1" applyAlignment="1">
      <alignment horizontal="right" vertical="center" wrapText="1"/>
    </xf>
    <xf numFmtId="2" fontId="5" fillId="2" borderId="0" xfId="0" applyNumberFormat="1" applyFont="1" applyFill="1" applyAlignment="1">
      <alignment horizontal="right" vertical="center" wrapText="1"/>
    </xf>
    <xf numFmtId="2" fontId="4" fillId="2" borderId="0" xfId="0" applyNumberFormat="1" applyFont="1" applyFill="1" applyAlignment="1">
      <alignment horizontal="right" vertical="center" wrapText="1"/>
    </xf>
    <xf numFmtId="2" fontId="2" fillId="0" borderId="0" xfId="0" applyNumberFormat="1" applyFont="1"/>
    <xf numFmtId="0" fontId="0" fillId="3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9"/>
  <sheetViews>
    <sheetView tabSelected="1" workbookViewId="0">
      <selection activeCell="B2" sqref="B2"/>
    </sheetView>
  </sheetViews>
  <sheetFormatPr defaultRowHeight="14.4" x14ac:dyDescent="0.55000000000000004"/>
  <cols>
    <col min="1" max="1" width="30.15625" customWidth="1"/>
    <col min="2" max="2" width="17.5234375" customWidth="1"/>
    <col min="3" max="4" width="12.41796875" customWidth="1"/>
    <col min="5" max="5" width="11.578125" bestFit="1" customWidth="1"/>
    <col min="6" max="6" width="13.41796875" bestFit="1" customWidth="1"/>
    <col min="7" max="7" width="9" customWidth="1"/>
    <col min="8" max="8" width="8.68359375" customWidth="1"/>
    <col min="9" max="9" width="15" bestFit="1" customWidth="1"/>
    <col min="11" max="11" width="35.41796875" bestFit="1" customWidth="1"/>
    <col min="13" max="13" width="36.15625" bestFit="1" customWidth="1"/>
    <col min="14" max="14" width="21.578125" customWidth="1"/>
    <col min="15" max="15" width="14.41796875" customWidth="1"/>
    <col min="16" max="16" width="15.41796875" customWidth="1"/>
  </cols>
  <sheetData>
    <row r="1" spans="1:52" x14ac:dyDescent="0.55000000000000004">
      <c r="B1" s="1" t="s">
        <v>79</v>
      </c>
    </row>
    <row r="3" spans="1:52" x14ac:dyDescent="0.55000000000000004">
      <c r="R3" t="s">
        <v>0</v>
      </c>
      <c r="AJ3" t="s">
        <v>1</v>
      </c>
    </row>
    <row r="4" spans="1:52" x14ac:dyDescent="0.55000000000000004">
      <c r="B4" t="s">
        <v>2</v>
      </c>
      <c r="C4" s="2" t="s">
        <v>3</v>
      </c>
      <c r="D4" s="2" t="s">
        <v>4</v>
      </c>
      <c r="F4" s="2"/>
      <c r="G4" s="2"/>
      <c r="H4" s="2"/>
      <c r="I4" s="2"/>
      <c r="J4" s="2"/>
      <c r="K4" s="2"/>
      <c r="L4" s="2"/>
      <c r="M4" t="s">
        <v>66</v>
      </c>
      <c r="N4" t="s">
        <v>5</v>
      </c>
      <c r="O4" s="1" t="s">
        <v>6</v>
      </c>
      <c r="P4" s="1" t="s">
        <v>7</v>
      </c>
      <c r="Q4" s="1" t="s">
        <v>8</v>
      </c>
      <c r="R4" s="1" t="s">
        <v>9</v>
      </c>
      <c r="S4" s="1" t="s">
        <v>10</v>
      </c>
      <c r="T4" s="1" t="s">
        <v>11</v>
      </c>
      <c r="U4" s="1" t="s">
        <v>12</v>
      </c>
      <c r="V4" s="1" t="s">
        <v>13</v>
      </c>
      <c r="W4" s="1" t="s">
        <v>14</v>
      </c>
      <c r="X4" s="1" t="s">
        <v>15</v>
      </c>
      <c r="Y4" s="1" t="s">
        <v>16</v>
      </c>
      <c r="Z4" s="1" t="s">
        <v>17</v>
      </c>
      <c r="AA4" s="3">
        <v>43800</v>
      </c>
      <c r="AB4" s="3">
        <v>44166</v>
      </c>
      <c r="AC4" s="3">
        <v>44531</v>
      </c>
      <c r="AD4" s="3">
        <v>44896</v>
      </c>
      <c r="AE4" s="3">
        <v>45261</v>
      </c>
      <c r="AF4" s="1" t="s">
        <v>18</v>
      </c>
      <c r="AH4" s="1" t="s">
        <v>6</v>
      </c>
      <c r="AI4" s="1" t="s">
        <v>7</v>
      </c>
      <c r="AJ4" s="1" t="s">
        <v>8</v>
      </c>
      <c r="AK4" s="1" t="s">
        <v>9</v>
      </c>
      <c r="AL4" s="1" t="s">
        <v>10</v>
      </c>
      <c r="AM4" s="1" t="s">
        <v>11</v>
      </c>
      <c r="AN4" s="1" t="s">
        <v>12</v>
      </c>
      <c r="AO4" s="1" t="s">
        <v>13</v>
      </c>
      <c r="AP4" s="1" t="s">
        <v>14</v>
      </c>
      <c r="AQ4" s="1" t="s">
        <v>15</v>
      </c>
      <c r="AR4" s="1" t="s">
        <v>16</v>
      </c>
      <c r="AS4" s="1" t="s">
        <v>17</v>
      </c>
      <c r="AT4" s="3">
        <v>43800</v>
      </c>
      <c r="AU4" s="3">
        <v>44166</v>
      </c>
      <c r="AV4" s="3">
        <v>44531</v>
      </c>
      <c r="AW4" s="3">
        <v>44897</v>
      </c>
      <c r="AX4" s="3">
        <v>45263</v>
      </c>
      <c r="AY4" s="1" t="s">
        <v>19</v>
      </c>
    </row>
    <row r="5" spans="1:52" x14ac:dyDescent="0.55000000000000004">
      <c r="A5" t="s">
        <v>20</v>
      </c>
      <c r="B5" s="4">
        <v>4.28</v>
      </c>
      <c r="C5" s="5">
        <v>3.67</v>
      </c>
      <c r="D5" s="5">
        <v>3.71</v>
      </c>
      <c r="F5" s="5"/>
      <c r="G5" s="4"/>
      <c r="H5" s="5"/>
      <c r="I5" s="5"/>
      <c r="J5" s="5"/>
      <c r="K5" s="5"/>
      <c r="L5" s="5"/>
      <c r="M5" s="6">
        <v>73.709999999999994</v>
      </c>
      <c r="N5" s="6"/>
      <c r="O5">
        <v>62.1</v>
      </c>
      <c r="P5">
        <v>65.8</v>
      </c>
      <c r="Q5">
        <v>68.900000000000006</v>
      </c>
      <c r="R5">
        <v>69.099999999999994</v>
      </c>
      <c r="S5">
        <v>65.3</v>
      </c>
      <c r="T5">
        <v>72.7</v>
      </c>
      <c r="U5">
        <v>76</v>
      </c>
      <c r="V5">
        <v>92.75</v>
      </c>
      <c r="W5">
        <v>53.86</v>
      </c>
      <c r="X5">
        <v>80.69</v>
      </c>
      <c r="Y5">
        <v>70.349999999999994</v>
      </c>
      <c r="Z5">
        <v>66.599999999999994</v>
      </c>
      <c r="AA5">
        <v>48.35</v>
      </c>
      <c r="AB5">
        <v>74.52</v>
      </c>
      <c r="AC5">
        <v>78.06</v>
      </c>
      <c r="AD5">
        <v>78.06</v>
      </c>
      <c r="AE5">
        <v>73.709999999999994</v>
      </c>
      <c r="AH5">
        <v>9.9600000000000009</v>
      </c>
      <c r="AI5">
        <v>8.68</v>
      </c>
      <c r="AJ5">
        <v>8.4</v>
      </c>
      <c r="AK5">
        <v>8.77</v>
      </c>
      <c r="AL5">
        <v>8.86</v>
      </c>
      <c r="AM5">
        <v>8.01</v>
      </c>
      <c r="AN5">
        <v>8.06</v>
      </c>
      <c r="AO5">
        <v>5.45</v>
      </c>
      <c r="AP5">
        <v>9.75</v>
      </c>
      <c r="AQ5">
        <v>5.56</v>
      </c>
      <c r="AR5">
        <v>7.31</v>
      </c>
      <c r="AS5">
        <v>7.78</v>
      </c>
      <c r="AT5">
        <v>10.4</v>
      </c>
      <c r="AU5">
        <v>7.12</v>
      </c>
      <c r="AV5">
        <v>7.09</v>
      </c>
      <c r="AW5">
        <v>7.18</v>
      </c>
      <c r="AX5">
        <v>7.67</v>
      </c>
      <c r="AY5">
        <v>7.61</v>
      </c>
      <c r="AZ5" t="s">
        <v>20</v>
      </c>
    </row>
    <row r="6" spans="1:52" x14ac:dyDescent="0.55000000000000004">
      <c r="A6" t="s">
        <v>21</v>
      </c>
      <c r="B6" s="4">
        <v>5.82</v>
      </c>
      <c r="C6" s="5">
        <v>4.6399999999999997</v>
      </c>
      <c r="D6" s="5">
        <v>4.7699999999999996</v>
      </c>
      <c r="F6" s="5"/>
      <c r="G6" s="4"/>
      <c r="H6" s="5"/>
      <c r="I6" s="5"/>
      <c r="J6" s="5"/>
      <c r="K6" s="5"/>
      <c r="L6" s="5"/>
      <c r="M6" s="6">
        <v>78.08</v>
      </c>
      <c r="N6" s="6"/>
      <c r="O6">
        <v>68.2</v>
      </c>
      <c r="P6">
        <v>76.599999999999994</v>
      </c>
      <c r="Q6">
        <v>67.8</v>
      </c>
      <c r="R6">
        <v>70.5</v>
      </c>
      <c r="S6">
        <v>71.8</v>
      </c>
      <c r="T6">
        <v>77.400000000000006</v>
      </c>
      <c r="U6">
        <v>77.3</v>
      </c>
      <c r="V6">
        <v>52.31</v>
      </c>
      <c r="W6">
        <v>61.35</v>
      </c>
      <c r="X6">
        <v>100</v>
      </c>
      <c r="Y6">
        <v>100</v>
      </c>
      <c r="Z6">
        <v>75.08</v>
      </c>
      <c r="AA6">
        <v>86.05</v>
      </c>
      <c r="AB6">
        <v>65.48</v>
      </c>
      <c r="AC6" s="13">
        <v>100</v>
      </c>
      <c r="AD6">
        <v>75.42</v>
      </c>
      <c r="AE6">
        <v>78.08</v>
      </c>
      <c r="AH6">
        <v>10.93</v>
      </c>
      <c r="AI6">
        <v>9.92</v>
      </c>
      <c r="AJ6">
        <v>11.52</v>
      </c>
      <c r="AK6">
        <v>12.21</v>
      </c>
      <c r="AL6">
        <v>15.66</v>
      </c>
      <c r="AM6">
        <v>14.19</v>
      </c>
      <c r="AN6">
        <v>11.59</v>
      </c>
      <c r="AO6">
        <v>17</v>
      </c>
      <c r="AP6">
        <v>12.85</v>
      </c>
      <c r="AQ6">
        <v>4.79</v>
      </c>
      <c r="AR6">
        <v>4.3</v>
      </c>
      <c r="AS6">
        <v>10.36</v>
      </c>
      <c r="AT6">
        <v>8.91</v>
      </c>
      <c r="AU6">
        <v>11.9</v>
      </c>
      <c r="AV6">
        <v>6.04</v>
      </c>
      <c r="AW6">
        <v>10.11</v>
      </c>
      <c r="AX6">
        <v>9.4700000000000006</v>
      </c>
      <c r="AY6">
        <v>5.82</v>
      </c>
      <c r="AZ6" t="s">
        <v>21</v>
      </c>
    </row>
    <row r="7" spans="1:52" x14ac:dyDescent="0.55000000000000004">
      <c r="A7" t="s">
        <v>22</v>
      </c>
      <c r="B7" s="4">
        <v>6.55</v>
      </c>
      <c r="C7" s="5">
        <v>4.92</v>
      </c>
      <c r="D7" s="5">
        <v>5.57</v>
      </c>
      <c r="E7" s="5"/>
      <c r="F7" s="5"/>
      <c r="G7" s="4"/>
      <c r="H7" s="5"/>
      <c r="I7" s="5"/>
      <c r="J7" s="5"/>
      <c r="K7" s="5"/>
      <c r="L7" s="5"/>
      <c r="M7" s="6">
        <v>100</v>
      </c>
      <c r="N7" s="6"/>
      <c r="O7">
        <v>100</v>
      </c>
      <c r="Q7">
        <v>30.4</v>
      </c>
      <c r="R7">
        <v>100</v>
      </c>
      <c r="S7">
        <v>55.3</v>
      </c>
      <c r="T7">
        <v>100</v>
      </c>
      <c r="U7">
        <v>100</v>
      </c>
      <c r="V7">
        <v>100</v>
      </c>
      <c r="W7">
        <v>100</v>
      </c>
      <c r="X7">
        <v>100</v>
      </c>
      <c r="Y7">
        <v>100</v>
      </c>
      <c r="Z7">
        <v>100</v>
      </c>
      <c r="AA7">
        <v>53</v>
      </c>
      <c r="AB7">
        <v>44.26</v>
      </c>
      <c r="AC7">
        <v>100</v>
      </c>
      <c r="AE7">
        <v>100</v>
      </c>
      <c r="AH7">
        <v>5.85</v>
      </c>
      <c r="AI7">
        <v>-5.39</v>
      </c>
      <c r="AJ7">
        <v>16.690000000000001</v>
      </c>
      <c r="AK7">
        <v>5.2</v>
      </c>
      <c r="AL7">
        <v>5.42</v>
      </c>
      <c r="AM7">
        <v>2.21</v>
      </c>
      <c r="AN7">
        <v>1.76</v>
      </c>
      <c r="AO7">
        <v>5.96</v>
      </c>
      <c r="AP7">
        <v>6.53</v>
      </c>
      <c r="AQ7">
        <v>7.14</v>
      </c>
      <c r="AR7">
        <v>7.62</v>
      </c>
      <c r="AS7">
        <v>6.4</v>
      </c>
      <c r="AT7">
        <v>15.63</v>
      </c>
      <c r="AU7">
        <v>17.77</v>
      </c>
      <c r="AV7">
        <v>4.79</v>
      </c>
      <c r="AW7">
        <v>-4.12</v>
      </c>
      <c r="AX7">
        <v>0.41</v>
      </c>
      <c r="AY7">
        <v>-6.8</v>
      </c>
      <c r="AZ7" t="s">
        <v>22</v>
      </c>
    </row>
    <row r="8" spans="1:52" x14ac:dyDescent="0.55000000000000004">
      <c r="A8" t="s">
        <v>23</v>
      </c>
      <c r="B8" s="4">
        <v>5.71</v>
      </c>
      <c r="C8" s="5">
        <v>5.17</v>
      </c>
      <c r="D8" s="5">
        <v>5.05</v>
      </c>
      <c r="E8" s="5"/>
      <c r="F8" s="5"/>
      <c r="G8" s="4"/>
      <c r="H8" s="5"/>
      <c r="I8" s="5"/>
      <c r="J8" s="5"/>
      <c r="K8" s="5"/>
      <c r="L8" s="5"/>
      <c r="M8" s="6">
        <v>77.010000000000005</v>
      </c>
      <c r="N8" s="6"/>
      <c r="O8">
        <v>40.700000000000003</v>
      </c>
      <c r="P8">
        <v>40.6</v>
      </c>
      <c r="Q8">
        <v>38</v>
      </c>
      <c r="R8">
        <v>43.8</v>
      </c>
      <c r="S8">
        <v>43.6</v>
      </c>
      <c r="T8">
        <v>43.1</v>
      </c>
      <c r="U8">
        <v>42.1</v>
      </c>
      <c r="V8">
        <v>42.46</v>
      </c>
      <c r="W8">
        <v>100</v>
      </c>
      <c r="X8">
        <v>63.11</v>
      </c>
      <c r="Y8">
        <v>92.86</v>
      </c>
      <c r="Z8">
        <v>75.63</v>
      </c>
      <c r="AA8">
        <v>52.19</v>
      </c>
      <c r="AB8">
        <v>100</v>
      </c>
      <c r="AC8">
        <v>100</v>
      </c>
      <c r="AD8">
        <v>86.25</v>
      </c>
      <c r="AE8">
        <v>77.010000000000005</v>
      </c>
      <c r="AH8">
        <v>15.96</v>
      </c>
      <c r="AI8">
        <v>15.67</v>
      </c>
      <c r="AJ8">
        <v>16.100000000000001</v>
      </c>
      <c r="AK8">
        <v>13.76</v>
      </c>
      <c r="AL8">
        <v>14.72</v>
      </c>
      <c r="AM8">
        <v>16.32</v>
      </c>
      <c r="AN8">
        <v>14.97</v>
      </c>
      <c r="AO8">
        <v>15.07</v>
      </c>
      <c r="AP8">
        <v>6.43</v>
      </c>
      <c r="AQ8">
        <v>11.69</v>
      </c>
      <c r="AR8">
        <v>8.73</v>
      </c>
      <c r="AS8">
        <v>11.71</v>
      </c>
      <c r="AT8">
        <v>17.43</v>
      </c>
      <c r="AU8">
        <v>6.93</v>
      </c>
      <c r="AV8">
        <v>6.43</v>
      </c>
      <c r="AW8">
        <v>10.74</v>
      </c>
      <c r="AX8">
        <v>11.8</v>
      </c>
      <c r="AY8">
        <v>10.71</v>
      </c>
      <c r="AZ8" t="s">
        <v>23</v>
      </c>
    </row>
    <row r="9" spans="1:52" x14ac:dyDescent="0.55000000000000004">
      <c r="A9" s="21" t="s">
        <v>77</v>
      </c>
      <c r="B9" s="4">
        <v>2.96</v>
      </c>
      <c r="C9" s="5">
        <v>3.31</v>
      </c>
      <c r="D9" s="5">
        <v>3.55</v>
      </c>
      <c r="E9" s="5"/>
      <c r="F9" s="5"/>
      <c r="G9" s="4"/>
      <c r="H9" s="5"/>
      <c r="I9" s="5"/>
      <c r="J9" s="5"/>
      <c r="K9" s="5"/>
      <c r="L9" s="5"/>
      <c r="M9" s="6">
        <v>64.569999999999993</v>
      </c>
      <c r="N9" s="6"/>
      <c r="X9">
        <v>80.17</v>
      </c>
      <c r="Y9">
        <v>79.09</v>
      </c>
      <c r="AA9">
        <v>73.42</v>
      </c>
      <c r="AB9">
        <v>33.979999999999997</v>
      </c>
      <c r="AC9">
        <v>65.37</v>
      </c>
      <c r="AD9">
        <v>64.569999999999993</v>
      </c>
      <c r="AO9">
        <v>9.67</v>
      </c>
      <c r="AP9">
        <v>8.1199999999999992</v>
      </c>
      <c r="AQ9">
        <v>7.58</v>
      </c>
      <c r="AR9">
        <v>6.8</v>
      </c>
      <c r="AS9">
        <v>-0.94</v>
      </c>
      <c r="AT9">
        <v>8.4</v>
      </c>
      <c r="AU9">
        <v>17.78</v>
      </c>
      <c r="AV9">
        <v>9.01</v>
      </c>
      <c r="AW9">
        <v>9.4600000000000009</v>
      </c>
      <c r="AX9">
        <v>9.44</v>
      </c>
      <c r="AY9">
        <v>9.44</v>
      </c>
      <c r="AZ9" t="s">
        <v>78</v>
      </c>
    </row>
    <row r="10" spans="1:52" x14ac:dyDescent="0.55000000000000004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6"/>
    </row>
    <row r="11" spans="1:52" x14ac:dyDescent="0.55000000000000004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4"/>
      <c r="N11" s="5" t="s">
        <v>24</v>
      </c>
      <c r="O11" s="6">
        <f t="shared" ref="O11:AE11" si="0">AVERAGE(O5,O6,O7,O8,O9)</f>
        <v>67.75</v>
      </c>
      <c r="P11" s="6">
        <f t="shared" si="0"/>
        <v>60.999999999999993</v>
      </c>
      <c r="Q11" s="6">
        <f t="shared" si="0"/>
        <v>51.274999999999999</v>
      </c>
      <c r="R11" s="6">
        <f t="shared" si="0"/>
        <v>70.849999999999994</v>
      </c>
      <c r="S11" s="6">
        <f t="shared" si="0"/>
        <v>58.999999999999993</v>
      </c>
      <c r="T11" s="6">
        <f t="shared" si="0"/>
        <v>73.300000000000011</v>
      </c>
      <c r="U11" s="6">
        <f t="shared" si="0"/>
        <v>73.850000000000009</v>
      </c>
      <c r="V11" s="6">
        <f t="shared" si="0"/>
        <v>71.88</v>
      </c>
      <c r="W11" s="6">
        <f t="shared" si="0"/>
        <v>78.802500000000009</v>
      </c>
      <c r="X11" s="6">
        <f t="shared" si="0"/>
        <v>84.794000000000011</v>
      </c>
      <c r="Y11" s="6">
        <f t="shared" si="0"/>
        <v>88.460000000000008</v>
      </c>
      <c r="Z11" s="6">
        <f t="shared" si="0"/>
        <v>79.327500000000001</v>
      </c>
      <c r="AA11" s="6">
        <f t="shared" si="0"/>
        <v>62.601999999999997</v>
      </c>
      <c r="AB11" s="6">
        <f t="shared" si="0"/>
        <v>63.648000000000003</v>
      </c>
      <c r="AC11" s="6">
        <f t="shared" si="0"/>
        <v>88.686000000000007</v>
      </c>
      <c r="AD11" s="6">
        <f t="shared" si="0"/>
        <v>76.075000000000003</v>
      </c>
      <c r="AE11" s="6">
        <f t="shared" si="0"/>
        <v>82.2</v>
      </c>
      <c r="AF11" s="6"/>
      <c r="AG11" s="5" t="s">
        <v>24</v>
      </c>
      <c r="AH11" s="6">
        <f t="shared" ref="AH11:AX11" si="1">AVERAGE(AH5,AH6,AH7,AH8,AH9)</f>
        <v>10.675000000000001</v>
      </c>
      <c r="AI11" s="6">
        <f t="shared" si="1"/>
        <v>7.2200000000000006</v>
      </c>
      <c r="AJ11" s="6">
        <f t="shared" si="1"/>
        <v>13.1775</v>
      </c>
      <c r="AK11" s="6">
        <f t="shared" si="1"/>
        <v>9.9849999999999994</v>
      </c>
      <c r="AL11" s="6">
        <f t="shared" si="1"/>
        <v>11.164999999999999</v>
      </c>
      <c r="AM11" s="6">
        <f t="shared" si="1"/>
        <v>10.182500000000001</v>
      </c>
      <c r="AN11" s="6">
        <f t="shared" si="1"/>
        <v>9.0950000000000006</v>
      </c>
      <c r="AO11" s="6">
        <f t="shared" si="1"/>
        <v>10.63</v>
      </c>
      <c r="AP11" s="6">
        <f t="shared" si="1"/>
        <v>8.7360000000000007</v>
      </c>
      <c r="AQ11" s="6">
        <f t="shared" si="1"/>
        <v>7.3519999999999994</v>
      </c>
      <c r="AR11" s="6">
        <f t="shared" si="1"/>
        <v>6.952</v>
      </c>
      <c r="AS11" s="6">
        <f t="shared" si="1"/>
        <v>7.0620000000000003</v>
      </c>
      <c r="AT11" s="6">
        <f t="shared" si="1"/>
        <v>12.154</v>
      </c>
      <c r="AU11" s="6">
        <f t="shared" si="1"/>
        <v>12.3</v>
      </c>
      <c r="AV11" s="6">
        <f t="shared" si="1"/>
        <v>6.6719999999999997</v>
      </c>
      <c r="AW11" s="6">
        <f t="shared" si="1"/>
        <v>6.6739999999999995</v>
      </c>
      <c r="AX11" s="6">
        <f t="shared" si="1"/>
        <v>7.758</v>
      </c>
      <c r="AY11" s="6">
        <f>AVERAGE(AY5:AY9)</f>
        <v>5.3559999999999999</v>
      </c>
    </row>
    <row r="12" spans="1:52" x14ac:dyDescent="0.55000000000000004">
      <c r="C12" s="7"/>
      <c r="D12" s="7"/>
      <c r="E12" s="7"/>
      <c r="F12" s="7"/>
      <c r="G12" s="7"/>
      <c r="H12" s="5"/>
      <c r="I12" s="5"/>
      <c r="J12" s="5"/>
      <c r="K12" s="5"/>
      <c r="L12" s="5"/>
      <c r="N12" s="8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8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</row>
    <row r="13" spans="1:52" x14ac:dyDescent="0.55000000000000004">
      <c r="C13" s="7"/>
      <c r="D13" s="7"/>
      <c r="E13" s="7"/>
      <c r="F13" s="7"/>
      <c r="G13" s="7"/>
      <c r="H13" s="5"/>
      <c r="I13" s="5"/>
      <c r="J13" s="5"/>
      <c r="K13" s="5"/>
      <c r="L13" s="5"/>
      <c r="N13" s="8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8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1"/>
    </row>
    <row r="14" spans="1:52" x14ac:dyDescent="0.55000000000000004">
      <c r="C14" s="7"/>
      <c r="D14" s="7"/>
      <c r="E14" s="7"/>
      <c r="F14" s="7"/>
      <c r="G14" s="7"/>
      <c r="H14" s="5"/>
      <c r="I14" s="5"/>
      <c r="J14" s="5"/>
      <c r="K14" s="5"/>
      <c r="L14" s="5"/>
      <c r="N14" s="8"/>
      <c r="O14" s="10"/>
      <c r="P14" s="10"/>
      <c r="Q14" s="10"/>
      <c r="R14" s="10"/>
      <c r="S14" s="10"/>
      <c r="T14" s="10"/>
      <c r="U14" s="10"/>
      <c r="V14" s="10"/>
      <c r="W14" s="17"/>
      <c r="X14" s="17"/>
      <c r="Y14" s="18" t="s">
        <v>64</v>
      </c>
      <c r="Z14" s="18" t="s">
        <v>65</v>
      </c>
      <c r="AA14" s="10"/>
      <c r="AB14" s="10"/>
      <c r="AC14" s="10"/>
      <c r="AD14" s="10"/>
      <c r="AE14" s="10"/>
      <c r="AF14" s="10"/>
      <c r="AG14" s="8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</row>
    <row r="15" spans="1:52" x14ac:dyDescent="0.55000000000000004">
      <c r="B15" t="s">
        <v>67</v>
      </c>
      <c r="C15" s="13" t="s">
        <v>25</v>
      </c>
      <c r="D15" t="s">
        <v>26</v>
      </c>
      <c r="E15" t="s">
        <v>66</v>
      </c>
      <c r="F15" t="s">
        <v>72</v>
      </c>
      <c r="G15" t="s">
        <v>68</v>
      </c>
      <c r="H15" t="s">
        <v>27</v>
      </c>
      <c r="I15" t="s">
        <v>73</v>
      </c>
      <c r="J15" s="13"/>
      <c r="K15" s="15" t="s">
        <v>69</v>
      </c>
      <c r="L15" s="13"/>
      <c r="M15" s="15" t="s">
        <v>74</v>
      </c>
      <c r="N15" s="13"/>
      <c r="O15" s="15" t="s">
        <v>70</v>
      </c>
      <c r="P15" s="15" t="s">
        <v>71</v>
      </c>
      <c r="Q15" s="13"/>
      <c r="R15" s="13"/>
      <c r="S15" s="13"/>
      <c r="T15" s="13"/>
      <c r="U15" s="13"/>
      <c r="V15" s="13"/>
      <c r="W15" s="15" t="s">
        <v>62</v>
      </c>
      <c r="X15" s="15"/>
      <c r="Y15" s="16">
        <f>AVERAGE(O16,P16)</f>
        <v>6.6764451814514576</v>
      </c>
      <c r="Z15" s="16">
        <f>AVERAGE(K16,M16)</f>
        <v>1.7937699642857141</v>
      </c>
    </row>
    <row r="16" spans="1:52" x14ac:dyDescent="0.55000000000000004">
      <c r="A16" t="s">
        <v>24</v>
      </c>
      <c r="B16" s="4">
        <f>AVERAGE(B5:B6,B7,B8:B9)</f>
        <v>5.0640000000000009</v>
      </c>
      <c r="C16" s="14">
        <f>AVERAGE(C5:C6,C7,C8:C9)</f>
        <v>4.3419999999999996</v>
      </c>
      <c r="D16" s="4">
        <f>AVERAGE(D5:D6,D7,D8:D9)</f>
        <v>4.53</v>
      </c>
      <c r="E16" s="4">
        <f>AVERAGE(M5,M6,M7, M8, M9)</f>
        <v>78.674000000000007</v>
      </c>
      <c r="F16" s="4">
        <f>AVERAGE(Y11:AE11)</f>
        <v>77.285499999999999</v>
      </c>
      <c r="G16" s="4">
        <f>AVERAGE(AX5,AX6,AX7,AX8,AX9)</f>
        <v>7.758</v>
      </c>
      <c r="H16" s="4">
        <f>AVERAGE(AY5,AY6,AY7,AY8,AY9)</f>
        <v>5.3559999999999999</v>
      </c>
      <c r="I16" s="4">
        <f>AVERAGE(AR11:AX11)</f>
        <v>8.5102857142857147</v>
      </c>
      <c r="J16" s="13" t="s">
        <v>24</v>
      </c>
      <c r="K16" s="16">
        <f>G16*(1-E16/100)</f>
        <v>1.6544710799999991</v>
      </c>
      <c r="L16" s="14"/>
      <c r="M16" s="16">
        <f>I16*(1-F16/100)</f>
        <v>1.9330688485714289</v>
      </c>
      <c r="N16" s="13" t="s">
        <v>24</v>
      </c>
      <c r="O16" s="16">
        <f>B16*(1+K16/100)+K16</f>
        <v>6.8022534954912004</v>
      </c>
      <c r="P16" s="16">
        <f>D16*(1+M16/100)+M16</f>
        <v>6.5506368674117148</v>
      </c>
      <c r="Q16" s="13"/>
      <c r="R16" s="13"/>
      <c r="S16" s="13"/>
      <c r="T16" s="13"/>
      <c r="U16" s="13"/>
      <c r="V16" s="13"/>
      <c r="W16" s="15" t="s">
        <v>63</v>
      </c>
      <c r="X16" s="15"/>
      <c r="Y16" s="16">
        <f>AVERAGE(O17,P17)</f>
        <v>7.1518532068075</v>
      </c>
      <c r="Z16" s="16">
        <f>AVERAGE(K17,M17)</f>
        <v>1.8150739750000002</v>
      </c>
    </row>
    <row r="17" spans="1:45" x14ac:dyDescent="0.55000000000000004">
      <c r="A17" t="s">
        <v>28</v>
      </c>
      <c r="B17" s="4">
        <f>MEDIAN(B5:B6,B7,B8:B9)</f>
        <v>5.71</v>
      </c>
      <c r="C17" s="14">
        <f>MEDIAN(C5:C6,C7,C8:C9)</f>
        <v>4.6399999999999997</v>
      </c>
      <c r="D17" s="4">
        <f>MEDIAN(D5:D6,D7,D8:D9)</f>
        <v>4.7699999999999996</v>
      </c>
      <c r="E17" s="4">
        <f>MEDIAN(M5,M6,M7, M8, M9)</f>
        <v>77.010000000000005</v>
      </c>
      <c r="F17" s="4">
        <f>MEDIAN(Y11:AE11)</f>
        <v>79.327500000000001</v>
      </c>
      <c r="G17" s="4">
        <f>MEDIAN(AX5,AX6,AX7,AX8,AX9)</f>
        <v>9.44</v>
      </c>
      <c r="H17" s="4">
        <f>MEDIAN(AY5,AY6,AY7,AY8,AY9)</f>
        <v>7.61</v>
      </c>
      <c r="I17" s="4">
        <f>MEDIAN(AR11:AX11)</f>
        <v>7.0620000000000003</v>
      </c>
      <c r="J17" s="13" t="s">
        <v>28</v>
      </c>
      <c r="K17" s="16">
        <f>G17*(1-E17/100)</f>
        <v>2.1702559999999997</v>
      </c>
      <c r="L17" s="14"/>
      <c r="M17" s="16">
        <f>I17*(1-F17/100)</f>
        <v>1.4598919500000005</v>
      </c>
      <c r="N17" s="13" t="s">
        <v>28</v>
      </c>
      <c r="O17" s="16">
        <f>B17*(1+K17/100)+K17</f>
        <v>8.0041776175999999</v>
      </c>
      <c r="P17" s="16">
        <f>D17*(1+M17/100)+M17</f>
        <v>6.2995287960150002</v>
      </c>
      <c r="Q17" s="13"/>
      <c r="R17" s="13"/>
      <c r="S17" s="13"/>
      <c r="T17" s="13"/>
      <c r="U17" s="13"/>
      <c r="V17" s="13"/>
      <c r="W17" s="15"/>
      <c r="X17" s="15" t="s">
        <v>24</v>
      </c>
      <c r="Y17" s="16">
        <f>AVERAGE(Y15:Y16)</f>
        <v>6.9141491941294788</v>
      </c>
      <c r="Z17" s="16">
        <f>AVERAGE(Z15:Z16)</f>
        <v>1.8044219696428572</v>
      </c>
    </row>
    <row r="18" spans="1:45" x14ac:dyDescent="0.55000000000000004">
      <c r="A18" t="s">
        <v>29</v>
      </c>
      <c r="B18" s="4">
        <f>MAX(B5:B6,B7,B8:B9)</f>
        <v>6.55</v>
      </c>
      <c r="C18" s="14">
        <f>MAX(C5:C6,C7,C8:C9)</f>
        <v>5.17</v>
      </c>
      <c r="D18" s="4">
        <f>MAX(D5:D6,D7,D8:D9)</f>
        <v>5.57</v>
      </c>
      <c r="E18" s="4">
        <f>MAX(M5,M6,M7, M8, M9)</f>
        <v>100</v>
      </c>
      <c r="F18" s="4">
        <f>MAX(Y11:AE11)</f>
        <v>88.686000000000007</v>
      </c>
      <c r="G18" s="4">
        <f>MAX(AX5,AX6,AX7,AX8,AX9)</f>
        <v>11.8</v>
      </c>
      <c r="H18" s="4">
        <f>MAX(AY5,AY6,AY7,AY8,AY9)</f>
        <v>10.71</v>
      </c>
      <c r="I18" s="4">
        <f>MAX(AR11:AX11)</f>
        <v>12.3</v>
      </c>
      <c r="K18" s="4"/>
      <c r="L18" s="4"/>
      <c r="M18" s="4"/>
      <c r="O18" s="4"/>
      <c r="P18" s="4"/>
    </row>
    <row r="19" spans="1:45" x14ac:dyDescent="0.55000000000000004">
      <c r="A19" t="s">
        <v>30</v>
      </c>
      <c r="B19" s="4">
        <f>MIN(B5:B6,B7,B8:B9)</f>
        <v>2.96</v>
      </c>
      <c r="C19" s="14">
        <f>MIN(C5:C6,C7,C8:C9)</f>
        <v>3.31</v>
      </c>
      <c r="D19" s="4">
        <f>MIN(D5:D6,D7,D8:D9)</f>
        <v>3.55</v>
      </c>
      <c r="E19" s="4">
        <f>MIN(M5,M6,M7, M8, M9)</f>
        <v>64.569999999999993</v>
      </c>
      <c r="F19" s="4">
        <f>MIN(Y11:AE11)</f>
        <v>62.601999999999997</v>
      </c>
      <c r="G19" s="4">
        <f>MIN(AX5,AX6,AX7,AX8,AX9)</f>
        <v>0.41</v>
      </c>
      <c r="H19" s="4">
        <f>MIN(AY5,AY6,AY7,AY8,AY9)</f>
        <v>-6.8</v>
      </c>
      <c r="I19" s="4">
        <f>MIN(AR11:AX11)</f>
        <v>6.6719999999999997</v>
      </c>
      <c r="K19" s="4"/>
      <c r="L19" s="4"/>
      <c r="M19" s="4"/>
      <c r="O19" s="4"/>
      <c r="P19" s="4"/>
      <c r="R19" t="s">
        <v>31</v>
      </c>
    </row>
    <row r="22" spans="1:45" x14ac:dyDescent="0.55000000000000004">
      <c r="O22" t="s">
        <v>0</v>
      </c>
      <c r="X22" s="22" t="s">
        <v>1</v>
      </c>
      <c r="Y22" s="22"/>
      <c r="Z22" s="22"/>
      <c r="AA22" s="22"/>
      <c r="AB22" s="22"/>
      <c r="AC22" s="22"/>
      <c r="AL22" t="s">
        <v>60</v>
      </c>
    </row>
    <row r="23" spans="1:45" x14ac:dyDescent="0.55000000000000004">
      <c r="B23" t="s">
        <v>59</v>
      </c>
      <c r="C23" s="2" t="s">
        <v>3</v>
      </c>
      <c r="D23" s="2" t="s">
        <v>4</v>
      </c>
      <c r="M23" t="s">
        <v>66</v>
      </c>
      <c r="N23" t="s">
        <v>5</v>
      </c>
      <c r="O23" s="1" t="s">
        <v>15</v>
      </c>
      <c r="P23" s="1" t="s">
        <v>16</v>
      </c>
      <c r="Q23" s="1" t="s">
        <v>17</v>
      </c>
      <c r="R23" s="3">
        <v>43800</v>
      </c>
      <c r="S23" s="3">
        <v>44166</v>
      </c>
      <c r="T23" s="3">
        <v>44531</v>
      </c>
      <c r="U23" s="3">
        <v>44896</v>
      </c>
      <c r="V23" s="3">
        <v>45262</v>
      </c>
      <c r="W23" s="1" t="s">
        <v>18</v>
      </c>
      <c r="Y23" s="1" t="s">
        <v>15</v>
      </c>
      <c r="Z23" s="1" t="s">
        <v>16</v>
      </c>
      <c r="AA23" s="1" t="s">
        <v>17</v>
      </c>
      <c r="AB23" s="3">
        <v>43800</v>
      </c>
      <c r="AC23" s="3">
        <v>44166</v>
      </c>
      <c r="AD23" s="3">
        <v>44531</v>
      </c>
      <c r="AE23" s="3">
        <v>44897</v>
      </c>
      <c r="AF23" s="3">
        <v>45263</v>
      </c>
      <c r="AG23" s="1" t="s">
        <v>19</v>
      </c>
      <c r="AH23" s="1"/>
      <c r="AL23">
        <v>2016</v>
      </c>
      <c r="AM23">
        <v>2017</v>
      </c>
      <c r="AN23">
        <v>2018</v>
      </c>
      <c r="AO23">
        <v>2019</v>
      </c>
      <c r="AP23">
        <v>2020</v>
      </c>
      <c r="AQ23">
        <v>2021</v>
      </c>
      <c r="AR23">
        <v>2022</v>
      </c>
      <c r="AS23">
        <v>2023</v>
      </c>
    </row>
    <row r="24" spans="1:45" x14ac:dyDescent="0.55000000000000004">
      <c r="A24" s="12" t="s">
        <v>32</v>
      </c>
      <c r="B24">
        <v>4.3899999999999997</v>
      </c>
      <c r="C24">
        <v>3.88</v>
      </c>
      <c r="D24" s="4">
        <f>AVERAGE(AM24:AS24)</f>
        <v>3.5671428571428576</v>
      </c>
      <c r="M24">
        <v>63.02</v>
      </c>
      <c r="O24">
        <v>66.239999999999995</v>
      </c>
      <c r="P24">
        <v>63.31</v>
      </c>
      <c r="Q24">
        <v>66.27</v>
      </c>
      <c r="R24">
        <v>65.459999999999994</v>
      </c>
      <c r="S24">
        <v>73.73</v>
      </c>
      <c r="T24">
        <v>78.02</v>
      </c>
      <c r="U24">
        <v>76.92</v>
      </c>
      <c r="V24">
        <v>63.02</v>
      </c>
      <c r="Y24">
        <v>8.36</v>
      </c>
      <c r="Z24">
        <v>8.69</v>
      </c>
      <c r="AA24">
        <v>8.24</v>
      </c>
      <c r="AB24">
        <v>8.4600000000000009</v>
      </c>
      <c r="AC24">
        <v>7.7</v>
      </c>
      <c r="AD24">
        <v>7.19</v>
      </c>
      <c r="AE24">
        <v>7.42</v>
      </c>
      <c r="AF24">
        <v>8.98</v>
      </c>
      <c r="AG24">
        <v>8.65</v>
      </c>
      <c r="AL24">
        <v>3.24</v>
      </c>
      <c r="AM24">
        <v>2.88</v>
      </c>
      <c r="AN24">
        <v>2.94</v>
      </c>
      <c r="AO24">
        <v>2.9</v>
      </c>
      <c r="AP24">
        <v>3.99</v>
      </c>
      <c r="AQ24">
        <v>3.8</v>
      </c>
      <c r="AR24">
        <v>4.03</v>
      </c>
      <c r="AS24">
        <v>4.43</v>
      </c>
    </row>
    <row r="25" spans="1:45" x14ac:dyDescent="0.55000000000000004">
      <c r="A25" s="12" t="s">
        <v>33</v>
      </c>
      <c r="B25">
        <v>3.73</v>
      </c>
      <c r="C25">
        <v>2.97</v>
      </c>
      <c r="D25" s="4">
        <f t="shared" ref="D25:D51" si="2">AVERAGE(AM25:AS25)</f>
        <v>2.9900000000000007</v>
      </c>
      <c r="M25">
        <v>65.11</v>
      </c>
      <c r="O25">
        <v>71.209999999999994</v>
      </c>
      <c r="P25">
        <v>63.32</v>
      </c>
      <c r="Q25">
        <v>61.19</v>
      </c>
      <c r="R25">
        <v>60.94</v>
      </c>
      <c r="S25">
        <v>61.54</v>
      </c>
      <c r="T25">
        <v>61.22</v>
      </c>
      <c r="U25">
        <v>62.64</v>
      </c>
      <c r="V25">
        <v>65.11</v>
      </c>
      <c r="Y25">
        <v>9.7899999999999991</v>
      </c>
      <c r="Z25">
        <v>11.37</v>
      </c>
      <c r="AA25">
        <v>11.68</v>
      </c>
      <c r="AB25">
        <v>11.38</v>
      </c>
      <c r="AC25">
        <v>1.27</v>
      </c>
      <c r="AD25">
        <v>11.29</v>
      </c>
      <c r="AE25">
        <v>11.19</v>
      </c>
      <c r="AF25">
        <v>10.77</v>
      </c>
      <c r="AG25">
        <v>10.62</v>
      </c>
      <c r="AL25">
        <v>3.1</v>
      </c>
      <c r="AM25">
        <v>2.96</v>
      </c>
      <c r="AN25">
        <v>3.17</v>
      </c>
      <c r="AO25">
        <v>2.6</v>
      </c>
      <c r="AP25">
        <v>2.95</v>
      </c>
      <c r="AQ25">
        <v>2.62</v>
      </c>
      <c r="AR25">
        <v>3.1</v>
      </c>
      <c r="AS25">
        <v>3.53</v>
      </c>
    </row>
    <row r="26" spans="1:45" x14ac:dyDescent="0.55000000000000004">
      <c r="A26" s="12" t="s">
        <v>34</v>
      </c>
      <c r="B26">
        <v>3.59</v>
      </c>
      <c r="C26">
        <v>2.67</v>
      </c>
      <c r="D26" s="4">
        <f t="shared" si="2"/>
        <v>2.7857142857142856</v>
      </c>
      <c r="M26">
        <v>57.53</v>
      </c>
      <c r="O26">
        <v>63.99</v>
      </c>
      <c r="P26">
        <v>83.06</v>
      </c>
      <c r="Q26">
        <v>55.65</v>
      </c>
      <c r="R26">
        <v>57.31</v>
      </c>
      <c r="S26">
        <v>57.14</v>
      </c>
      <c r="T26">
        <v>57.29</v>
      </c>
      <c r="U26">
        <v>57</v>
      </c>
      <c r="V26">
        <v>57.53</v>
      </c>
      <c r="Y26">
        <v>9.3000000000000007</v>
      </c>
      <c r="Z26">
        <v>7.32</v>
      </c>
      <c r="AA26">
        <v>11</v>
      </c>
      <c r="AB26">
        <v>10.55</v>
      </c>
      <c r="AC26">
        <v>10.25</v>
      </c>
      <c r="AD26">
        <v>10.62</v>
      </c>
      <c r="AE26">
        <v>10.63</v>
      </c>
      <c r="AF26">
        <v>10.54</v>
      </c>
      <c r="AG26">
        <v>10.42</v>
      </c>
      <c r="AL26">
        <v>3.27</v>
      </c>
      <c r="AM26">
        <v>3.01</v>
      </c>
      <c r="AN26">
        <v>2.83</v>
      </c>
      <c r="AO26">
        <v>2.5</v>
      </c>
      <c r="AP26">
        <v>2.56</v>
      </c>
      <c r="AQ26">
        <v>2.4700000000000002</v>
      </c>
      <c r="AR26">
        <v>2.65</v>
      </c>
      <c r="AS26">
        <v>3.48</v>
      </c>
    </row>
    <row r="27" spans="1:45" x14ac:dyDescent="0.55000000000000004">
      <c r="A27" s="12" t="s">
        <v>35</v>
      </c>
      <c r="B27">
        <v>3.9</v>
      </c>
      <c r="C27">
        <v>3.4</v>
      </c>
      <c r="D27" s="4">
        <f t="shared" si="2"/>
        <v>3.3971428571428572</v>
      </c>
      <c r="M27">
        <v>79.48</v>
      </c>
      <c r="O27">
        <v>100</v>
      </c>
      <c r="P27">
        <v>61.6</v>
      </c>
      <c r="Q27">
        <v>64.87</v>
      </c>
      <c r="R27">
        <v>69.849999999999994</v>
      </c>
      <c r="S27">
        <v>64.25</v>
      </c>
      <c r="T27">
        <v>60.48</v>
      </c>
      <c r="U27">
        <v>70.599999999999994</v>
      </c>
      <c r="V27">
        <v>79.48</v>
      </c>
      <c r="Y27">
        <v>3.46</v>
      </c>
      <c r="Z27">
        <v>10.72</v>
      </c>
      <c r="AA27">
        <v>10.31</v>
      </c>
      <c r="AB27">
        <v>9.94</v>
      </c>
      <c r="AC27">
        <v>10.95</v>
      </c>
      <c r="AD27">
        <v>11.58</v>
      </c>
      <c r="AE27">
        <v>9.9600000000000009</v>
      </c>
      <c r="AF27">
        <v>8.99</v>
      </c>
      <c r="AG27">
        <v>11.36</v>
      </c>
      <c r="AL27">
        <v>3.61</v>
      </c>
      <c r="AM27">
        <v>3.25</v>
      </c>
      <c r="AN27">
        <v>3.39</v>
      </c>
      <c r="AO27">
        <v>2.87</v>
      </c>
      <c r="AP27">
        <v>3.41</v>
      </c>
      <c r="AQ27">
        <v>3.37</v>
      </c>
      <c r="AR27">
        <v>3.34</v>
      </c>
      <c r="AS27">
        <v>4.1500000000000004</v>
      </c>
    </row>
    <row r="28" spans="1:45" x14ac:dyDescent="0.55000000000000004">
      <c r="A28" s="12" t="s">
        <v>36</v>
      </c>
      <c r="B28">
        <v>2.8</v>
      </c>
      <c r="C28">
        <v>2.35</v>
      </c>
      <c r="D28" s="4">
        <f t="shared" si="2"/>
        <v>2.3128571428571432</v>
      </c>
      <c r="M28">
        <v>48.25</v>
      </c>
      <c r="O28">
        <v>49.28</v>
      </c>
      <c r="P28">
        <v>33.86</v>
      </c>
      <c r="Q28">
        <v>50</v>
      </c>
      <c r="R28">
        <v>48.42</v>
      </c>
      <c r="S28">
        <v>45.81</v>
      </c>
      <c r="T28">
        <v>48.3</v>
      </c>
      <c r="U28">
        <v>48.94</v>
      </c>
      <c r="V28">
        <v>48.25</v>
      </c>
      <c r="Y28">
        <v>10.52</v>
      </c>
      <c r="Z28">
        <v>11.13</v>
      </c>
      <c r="AA28">
        <v>13.9</v>
      </c>
      <c r="AB28">
        <v>9.7100000000000009</v>
      </c>
      <c r="AC28">
        <v>9.58</v>
      </c>
      <c r="AD28">
        <v>9.0500000000000007</v>
      </c>
      <c r="AE28">
        <v>8.94</v>
      </c>
      <c r="AF28">
        <v>8.73</v>
      </c>
      <c r="AG28">
        <v>9.16</v>
      </c>
      <c r="AL28">
        <v>2.31</v>
      </c>
      <c r="AM28">
        <v>2.14</v>
      </c>
      <c r="AN28">
        <v>2.14</v>
      </c>
      <c r="AO28">
        <v>1.92</v>
      </c>
      <c r="AP28">
        <v>2.46</v>
      </c>
      <c r="AQ28">
        <v>2.44</v>
      </c>
      <c r="AR28">
        <v>2.48</v>
      </c>
      <c r="AS28">
        <v>2.61</v>
      </c>
    </row>
    <row r="29" spans="1:45" x14ac:dyDescent="0.55000000000000004">
      <c r="A29" s="12" t="s">
        <v>50</v>
      </c>
      <c r="B29">
        <v>4.6500000000000004</v>
      </c>
      <c r="C29">
        <v>3.43</v>
      </c>
      <c r="D29" s="4">
        <f t="shared" si="2"/>
        <v>3.3614285714285712</v>
      </c>
      <c r="M29">
        <v>63.94</v>
      </c>
      <c r="O29">
        <v>100</v>
      </c>
      <c r="P29">
        <v>51.42</v>
      </c>
      <c r="Q29">
        <v>40.380000000000003</v>
      </c>
      <c r="R29">
        <v>62.5</v>
      </c>
      <c r="S29">
        <v>59.45</v>
      </c>
      <c r="T29">
        <v>61.23</v>
      </c>
      <c r="U29">
        <v>60.71</v>
      </c>
      <c r="V29">
        <v>63.94</v>
      </c>
      <c r="Y29">
        <v>4.74</v>
      </c>
      <c r="Z29">
        <v>10.65</v>
      </c>
      <c r="AA29">
        <v>13.29</v>
      </c>
      <c r="AB29">
        <v>8.77</v>
      </c>
      <c r="AC29">
        <v>9.25</v>
      </c>
      <c r="AD29">
        <v>8.85</v>
      </c>
      <c r="AE29">
        <v>8.94</v>
      </c>
      <c r="AF29">
        <v>8.44</v>
      </c>
      <c r="AG29">
        <v>8.58</v>
      </c>
      <c r="AL29">
        <v>2.74</v>
      </c>
      <c r="AM29">
        <v>3.01</v>
      </c>
      <c r="AN29">
        <v>3.07</v>
      </c>
      <c r="AO29">
        <v>2.61</v>
      </c>
      <c r="AP29">
        <v>3.53</v>
      </c>
      <c r="AQ29">
        <v>3.25</v>
      </c>
      <c r="AR29">
        <v>3.43</v>
      </c>
      <c r="AS29">
        <v>4.63</v>
      </c>
    </row>
    <row r="30" spans="1:45" x14ac:dyDescent="0.55000000000000004">
      <c r="A30" s="12" t="s">
        <v>37</v>
      </c>
      <c r="B30">
        <v>2.68</v>
      </c>
      <c r="C30">
        <v>2.9</v>
      </c>
      <c r="D30" s="4">
        <f t="shared" si="2"/>
        <v>3.2428571428571429</v>
      </c>
      <c r="M30">
        <v>56.2</v>
      </c>
      <c r="O30">
        <v>100</v>
      </c>
      <c r="P30">
        <v>25.91</v>
      </c>
      <c r="Q30">
        <v>100</v>
      </c>
      <c r="R30">
        <v>86.47</v>
      </c>
      <c r="T30">
        <v>69.150000000000006</v>
      </c>
      <c r="U30">
        <v>44.03</v>
      </c>
      <c r="V30">
        <v>56.2</v>
      </c>
      <c r="Y30">
        <v>12.48</v>
      </c>
      <c r="Z30">
        <v>43.99</v>
      </c>
      <c r="AA30">
        <v>6.05</v>
      </c>
      <c r="AB30">
        <v>10.42</v>
      </c>
      <c r="AC30">
        <v>-15.06</v>
      </c>
      <c r="AD30">
        <v>19.04</v>
      </c>
      <c r="AE30">
        <v>11.28</v>
      </c>
      <c r="AF30">
        <v>9.16</v>
      </c>
      <c r="AG30">
        <v>9.24</v>
      </c>
      <c r="AL30">
        <v>4.18</v>
      </c>
      <c r="AM30">
        <v>3.77</v>
      </c>
      <c r="AN30">
        <v>3.93</v>
      </c>
      <c r="AO30">
        <v>4.22</v>
      </c>
      <c r="AP30">
        <v>3.42</v>
      </c>
      <c r="AQ30">
        <v>2.33</v>
      </c>
      <c r="AR30">
        <v>2.33</v>
      </c>
      <c r="AS30">
        <v>2.7</v>
      </c>
    </row>
    <row r="31" spans="1:45" x14ac:dyDescent="0.55000000000000004">
      <c r="A31" s="12" t="s">
        <v>38</v>
      </c>
      <c r="B31">
        <v>3.26</v>
      </c>
      <c r="C31">
        <v>2.87</v>
      </c>
      <c r="D31" s="4">
        <f t="shared" si="2"/>
        <v>3.3285714285714283</v>
      </c>
      <c r="M31">
        <v>64.78</v>
      </c>
      <c r="O31">
        <v>62.63</v>
      </c>
      <c r="P31">
        <v>81.099999999999994</v>
      </c>
      <c r="Q31">
        <v>61.64</v>
      </c>
      <c r="R31">
        <v>64.02</v>
      </c>
      <c r="S31">
        <v>61.74</v>
      </c>
      <c r="T31">
        <v>67.44</v>
      </c>
      <c r="U31">
        <v>64.790000000000006</v>
      </c>
      <c r="V31">
        <v>64.78</v>
      </c>
      <c r="Y31">
        <v>13.45</v>
      </c>
      <c r="Z31">
        <v>10.58</v>
      </c>
      <c r="AA31">
        <v>14.29</v>
      </c>
      <c r="AB31">
        <v>13.92</v>
      </c>
      <c r="AC31">
        <v>14.36</v>
      </c>
      <c r="AD31">
        <v>22.65</v>
      </c>
      <c r="AE31">
        <v>12.53</v>
      </c>
      <c r="AF31">
        <v>12.43</v>
      </c>
      <c r="AG31">
        <v>13.17</v>
      </c>
      <c r="AL31">
        <v>2.98</v>
      </c>
      <c r="AM31">
        <v>2.81</v>
      </c>
      <c r="AN31">
        <v>2.88</v>
      </c>
      <c r="AO31">
        <v>2.4300000000000002</v>
      </c>
      <c r="AP31">
        <v>2.67</v>
      </c>
      <c r="AQ31">
        <v>2.67</v>
      </c>
      <c r="AR31">
        <v>2.91</v>
      </c>
      <c r="AS31">
        <v>6.93</v>
      </c>
    </row>
    <row r="32" spans="1:45" x14ac:dyDescent="0.55000000000000004">
      <c r="A32" s="12" t="s">
        <v>56</v>
      </c>
      <c r="B32">
        <v>5.0599999999999996</v>
      </c>
      <c r="C32">
        <v>4.8600000000000003</v>
      </c>
      <c r="D32" s="4">
        <f t="shared" si="2"/>
        <v>4.862857142857143</v>
      </c>
      <c r="M32">
        <v>100</v>
      </c>
      <c r="O32">
        <v>81.400000000000006</v>
      </c>
      <c r="P32">
        <v>64.3</v>
      </c>
      <c r="Q32">
        <v>89.3</v>
      </c>
      <c r="R32">
        <v>100</v>
      </c>
      <c r="S32">
        <v>100</v>
      </c>
      <c r="T32">
        <v>79</v>
      </c>
      <c r="U32">
        <v>100</v>
      </c>
      <c r="V32">
        <v>100</v>
      </c>
      <c r="Y32">
        <v>15.57</v>
      </c>
      <c r="Z32">
        <v>18.89</v>
      </c>
      <c r="AA32">
        <v>13.14</v>
      </c>
      <c r="AB32">
        <v>5.39</v>
      </c>
      <c r="AC32">
        <v>-1.5</v>
      </c>
      <c r="AD32">
        <v>13.07</v>
      </c>
      <c r="AE32">
        <v>3.49</v>
      </c>
      <c r="AF32">
        <v>7.38</v>
      </c>
      <c r="AG32">
        <v>6.15</v>
      </c>
      <c r="AL32">
        <v>3.66</v>
      </c>
      <c r="AM32">
        <v>3.74</v>
      </c>
      <c r="AN32">
        <v>4.67</v>
      </c>
      <c r="AO32">
        <v>4.43</v>
      </c>
      <c r="AP32">
        <v>7.09</v>
      </c>
      <c r="AQ32">
        <v>4.08</v>
      </c>
      <c r="AR32">
        <v>4.3499999999999996</v>
      </c>
      <c r="AS32">
        <v>5.68</v>
      </c>
    </row>
    <row r="33" spans="1:45" x14ac:dyDescent="0.55000000000000004">
      <c r="A33" s="12" t="s">
        <v>47</v>
      </c>
      <c r="B33">
        <v>4.01</v>
      </c>
      <c r="C33">
        <v>4.07</v>
      </c>
      <c r="D33" s="4">
        <f t="shared" si="2"/>
        <v>4.0571428571428569</v>
      </c>
      <c r="M33">
        <v>75.89</v>
      </c>
      <c r="O33">
        <v>90.57</v>
      </c>
      <c r="P33">
        <v>79.86</v>
      </c>
      <c r="Q33">
        <v>97.45</v>
      </c>
      <c r="R33">
        <v>73.87</v>
      </c>
      <c r="S33">
        <v>100</v>
      </c>
      <c r="T33">
        <v>79.11</v>
      </c>
      <c r="U33">
        <v>73.97</v>
      </c>
      <c r="V33">
        <v>75.89</v>
      </c>
      <c r="Y33">
        <v>5.33</v>
      </c>
      <c r="Z33">
        <v>7.73</v>
      </c>
      <c r="AA33">
        <v>6.23</v>
      </c>
      <c r="AB33">
        <v>8.36</v>
      </c>
      <c r="AC33">
        <v>2.8</v>
      </c>
      <c r="AD33">
        <v>8.15</v>
      </c>
      <c r="AE33">
        <v>5.16</v>
      </c>
      <c r="AF33">
        <v>5.79</v>
      </c>
      <c r="AG33">
        <v>6.47</v>
      </c>
      <c r="AL33">
        <v>4.33</v>
      </c>
      <c r="AM33">
        <v>4.1500000000000004</v>
      </c>
      <c r="AN33">
        <v>4.21</v>
      </c>
      <c r="AO33">
        <v>4.1100000000000003</v>
      </c>
      <c r="AP33">
        <v>4.17</v>
      </c>
      <c r="AQ33">
        <v>3.72</v>
      </c>
      <c r="AR33">
        <v>3.86</v>
      </c>
      <c r="AS33">
        <v>4.18</v>
      </c>
    </row>
    <row r="34" spans="1:45" x14ac:dyDescent="0.55000000000000004">
      <c r="A34" s="12" t="s">
        <v>39</v>
      </c>
      <c r="B34">
        <v>3.49</v>
      </c>
      <c r="C34">
        <v>3.32</v>
      </c>
      <c r="D34" s="4">
        <f t="shared" si="2"/>
        <v>3.2971428571428567</v>
      </c>
      <c r="M34">
        <v>57.36</v>
      </c>
      <c r="O34">
        <v>63.25</v>
      </c>
      <c r="P34">
        <v>53.13</v>
      </c>
      <c r="Q34">
        <v>58.23</v>
      </c>
      <c r="R34">
        <v>60.97</v>
      </c>
      <c r="S34">
        <v>58.23</v>
      </c>
      <c r="T34">
        <v>94.63</v>
      </c>
      <c r="U34">
        <v>65.349999999999994</v>
      </c>
      <c r="V34">
        <v>57.36</v>
      </c>
      <c r="Y34">
        <v>9.74</v>
      </c>
      <c r="Z34">
        <v>12.22</v>
      </c>
      <c r="AA34">
        <v>11.32</v>
      </c>
      <c r="AB34">
        <v>10.65</v>
      </c>
      <c r="AC34">
        <v>11.34</v>
      </c>
      <c r="AD34">
        <v>8.57</v>
      </c>
      <c r="AE34">
        <v>11.31</v>
      </c>
      <c r="AF34">
        <v>13</v>
      </c>
      <c r="AG34">
        <v>11.57</v>
      </c>
      <c r="AL34">
        <v>3.29</v>
      </c>
      <c r="AM34">
        <v>3.07</v>
      </c>
      <c r="AN34">
        <v>3.26</v>
      </c>
      <c r="AO34">
        <v>2.99</v>
      </c>
      <c r="AP34">
        <v>3.4</v>
      </c>
      <c r="AQ34">
        <v>3.53</v>
      </c>
      <c r="AR34">
        <v>3.31</v>
      </c>
      <c r="AS34">
        <v>3.52</v>
      </c>
    </row>
    <row r="35" spans="1:45" x14ac:dyDescent="0.55000000000000004">
      <c r="A35" s="12" t="s">
        <v>40</v>
      </c>
      <c r="B35">
        <v>4.09</v>
      </c>
      <c r="C35">
        <v>3.68</v>
      </c>
      <c r="D35" s="4">
        <f t="shared" si="2"/>
        <v>3.8042857142857147</v>
      </c>
      <c r="M35">
        <v>61.49</v>
      </c>
      <c r="P35">
        <v>100</v>
      </c>
      <c r="Q35">
        <v>77.319999999999993</v>
      </c>
      <c r="R35">
        <v>58.1</v>
      </c>
      <c r="S35">
        <v>54.2</v>
      </c>
      <c r="T35">
        <v>69.680000000000007</v>
      </c>
      <c r="U35">
        <v>76.349999999999994</v>
      </c>
      <c r="V35">
        <v>39.1</v>
      </c>
      <c r="Y35">
        <v>-6.73</v>
      </c>
      <c r="Z35">
        <v>5.12</v>
      </c>
      <c r="AA35">
        <v>10.08</v>
      </c>
      <c r="AB35">
        <v>13.02</v>
      </c>
      <c r="AC35">
        <v>13.13</v>
      </c>
      <c r="AD35">
        <v>9.91</v>
      </c>
      <c r="AE35">
        <v>8.9700000000000006</v>
      </c>
      <c r="AF35">
        <v>17.079999999999998</v>
      </c>
      <c r="AG35">
        <v>15.42</v>
      </c>
      <c r="AL35">
        <v>4.6500000000000004</v>
      </c>
      <c r="AM35">
        <v>4.3</v>
      </c>
      <c r="AN35">
        <v>4.16</v>
      </c>
      <c r="AO35">
        <v>3.06</v>
      </c>
      <c r="AP35">
        <v>3.75</v>
      </c>
      <c r="AQ35">
        <v>3.43</v>
      </c>
      <c r="AR35">
        <v>3.64</v>
      </c>
      <c r="AS35">
        <v>4.29</v>
      </c>
    </row>
    <row r="36" spans="1:45" x14ac:dyDescent="0.55000000000000004">
      <c r="A36" s="12" t="s">
        <v>55</v>
      </c>
      <c r="B36">
        <v>4.75</v>
      </c>
      <c r="C36">
        <v>4.66</v>
      </c>
      <c r="D36" s="4">
        <f t="shared" si="2"/>
        <v>6.0485714285714289</v>
      </c>
      <c r="M36">
        <v>78.23</v>
      </c>
      <c r="O36">
        <v>62.55</v>
      </c>
      <c r="P36">
        <v>70.48</v>
      </c>
      <c r="Q36">
        <v>69.400000000000006</v>
      </c>
      <c r="R36">
        <v>69.180000000000007</v>
      </c>
      <c r="S36">
        <v>75.37</v>
      </c>
      <c r="T36">
        <v>56.85</v>
      </c>
      <c r="U36">
        <v>71.25</v>
      </c>
      <c r="V36">
        <v>78.23</v>
      </c>
      <c r="Y36">
        <v>9.27</v>
      </c>
      <c r="Z36">
        <v>8.3800000000000008</v>
      </c>
      <c r="AA36">
        <v>7.69</v>
      </c>
      <c r="AB36">
        <v>7.2</v>
      </c>
      <c r="AC36">
        <v>7.15</v>
      </c>
      <c r="AD36">
        <v>9.7899999999999991</v>
      </c>
      <c r="AE36">
        <v>8.0399999999999991</v>
      </c>
      <c r="AF36">
        <v>7.64</v>
      </c>
      <c r="AG36">
        <v>7.44</v>
      </c>
      <c r="AL36">
        <v>2.7</v>
      </c>
      <c r="AM36">
        <v>3.03</v>
      </c>
      <c r="AN36">
        <v>6.31</v>
      </c>
      <c r="AO36">
        <v>17.690000000000001</v>
      </c>
      <c r="AP36">
        <v>3.69</v>
      </c>
      <c r="AQ36">
        <v>3.17</v>
      </c>
      <c r="AR36">
        <v>3.7</v>
      </c>
      <c r="AS36">
        <v>4.75</v>
      </c>
    </row>
    <row r="37" spans="1:45" x14ac:dyDescent="0.55000000000000004">
      <c r="A37" s="12" t="s">
        <v>48</v>
      </c>
      <c r="B37">
        <v>4.37</v>
      </c>
      <c r="C37">
        <v>2.86</v>
      </c>
      <c r="D37" s="4">
        <f t="shared" si="2"/>
        <v>3.0414285714285714</v>
      </c>
      <c r="O37">
        <v>60.14</v>
      </c>
      <c r="P37">
        <v>61.09</v>
      </c>
      <c r="Q37">
        <v>62.15</v>
      </c>
      <c r="R37">
        <v>76.16</v>
      </c>
      <c r="S37">
        <v>47.96</v>
      </c>
      <c r="T37">
        <v>68.08</v>
      </c>
      <c r="U37">
        <v>62.96</v>
      </c>
      <c r="Y37">
        <v>8.9499999999999993</v>
      </c>
      <c r="Z37">
        <v>9.07</v>
      </c>
      <c r="AA37">
        <v>9.15</v>
      </c>
      <c r="AB37">
        <v>7.54</v>
      </c>
      <c r="AC37">
        <v>9.0299999999999994</v>
      </c>
      <c r="AD37">
        <v>8.52</v>
      </c>
      <c r="AE37">
        <v>9.34</v>
      </c>
      <c r="AF37">
        <v>-2.98</v>
      </c>
      <c r="AG37">
        <v>-2.72</v>
      </c>
      <c r="AL37">
        <v>3.22</v>
      </c>
      <c r="AM37">
        <v>3.01</v>
      </c>
      <c r="AN37">
        <v>3.11</v>
      </c>
      <c r="AO37">
        <v>2.52</v>
      </c>
      <c r="AP37">
        <v>2.59</v>
      </c>
      <c r="AQ37">
        <v>2.65</v>
      </c>
      <c r="AR37">
        <v>3.04</v>
      </c>
      <c r="AS37">
        <v>4.37</v>
      </c>
    </row>
    <row r="38" spans="1:45" x14ac:dyDescent="0.55000000000000004">
      <c r="A38" s="12" t="s">
        <v>41</v>
      </c>
      <c r="B38">
        <v>2.16</v>
      </c>
      <c r="C38">
        <v>2.0499999999999998</v>
      </c>
      <c r="D38" s="4">
        <f t="shared" si="2"/>
        <v>2.06</v>
      </c>
      <c r="M38">
        <v>51.38</v>
      </c>
      <c r="O38">
        <v>55.29</v>
      </c>
      <c r="P38">
        <v>44.75</v>
      </c>
      <c r="Q38">
        <v>54.32</v>
      </c>
      <c r="R38">
        <v>54.98</v>
      </c>
      <c r="S38">
        <v>55.58</v>
      </c>
      <c r="T38">
        <v>51.88</v>
      </c>
      <c r="U38">
        <v>51.79</v>
      </c>
      <c r="V38">
        <v>51.38</v>
      </c>
      <c r="Y38">
        <v>10.68</v>
      </c>
      <c r="Z38">
        <v>12.99</v>
      </c>
      <c r="AA38">
        <v>10.56</v>
      </c>
      <c r="AB38">
        <v>6.99</v>
      </c>
      <c r="AC38">
        <v>10.09</v>
      </c>
      <c r="AD38">
        <v>10.56</v>
      </c>
      <c r="AE38">
        <v>10.52</v>
      </c>
      <c r="AF38">
        <v>10.6</v>
      </c>
      <c r="AG38">
        <v>10.67</v>
      </c>
      <c r="AL38">
        <v>1.85</v>
      </c>
      <c r="AM38">
        <v>2</v>
      </c>
      <c r="AN38">
        <v>2.2000000000000002</v>
      </c>
      <c r="AO38">
        <v>1.75</v>
      </c>
      <c r="AP38">
        <v>2.06</v>
      </c>
      <c r="AQ38">
        <v>1.84</v>
      </c>
      <c r="AR38">
        <v>2.2599999999999998</v>
      </c>
      <c r="AS38">
        <v>2.31</v>
      </c>
    </row>
    <row r="39" spans="1:45" x14ac:dyDescent="0.55000000000000004">
      <c r="A39" s="12" t="s">
        <v>42</v>
      </c>
      <c r="B39">
        <v>3.87</v>
      </c>
      <c r="C39">
        <v>3.34</v>
      </c>
      <c r="D39" s="4">
        <f t="shared" si="2"/>
        <v>3.1042857142857136</v>
      </c>
      <c r="M39">
        <v>66.39</v>
      </c>
      <c r="O39">
        <v>74.44</v>
      </c>
      <c r="P39">
        <v>41.54</v>
      </c>
      <c r="Q39">
        <v>51.36</v>
      </c>
      <c r="R39">
        <v>63.68</v>
      </c>
      <c r="S39">
        <v>66.84</v>
      </c>
      <c r="T39">
        <v>90.26</v>
      </c>
      <c r="U39">
        <v>50.95</v>
      </c>
      <c r="V39">
        <v>66.39</v>
      </c>
      <c r="Y39">
        <v>11.58</v>
      </c>
      <c r="Z39">
        <v>10.99</v>
      </c>
      <c r="AA39">
        <v>17.579999999999998</v>
      </c>
      <c r="AB39">
        <v>11.41</v>
      </c>
      <c r="AC39">
        <v>11.42</v>
      </c>
      <c r="AD39">
        <v>6.78</v>
      </c>
      <c r="AE39">
        <v>15.95</v>
      </c>
      <c r="AF39">
        <v>13.9</v>
      </c>
      <c r="AG39">
        <v>11.9</v>
      </c>
      <c r="AL39" s="12">
        <v>2.79</v>
      </c>
      <c r="AM39" s="12">
        <v>2.62</v>
      </c>
      <c r="AN39" s="12">
        <v>2.4700000000000002</v>
      </c>
      <c r="AO39" s="12">
        <v>2.71</v>
      </c>
      <c r="AP39" s="12">
        <v>3.63</v>
      </c>
      <c r="AQ39" s="12">
        <v>3.69</v>
      </c>
      <c r="AR39" s="12">
        <v>2.98</v>
      </c>
      <c r="AS39" s="12">
        <v>3.63</v>
      </c>
    </row>
    <row r="40" spans="1:45" s="12" customFormat="1" x14ac:dyDescent="0.55000000000000004">
      <c r="A40" s="12" t="s">
        <v>53</v>
      </c>
      <c r="B40" s="12">
        <v>3.67</v>
      </c>
      <c r="C40" s="12">
        <v>3.34</v>
      </c>
      <c r="D40" s="4">
        <f t="shared" si="2"/>
        <v>3.2471428571428573</v>
      </c>
      <c r="M40" s="12">
        <v>67.569999999999993</v>
      </c>
      <c r="O40" s="12">
        <v>63.37</v>
      </c>
      <c r="P40" s="12">
        <v>100</v>
      </c>
      <c r="R40" s="12">
        <v>91.95</v>
      </c>
      <c r="T40" s="12">
        <v>69.290000000000006</v>
      </c>
      <c r="U40" s="12">
        <v>55.29</v>
      </c>
      <c r="V40" s="12">
        <v>67.569999999999993</v>
      </c>
      <c r="Y40" s="12">
        <v>8.3800000000000008</v>
      </c>
      <c r="Z40" s="12">
        <v>3.06</v>
      </c>
      <c r="AA40" s="12">
        <v>-1.43</v>
      </c>
      <c r="AB40" s="12">
        <v>6.57</v>
      </c>
      <c r="AC40" s="12">
        <v>-1.46</v>
      </c>
      <c r="AD40" s="12">
        <v>10.31</v>
      </c>
      <c r="AE40" s="12">
        <v>13.11</v>
      </c>
      <c r="AF40" s="12">
        <v>9.58</v>
      </c>
      <c r="AG40" s="12">
        <v>9.7899999999999991</v>
      </c>
      <c r="AL40" s="12">
        <v>2.89</v>
      </c>
      <c r="AM40" s="12">
        <v>2.73</v>
      </c>
      <c r="AN40" s="12">
        <v>3.08</v>
      </c>
      <c r="AO40" s="12">
        <v>2.87</v>
      </c>
      <c r="AP40" s="12">
        <v>3.66</v>
      </c>
      <c r="AQ40" s="12">
        <v>3.19</v>
      </c>
      <c r="AR40" s="12">
        <v>3.43</v>
      </c>
      <c r="AS40" s="12">
        <v>3.77</v>
      </c>
    </row>
    <row r="41" spans="1:45" x14ac:dyDescent="0.55000000000000004">
      <c r="A41" s="12" t="s">
        <v>54</v>
      </c>
      <c r="B41">
        <v>5.38</v>
      </c>
      <c r="C41">
        <v>3.79</v>
      </c>
      <c r="D41" s="4">
        <f t="shared" si="2"/>
        <v>3.7185714285714289</v>
      </c>
      <c r="M41">
        <v>75</v>
      </c>
      <c r="O41">
        <v>88.33</v>
      </c>
      <c r="Q41">
        <v>81.22</v>
      </c>
      <c r="R41">
        <v>86.87</v>
      </c>
      <c r="S41">
        <v>83.15</v>
      </c>
      <c r="T41">
        <v>75.099999999999994</v>
      </c>
      <c r="U41">
        <v>76.08</v>
      </c>
      <c r="V41">
        <v>75</v>
      </c>
      <c r="Y41">
        <v>7.22</v>
      </c>
      <c r="Z41">
        <v>-6.98</v>
      </c>
      <c r="AA41">
        <v>8.58</v>
      </c>
      <c r="AB41">
        <v>7.58</v>
      </c>
      <c r="AC41">
        <v>8.75</v>
      </c>
      <c r="AD41">
        <v>8.6300000000000008</v>
      </c>
      <c r="AE41">
        <v>8.18</v>
      </c>
      <c r="AF41">
        <v>7.63</v>
      </c>
      <c r="AG41">
        <v>6.64</v>
      </c>
      <c r="AL41">
        <v>3.13</v>
      </c>
      <c r="AM41">
        <v>3.16</v>
      </c>
      <c r="AN41">
        <v>3.13</v>
      </c>
      <c r="AO41">
        <v>2.58</v>
      </c>
      <c r="AP41">
        <v>4.17</v>
      </c>
      <c r="AQ41">
        <v>3.94</v>
      </c>
      <c r="AR41">
        <v>4.0599999999999996</v>
      </c>
      <c r="AS41">
        <v>4.99</v>
      </c>
    </row>
    <row r="42" spans="1:45" x14ac:dyDescent="0.55000000000000004">
      <c r="A42" s="12" t="s">
        <v>43</v>
      </c>
      <c r="B42">
        <v>5.03</v>
      </c>
      <c r="C42">
        <v>4.12</v>
      </c>
      <c r="D42" s="4">
        <f t="shared" si="2"/>
        <v>4.0314285714285711</v>
      </c>
      <c r="M42">
        <v>79.5</v>
      </c>
      <c r="O42">
        <v>59</v>
      </c>
      <c r="P42">
        <v>62.87</v>
      </c>
      <c r="Q42">
        <v>56.12</v>
      </c>
      <c r="R42">
        <v>57.79</v>
      </c>
      <c r="S42">
        <v>78.430000000000007</v>
      </c>
      <c r="T42">
        <v>68.89</v>
      </c>
      <c r="U42">
        <v>77.540000000000006</v>
      </c>
      <c r="V42">
        <v>79.5</v>
      </c>
      <c r="Y42">
        <v>10.02</v>
      </c>
      <c r="Z42">
        <v>9.36</v>
      </c>
      <c r="AA42">
        <v>10.53</v>
      </c>
      <c r="AB42">
        <v>10.15</v>
      </c>
      <c r="AC42">
        <v>7.54</v>
      </c>
      <c r="AD42">
        <v>8.4600000000000009</v>
      </c>
      <c r="AE42">
        <v>7.31</v>
      </c>
      <c r="AF42">
        <v>7.12</v>
      </c>
      <c r="AG42">
        <v>7.14</v>
      </c>
      <c r="AL42">
        <v>3.52</v>
      </c>
      <c r="AM42">
        <v>3.52</v>
      </c>
      <c r="AN42">
        <v>3.7</v>
      </c>
      <c r="AO42">
        <v>3.21</v>
      </c>
      <c r="AP42">
        <v>4.17</v>
      </c>
      <c r="AQ42">
        <v>4.34</v>
      </c>
      <c r="AR42">
        <v>4.25</v>
      </c>
      <c r="AS42">
        <v>5.03</v>
      </c>
    </row>
    <row r="43" spans="1:45" x14ac:dyDescent="0.55000000000000004">
      <c r="A43" s="12" t="s">
        <v>44</v>
      </c>
      <c r="B43">
        <v>4.68</v>
      </c>
      <c r="C43">
        <v>4.37</v>
      </c>
      <c r="D43" s="4">
        <f t="shared" si="2"/>
        <v>4.0871428571428572</v>
      </c>
      <c r="M43">
        <v>80.42</v>
      </c>
      <c r="O43">
        <v>68.34</v>
      </c>
      <c r="P43">
        <v>30.24</v>
      </c>
      <c r="Q43">
        <v>64.27</v>
      </c>
      <c r="R43">
        <v>68.63</v>
      </c>
      <c r="T43">
        <v>43.95</v>
      </c>
      <c r="U43">
        <v>61.99</v>
      </c>
      <c r="V43">
        <v>80.42</v>
      </c>
      <c r="Y43">
        <v>9.99</v>
      </c>
      <c r="Z43">
        <v>16.97</v>
      </c>
      <c r="AA43">
        <v>10.83</v>
      </c>
      <c r="AB43">
        <v>10.65</v>
      </c>
      <c r="AC43">
        <v>-4.47</v>
      </c>
      <c r="AD43">
        <v>19.18</v>
      </c>
      <c r="AE43">
        <v>15.72</v>
      </c>
      <c r="AF43">
        <v>9.34</v>
      </c>
      <c r="AG43">
        <v>9.01</v>
      </c>
      <c r="AL43">
        <v>3.37</v>
      </c>
      <c r="AM43">
        <v>3.77</v>
      </c>
      <c r="AN43">
        <v>3.48</v>
      </c>
      <c r="AO43">
        <v>3.33</v>
      </c>
      <c r="AP43">
        <v>4.91</v>
      </c>
      <c r="AQ43">
        <v>4.21</v>
      </c>
      <c r="AR43">
        <v>4.16</v>
      </c>
      <c r="AS43">
        <v>4.75</v>
      </c>
    </row>
    <row r="44" spans="1:45" x14ac:dyDescent="0.55000000000000004">
      <c r="A44" s="12" t="s">
        <v>58</v>
      </c>
      <c r="B44">
        <v>4.3600000000000003</v>
      </c>
      <c r="C44">
        <v>2.92</v>
      </c>
      <c r="D44" s="4">
        <f t="shared" si="2"/>
        <v>2.8928571428571428</v>
      </c>
      <c r="M44">
        <v>62.8</v>
      </c>
      <c r="O44">
        <v>52.83</v>
      </c>
      <c r="P44">
        <v>54.55</v>
      </c>
      <c r="Q44">
        <v>56.62</v>
      </c>
      <c r="R44">
        <v>56.98</v>
      </c>
      <c r="S44">
        <v>58.7</v>
      </c>
      <c r="T44">
        <v>60.26</v>
      </c>
      <c r="U44">
        <v>60.78</v>
      </c>
      <c r="V44">
        <v>62.8</v>
      </c>
      <c r="Y44">
        <v>7.51</v>
      </c>
      <c r="Z44">
        <v>8.4700000000000006</v>
      </c>
      <c r="AA44">
        <v>8.61</v>
      </c>
      <c r="AB44">
        <v>8.9499999999999993</v>
      </c>
      <c r="AC44">
        <v>9</v>
      </c>
      <c r="AD44">
        <v>9.01</v>
      </c>
      <c r="AE44">
        <v>8.99</v>
      </c>
      <c r="AF44">
        <v>8.64</v>
      </c>
      <c r="AG44">
        <v>8.32</v>
      </c>
      <c r="AL44">
        <v>2.77</v>
      </c>
      <c r="AM44">
        <v>2.64</v>
      </c>
      <c r="AN44">
        <v>2.31</v>
      </c>
      <c r="AO44">
        <v>2.14</v>
      </c>
      <c r="AP44">
        <v>2.81</v>
      </c>
      <c r="AQ44">
        <v>2.99</v>
      </c>
      <c r="AR44">
        <v>3.28</v>
      </c>
      <c r="AS44">
        <v>4.08</v>
      </c>
    </row>
    <row r="45" spans="1:45" s="12" customFormat="1" x14ac:dyDescent="0.55000000000000004">
      <c r="A45" s="12" t="s">
        <v>45</v>
      </c>
      <c r="B45" s="12">
        <v>4.3499999999999996</v>
      </c>
      <c r="C45" s="12">
        <v>3.53</v>
      </c>
      <c r="D45" s="4">
        <f t="shared" si="2"/>
        <v>3.44</v>
      </c>
      <c r="M45" s="12">
        <v>80.58</v>
      </c>
      <c r="O45" s="12">
        <v>58.33</v>
      </c>
      <c r="P45" s="12">
        <v>63.81</v>
      </c>
      <c r="Q45" s="12">
        <v>60.23</v>
      </c>
      <c r="R45" s="12">
        <v>63.49</v>
      </c>
      <c r="S45" s="12">
        <v>92.15</v>
      </c>
      <c r="T45" s="12">
        <v>62.41</v>
      </c>
      <c r="U45" s="12">
        <v>68.75</v>
      </c>
      <c r="V45" s="12">
        <v>80.58</v>
      </c>
      <c r="Y45" s="12">
        <v>8.39</v>
      </c>
      <c r="Z45" s="12">
        <v>7.86</v>
      </c>
      <c r="AA45" s="12">
        <v>8.61</v>
      </c>
      <c r="AB45" s="12">
        <v>8.4</v>
      </c>
      <c r="AC45" s="12">
        <v>5.96</v>
      </c>
      <c r="AD45" s="12">
        <v>9.17</v>
      </c>
      <c r="AE45" s="12">
        <v>8.49</v>
      </c>
      <c r="AF45" s="12">
        <v>7.47</v>
      </c>
      <c r="AG45" s="12">
        <v>8</v>
      </c>
      <c r="AL45" s="12">
        <v>2.91</v>
      </c>
      <c r="AM45" s="12">
        <v>2.94</v>
      </c>
      <c r="AN45" s="12">
        <v>3.11</v>
      </c>
      <c r="AO45" s="12">
        <v>2.72</v>
      </c>
      <c r="AP45" s="12">
        <v>3.71</v>
      </c>
      <c r="AQ45" s="12">
        <v>3.21</v>
      </c>
      <c r="AR45" s="12">
        <v>4.0599999999999996</v>
      </c>
      <c r="AS45" s="12">
        <v>4.33</v>
      </c>
    </row>
    <row r="46" spans="1:45" x14ac:dyDescent="0.55000000000000004">
      <c r="A46" s="12" t="s">
        <v>49</v>
      </c>
      <c r="B46">
        <v>3.17</v>
      </c>
      <c r="C46">
        <v>3.47</v>
      </c>
      <c r="D46" s="4">
        <f t="shared" si="2"/>
        <v>3.347142857142857</v>
      </c>
      <c r="M46">
        <v>49.69</v>
      </c>
      <c r="O46">
        <v>55.31</v>
      </c>
      <c r="P46">
        <v>100</v>
      </c>
      <c r="Q46">
        <v>100</v>
      </c>
      <c r="R46">
        <v>63.13</v>
      </c>
      <c r="S46">
        <v>63.53</v>
      </c>
      <c r="T46">
        <v>100</v>
      </c>
      <c r="U46">
        <v>69.180000000000007</v>
      </c>
      <c r="V46">
        <v>49.69</v>
      </c>
      <c r="Y46">
        <v>11.07</v>
      </c>
      <c r="Z46">
        <v>2</v>
      </c>
      <c r="AA46">
        <v>6.71</v>
      </c>
      <c r="AB46">
        <v>12.63</v>
      </c>
      <c r="AC46">
        <v>19.86</v>
      </c>
      <c r="AD46">
        <v>5.53</v>
      </c>
      <c r="AE46">
        <v>8.16</v>
      </c>
      <c r="AF46">
        <v>11.22</v>
      </c>
      <c r="AG46">
        <v>10.4</v>
      </c>
      <c r="AL46">
        <v>3.02</v>
      </c>
      <c r="AM46">
        <v>3.08</v>
      </c>
      <c r="AN46">
        <v>3.31</v>
      </c>
      <c r="AO46">
        <v>2.5499999999999998</v>
      </c>
      <c r="AP46">
        <v>3.28</v>
      </c>
      <c r="AQ46">
        <v>3.41</v>
      </c>
      <c r="AR46">
        <v>4.55</v>
      </c>
      <c r="AS46">
        <v>3.25</v>
      </c>
    </row>
    <row r="47" spans="1:45" x14ac:dyDescent="0.55000000000000004">
      <c r="A47" s="12" t="s">
        <v>57</v>
      </c>
      <c r="B47">
        <v>4.9400000000000004</v>
      </c>
      <c r="C47">
        <v>3.77</v>
      </c>
      <c r="D47" s="4">
        <f t="shared" si="2"/>
        <v>3.64</v>
      </c>
      <c r="M47">
        <v>78.569999999999993</v>
      </c>
      <c r="O47">
        <v>62.74</v>
      </c>
      <c r="P47">
        <v>43.8</v>
      </c>
      <c r="Q47">
        <v>69.3</v>
      </c>
      <c r="R47">
        <v>69.77</v>
      </c>
      <c r="S47">
        <v>100</v>
      </c>
      <c r="T47">
        <v>61</v>
      </c>
      <c r="U47">
        <v>60.06</v>
      </c>
      <c r="V47">
        <v>78.569999999999993</v>
      </c>
      <c r="Y47">
        <v>8.6300000000000008</v>
      </c>
      <c r="Z47">
        <v>8.6</v>
      </c>
      <c r="AA47">
        <v>10.09</v>
      </c>
      <c r="AB47">
        <v>7.85</v>
      </c>
      <c r="AC47">
        <v>3.22</v>
      </c>
      <c r="AD47">
        <v>10.92</v>
      </c>
      <c r="AE47">
        <v>8.24</v>
      </c>
      <c r="AF47">
        <v>7.71</v>
      </c>
      <c r="AG47">
        <v>7.52</v>
      </c>
      <c r="AL47">
        <v>3.09</v>
      </c>
      <c r="AM47">
        <v>2.84</v>
      </c>
      <c r="AN47">
        <v>3.08</v>
      </c>
      <c r="AO47">
        <v>2.88</v>
      </c>
      <c r="AP47">
        <v>3.93</v>
      </c>
      <c r="AQ47">
        <v>4.04</v>
      </c>
      <c r="AR47">
        <v>4.03</v>
      </c>
      <c r="AS47">
        <v>4.68</v>
      </c>
    </row>
    <row r="48" spans="1:45" x14ac:dyDescent="0.55000000000000004">
      <c r="A48" s="12" t="s">
        <v>61</v>
      </c>
      <c r="B48">
        <v>3.63</v>
      </c>
      <c r="C48">
        <v>4.0199999999999996</v>
      </c>
      <c r="D48" s="4">
        <f t="shared" si="2"/>
        <v>4.25</v>
      </c>
      <c r="M48">
        <v>87.16</v>
      </c>
      <c r="O48">
        <v>87.16</v>
      </c>
      <c r="P48">
        <v>100</v>
      </c>
      <c r="Q48">
        <v>100</v>
      </c>
      <c r="R48">
        <v>54.67</v>
      </c>
      <c r="S48">
        <v>86.69</v>
      </c>
      <c r="T48">
        <v>100</v>
      </c>
      <c r="U48">
        <v>82.82</v>
      </c>
      <c r="V48">
        <v>76.8</v>
      </c>
      <c r="Y48">
        <v>10.8</v>
      </c>
      <c r="Z48">
        <v>3.44</v>
      </c>
      <c r="AA48">
        <v>9.11</v>
      </c>
      <c r="AB48">
        <v>18.149999999999999</v>
      </c>
      <c r="AC48">
        <v>11.24</v>
      </c>
      <c r="AD48">
        <v>8.57</v>
      </c>
      <c r="AE48">
        <v>12.09</v>
      </c>
      <c r="AF48">
        <v>12.86</v>
      </c>
      <c r="AG48">
        <v>13.59</v>
      </c>
      <c r="AL48">
        <v>4.5199999999999996</v>
      </c>
      <c r="AM48">
        <v>4.78</v>
      </c>
      <c r="AN48">
        <v>5.42</v>
      </c>
      <c r="AO48">
        <v>3.86</v>
      </c>
      <c r="AP48">
        <v>4.13</v>
      </c>
      <c r="AQ48">
        <v>3.82</v>
      </c>
      <c r="AR48">
        <v>3.78</v>
      </c>
      <c r="AS48">
        <v>3.96</v>
      </c>
    </row>
    <row r="49" spans="1:45" s="12" customFormat="1" x14ac:dyDescent="0.55000000000000004">
      <c r="A49" s="12" t="s">
        <v>51</v>
      </c>
      <c r="B49" s="12">
        <v>3.08</v>
      </c>
      <c r="C49" s="12">
        <v>3</v>
      </c>
      <c r="D49" s="4">
        <f t="shared" si="2"/>
        <v>3.0357142857142856</v>
      </c>
      <c r="M49" s="12">
        <v>57.45</v>
      </c>
      <c r="O49" s="12">
        <v>73.2</v>
      </c>
      <c r="P49" s="12">
        <v>69.900000000000006</v>
      </c>
      <c r="Q49" s="12">
        <v>65.47</v>
      </c>
      <c r="R49" s="12">
        <v>49.83</v>
      </c>
      <c r="S49" s="12">
        <v>69.77</v>
      </c>
      <c r="T49" s="12">
        <v>64.680000000000007</v>
      </c>
      <c r="U49" s="12">
        <v>60.23</v>
      </c>
      <c r="V49" s="12">
        <v>57.45</v>
      </c>
      <c r="Y49" s="12">
        <v>9.42</v>
      </c>
      <c r="Z49" s="12">
        <v>9.2100000000000009</v>
      </c>
      <c r="AA49" s="12">
        <v>9.6</v>
      </c>
      <c r="AB49" s="12">
        <v>12.15</v>
      </c>
      <c r="AC49" s="12">
        <v>8.41</v>
      </c>
      <c r="AD49" s="12">
        <v>8.6199999999999992</v>
      </c>
      <c r="AE49" s="12">
        <v>9.0399999999999991</v>
      </c>
      <c r="AF49" s="12">
        <v>9.4499999999999993</v>
      </c>
      <c r="AG49" s="12">
        <v>9.69</v>
      </c>
      <c r="AL49" s="12">
        <v>3.13</v>
      </c>
      <c r="AM49" s="12">
        <v>3.16</v>
      </c>
      <c r="AN49" s="12">
        <v>2.88</v>
      </c>
      <c r="AO49" s="12">
        <v>2.39</v>
      </c>
      <c r="AP49" s="12">
        <v>3.39</v>
      </c>
      <c r="AQ49" s="12">
        <v>3.31</v>
      </c>
      <c r="AR49" s="12">
        <v>3.04</v>
      </c>
      <c r="AS49" s="12">
        <v>3.08</v>
      </c>
    </row>
    <row r="50" spans="1:45" x14ac:dyDescent="0.55000000000000004">
      <c r="A50" s="12" t="s">
        <v>46</v>
      </c>
      <c r="B50">
        <v>3.36</v>
      </c>
      <c r="C50">
        <v>2.76</v>
      </c>
      <c r="D50" s="4">
        <f t="shared" si="2"/>
        <v>2.8857142857142861</v>
      </c>
      <c r="M50">
        <v>61.51</v>
      </c>
      <c r="O50">
        <v>61.54</v>
      </c>
      <c r="P50">
        <v>64</v>
      </c>
      <c r="Q50">
        <v>61.54</v>
      </c>
      <c r="R50">
        <v>61.36</v>
      </c>
      <c r="S50">
        <v>61.65</v>
      </c>
      <c r="T50">
        <v>61.82</v>
      </c>
      <c r="U50">
        <v>61.51</v>
      </c>
      <c r="V50">
        <v>64.8</v>
      </c>
      <c r="Y50">
        <v>10.39</v>
      </c>
      <c r="Z50">
        <v>10.220000000000001</v>
      </c>
      <c r="AA50">
        <v>10.65</v>
      </c>
      <c r="AB50">
        <v>10.78</v>
      </c>
      <c r="AC50">
        <v>10.59</v>
      </c>
      <c r="AD50">
        <v>10.58</v>
      </c>
      <c r="AE50">
        <v>10.75</v>
      </c>
      <c r="AF50">
        <v>10.33</v>
      </c>
      <c r="AG50">
        <v>10.62</v>
      </c>
      <c r="AL50">
        <v>3.34</v>
      </c>
      <c r="AM50">
        <v>3.14</v>
      </c>
      <c r="AN50">
        <v>3.09</v>
      </c>
      <c r="AO50">
        <v>2.5499999999999998</v>
      </c>
      <c r="AP50">
        <v>2.58</v>
      </c>
      <c r="AQ50">
        <v>2.7</v>
      </c>
      <c r="AR50">
        <v>2.78</v>
      </c>
      <c r="AS50">
        <v>3.36</v>
      </c>
    </row>
    <row r="51" spans="1:45" x14ac:dyDescent="0.55000000000000004">
      <c r="A51" s="12" t="s">
        <v>52</v>
      </c>
      <c r="B51">
        <v>4</v>
      </c>
      <c r="C51">
        <v>3.21</v>
      </c>
      <c r="D51" s="4">
        <f t="shared" si="2"/>
        <v>3.2957142857142858</v>
      </c>
      <c r="M51">
        <v>73.930000000000007</v>
      </c>
      <c r="O51">
        <v>66.89</v>
      </c>
      <c r="P51">
        <v>54.88</v>
      </c>
      <c r="Q51">
        <v>66.17</v>
      </c>
      <c r="R51">
        <v>65.92</v>
      </c>
      <c r="S51">
        <v>66.75</v>
      </c>
      <c r="T51">
        <v>66.94</v>
      </c>
      <c r="U51">
        <v>65.39</v>
      </c>
      <c r="V51">
        <v>73.930000000000007</v>
      </c>
      <c r="Y51">
        <v>10.66</v>
      </c>
      <c r="Z51">
        <v>13.09</v>
      </c>
      <c r="AA51">
        <v>11.01</v>
      </c>
      <c r="AB51">
        <v>11.4</v>
      </c>
      <c r="AC51">
        <v>11.66</v>
      </c>
      <c r="AD51">
        <v>12.16</v>
      </c>
      <c r="AE51">
        <v>12.63</v>
      </c>
      <c r="AF51">
        <v>11.53</v>
      </c>
      <c r="AG51">
        <v>12.18</v>
      </c>
      <c r="AL51">
        <v>3.99</v>
      </c>
      <c r="AM51">
        <v>3.43</v>
      </c>
      <c r="AN51">
        <v>3.43</v>
      </c>
      <c r="AO51">
        <v>3.14</v>
      </c>
      <c r="AP51">
        <v>2.95</v>
      </c>
      <c r="AQ51">
        <v>2.98</v>
      </c>
      <c r="AR51">
        <v>3.39</v>
      </c>
      <c r="AS51">
        <v>3.75</v>
      </c>
    </row>
    <row r="52" spans="1:45" x14ac:dyDescent="0.55000000000000004">
      <c r="N52" t="s">
        <v>24</v>
      </c>
      <c r="O52">
        <f>AVERAGE(O24:O51)</f>
        <v>70.297407407407391</v>
      </c>
      <c r="P52">
        <f t="shared" ref="P52:V52" si="3">AVERAGE(P24:P51)</f>
        <v>63.806666666666665</v>
      </c>
      <c r="Q52">
        <f t="shared" si="3"/>
        <v>68.165555555555542</v>
      </c>
      <c r="R52">
        <f t="shared" si="3"/>
        <v>66.510714285714286</v>
      </c>
      <c r="S52">
        <f t="shared" si="3"/>
        <v>69.706400000000016</v>
      </c>
      <c r="T52">
        <f t="shared" si="3"/>
        <v>68.820000000000022</v>
      </c>
      <c r="U52">
        <f t="shared" si="3"/>
        <v>65.638214285714284</v>
      </c>
      <c r="V52">
        <f t="shared" si="3"/>
        <v>67.176666666666662</v>
      </c>
      <c r="W52" t="e">
        <f>AVERAGE(W24:W51)</f>
        <v>#DIV/0!</v>
      </c>
      <c r="Y52">
        <f t="shared" ref="Y52" si="4">AVERAGE(Y24:Y51)</f>
        <v>8.8917857142857137</v>
      </c>
      <c r="Z52">
        <f t="shared" ref="Z52" si="5">AVERAGE(Z24:Z51)</f>
        <v>10.18357142857143</v>
      </c>
      <c r="AA52">
        <f t="shared" ref="AA52" si="6">AVERAGE(AA24:AA51)</f>
        <v>9.9075000000000006</v>
      </c>
      <c r="AB52">
        <f t="shared" ref="AB52" si="7">AVERAGE(AB24:AB51)</f>
        <v>9.9632142857142849</v>
      </c>
      <c r="AC52">
        <f t="shared" ref="AC52" si="8">AVERAGE(AC24:AC51)</f>
        <v>7.2164285714285716</v>
      </c>
      <c r="AD52">
        <f t="shared" ref="AD52:AG52" si="9">AVERAGE(AD24:AD51)</f>
        <v>10.598571428571429</v>
      </c>
      <c r="AE52">
        <f t="shared" si="9"/>
        <v>9.8707142857142856</v>
      </c>
      <c r="AF52">
        <f t="shared" si="9"/>
        <v>9.4046428571428571</v>
      </c>
      <c r="AG52">
        <f t="shared" si="9"/>
        <v>9.3214285714285694</v>
      </c>
      <c r="AL52">
        <f t="shared" ref="AL52" si="10">AVERAGE(AL24:AL51)</f>
        <v>3.2714285714285714</v>
      </c>
      <c r="AM52">
        <f t="shared" ref="AM52" si="11">AVERAGE(AM24:AM51)</f>
        <v>3.1764285714285712</v>
      </c>
      <c r="AN52">
        <f t="shared" ref="AN52" si="12">AVERAGE(AN24:AN51)</f>
        <v>3.3842857142857143</v>
      </c>
      <c r="AO52">
        <f t="shared" ref="AO52" si="13">AVERAGE(AO24:AO51)</f>
        <v>3.4117857142857138</v>
      </c>
      <c r="AP52">
        <f t="shared" ref="AP52" si="14">AVERAGE(AP24:AP51)</f>
        <v>3.5378571428571428</v>
      </c>
      <c r="AQ52">
        <f t="shared" ref="AQ52" si="15">AVERAGE(AQ24:AQ51)</f>
        <v>3.2571428571428567</v>
      </c>
      <c r="AR52">
        <f t="shared" ref="AR52:AS52" si="16">AVERAGE(AR24:AR51)</f>
        <v>3.4364285714285718</v>
      </c>
      <c r="AS52">
        <f t="shared" si="16"/>
        <v>4.0792857142857137</v>
      </c>
    </row>
    <row r="54" spans="1:45" x14ac:dyDescent="0.55000000000000004">
      <c r="B54" t="s">
        <v>67</v>
      </c>
      <c r="C54" t="s">
        <v>25</v>
      </c>
      <c r="D54" t="s">
        <v>26</v>
      </c>
      <c r="E54" t="s">
        <v>66</v>
      </c>
      <c r="F54" t="s">
        <v>72</v>
      </c>
      <c r="G54" t="s">
        <v>68</v>
      </c>
      <c r="H54" t="s">
        <v>27</v>
      </c>
      <c r="I54" t="s">
        <v>73</v>
      </c>
      <c r="N54" s="13"/>
      <c r="O54" s="13"/>
      <c r="P54" s="13"/>
      <c r="W54" s="19"/>
      <c r="X54" s="19"/>
      <c r="Y54" s="19" t="s">
        <v>64</v>
      </c>
      <c r="Z54" s="19" t="s">
        <v>65</v>
      </c>
    </row>
    <row r="55" spans="1:45" x14ac:dyDescent="0.55000000000000004">
      <c r="A55" t="s">
        <v>24</v>
      </c>
      <c r="B55" s="4">
        <f>AVERAGE(B24:B51)</f>
        <v>3.9446428571428567</v>
      </c>
      <c r="C55" s="4">
        <f>AVERAGE(C24:C51)</f>
        <v>3.4146428571428573</v>
      </c>
      <c r="D55" s="4">
        <f>AVERAGE(D24:D51)</f>
        <v>3.4690306122448975</v>
      </c>
      <c r="E55" s="4">
        <f>AVERAGE(M24:M51)</f>
        <v>68.267777777777781</v>
      </c>
      <c r="F55" s="4">
        <f>AVERAGE(P52:V52)</f>
        <v>67.117745351473928</v>
      </c>
      <c r="G55" s="4">
        <f>AVERAGE(AF24:AF51)</f>
        <v>9.4046428571428571</v>
      </c>
      <c r="H55" s="4">
        <f>AVERAGE(AG24:AG51)</f>
        <v>9.3214285714285694</v>
      </c>
      <c r="I55" s="4">
        <f>AVERAGE(Z52:AF52)</f>
        <v>9.5920918367346957</v>
      </c>
      <c r="K55" s="1" t="s">
        <v>69</v>
      </c>
      <c r="L55" s="1"/>
      <c r="M55" s="1" t="s">
        <v>75</v>
      </c>
      <c r="N55" s="15"/>
      <c r="O55" s="15" t="s">
        <v>70</v>
      </c>
      <c r="P55" s="15" t="s">
        <v>76</v>
      </c>
      <c r="W55" s="15" t="s">
        <v>62</v>
      </c>
      <c r="X55" s="15"/>
      <c r="Y55" s="16">
        <f>AVERAGE(O56,P56)</f>
        <v>6.8896041621516115</v>
      </c>
      <c r="Z55" s="16">
        <f>AVERAGE(K56,M56)</f>
        <v>3.0691991172552524</v>
      </c>
    </row>
    <row r="56" spans="1:45" x14ac:dyDescent="0.55000000000000004">
      <c r="A56" t="s">
        <v>28</v>
      </c>
      <c r="B56" s="4">
        <f>MEDIAN(B24:B51)</f>
        <v>3.95</v>
      </c>
      <c r="C56" s="4">
        <f t="shared" ref="C56:D56" si="17">MEDIAN(C24:C51)</f>
        <v>3.37</v>
      </c>
      <c r="D56" s="4">
        <f t="shared" si="17"/>
        <v>3.3378571428571426</v>
      </c>
      <c r="E56" s="4">
        <f>MEDIAN(M24:M51)</f>
        <v>65.11</v>
      </c>
      <c r="F56" s="4">
        <f>MEDIAN(P52:V52)</f>
        <v>67.176666666666662</v>
      </c>
      <c r="G56" s="4">
        <f>MEDIAN(AF24:AF51)</f>
        <v>9.25</v>
      </c>
      <c r="H56" s="4">
        <f>MEDIAN(AG24:AG51)</f>
        <v>9.4649999999999999</v>
      </c>
      <c r="I56" s="4">
        <f>MEDIAN(Z52:AF52)</f>
        <v>9.9075000000000006</v>
      </c>
      <c r="J56" t="s">
        <v>24</v>
      </c>
      <c r="K56" s="20">
        <f>G55*(1-E55/100)</f>
        <v>2.98430217063492</v>
      </c>
      <c r="L56" s="20"/>
      <c r="M56" s="20">
        <f>I55*(1-F55/100)</f>
        <v>3.1540960638755848</v>
      </c>
      <c r="N56" s="15" t="s">
        <v>24</v>
      </c>
      <c r="O56" s="16">
        <f>B55*(1+K56/100)+K56</f>
        <v>7.046665090187286</v>
      </c>
      <c r="P56" s="16">
        <f>D55*(1+M56/100)+M56</f>
        <v>6.732543234115937</v>
      </c>
      <c r="W56" s="15" t="s">
        <v>63</v>
      </c>
      <c r="X56" s="15"/>
      <c r="Y56" s="16">
        <f>AVERAGE(O57,P57)</f>
        <v>7.0015897008491077</v>
      </c>
      <c r="Z56" s="16">
        <f>AVERAGE(K57,M57)</f>
        <v>3.2396483750000002</v>
      </c>
    </row>
    <row r="57" spans="1:45" x14ac:dyDescent="0.55000000000000004">
      <c r="A57" t="s">
        <v>29</v>
      </c>
      <c r="B57" s="4">
        <f>MAX(B24:B51)</f>
        <v>5.38</v>
      </c>
      <c r="C57" s="4">
        <f t="shared" ref="C57:D57" si="18">MAX(C24:C51)</f>
        <v>4.8600000000000003</v>
      </c>
      <c r="D57" s="4">
        <f t="shared" si="18"/>
        <v>6.0485714285714289</v>
      </c>
      <c r="E57" s="4">
        <f>MAX(M24:M51)</f>
        <v>100</v>
      </c>
      <c r="F57" s="4">
        <f>MAX(P52:V52)</f>
        <v>69.706400000000016</v>
      </c>
      <c r="G57" s="4">
        <f>MAX(AF24:AF51)</f>
        <v>17.079999999999998</v>
      </c>
      <c r="H57" s="4">
        <f>MAX(AG24:AG51)</f>
        <v>15.42</v>
      </c>
      <c r="I57" s="4">
        <f>MAX(Z52:AF52)</f>
        <v>10.598571428571429</v>
      </c>
      <c r="J57" t="s">
        <v>28</v>
      </c>
      <c r="K57" s="20">
        <f>G56*(1-E56/100)</f>
        <v>3.227325</v>
      </c>
      <c r="L57" s="20"/>
      <c r="M57" s="20">
        <f>I56*(1-F56/100)</f>
        <v>3.2519717500000005</v>
      </c>
      <c r="N57" s="15" t="s">
        <v>28</v>
      </c>
      <c r="O57" s="16">
        <f>B56*(1+K57/100)+K57</f>
        <v>7.3048043375000002</v>
      </c>
      <c r="P57" s="16">
        <f>D56*(1+M57/100)+M57</f>
        <v>6.6983750641982152</v>
      </c>
      <c r="W57" s="15"/>
      <c r="X57" s="15" t="s">
        <v>24</v>
      </c>
      <c r="Y57" s="16">
        <f>AVERAGE(Y55:Y56)</f>
        <v>6.9455969315003596</v>
      </c>
      <c r="Z57" s="16">
        <f>AVERAGE(Z55:Z56)</f>
        <v>3.1544237461276263</v>
      </c>
    </row>
    <row r="58" spans="1:45" x14ac:dyDescent="0.55000000000000004">
      <c r="A58" t="s">
        <v>30</v>
      </c>
      <c r="B58" s="4">
        <f>MIN(B24:B51)</f>
        <v>2.16</v>
      </c>
      <c r="C58" s="4">
        <f t="shared" ref="C58:D58" si="19">MIN(C24:C51)</f>
        <v>2.0499999999999998</v>
      </c>
      <c r="D58" s="4">
        <f t="shared" si="19"/>
        <v>2.06</v>
      </c>
      <c r="E58" s="4">
        <f>MIN(M24:M51)</f>
        <v>48.25</v>
      </c>
      <c r="F58" s="4">
        <f>MIN(P52:V52)</f>
        <v>63.806666666666665</v>
      </c>
      <c r="G58" s="4">
        <f>MIN(AF24:AF51)</f>
        <v>-2.98</v>
      </c>
      <c r="H58" s="4">
        <f>MIN(AG24:AG51)</f>
        <v>-2.72</v>
      </c>
      <c r="I58" s="4">
        <f>MIN(Z52:AF52)</f>
        <v>7.2164285714285716</v>
      </c>
      <c r="K58" s="4"/>
      <c r="L58" s="4"/>
      <c r="M58" s="4"/>
      <c r="N58" s="13"/>
      <c r="O58" s="14"/>
      <c r="P58" s="14"/>
    </row>
    <row r="59" spans="1:45" x14ac:dyDescent="0.55000000000000004">
      <c r="K59" s="4"/>
      <c r="L59" s="4"/>
      <c r="M59" s="4"/>
      <c r="O59" s="4"/>
      <c r="P59" s="4"/>
    </row>
  </sheetData>
  <mergeCells count="1">
    <mergeCell ref="X22:AC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 Willcott</dc:creator>
  <cp:lastModifiedBy>Sean Cleary</cp:lastModifiedBy>
  <dcterms:created xsi:type="dcterms:W3CDTF">2023-01-09T16:18:36Z</dcterms:created>
  <dcterms:modified xsi:type="dcterms:W3CDTF">2024-07-13T22:04:48Z</dcterms:modified>
</cp:coreProperties>
</file>