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65B4372C-6140-4E8C-96D0-20BFAAA7A2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FP Calc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N70" i="2" l="1"/>
  <c r="CN69" i="2"/>
  <c r="AG10" i="2"/>
  <c r="AG44" i="2" l="1"/>
  <c r="BY67" i="2" l="1"/>
  <c r="BY66" i="2"/>
  <c r="BY65" i="2"/>
  <c r="BY64" i="2"/>
  <c r="BY63" i="2"/>
  <c r="BY62" i="2"/>
  <c r="BY61" i="2"/>
  <c r="BY60" i="2"/>
  <c r="BY59" i="2"/>
  <c r="BY58" i="2"/>
  <c r="BY57" i="2"/>
  <c r="BY56" i="2"/>
  <c r="BY55" i="2"/>
  <c r="BY54" i="2"/>
  <c r="BY53" i="2"/>
  <c r="BY52" i="2"/>
  <c r="BY69" i="2" s="1"/>
  <c r="BY51" i="2"/>
  <c r="BY50" i="2"/>
  <c r="BY49" i="2"/>
  <c r="BY48" i="2"/>
  <c r="BY47" i="2"/>
  <c r="BY46" i="2"/>
  <c r="BY45" i="2"/>
  <c r="BY44" i="2"/>
  <c r="BY17" i="2"/>
  <c r="BY16" i="2"/>
  <c r="BY15" i="2"/>
  <c r="BY14" i="2"/>
  <c r="BY13" i="2"/>
  <c r="BY12" i="2"/>
  <c r="BY11" i="2"/>
  <c r="BY10" i="2"/>
  <c r="Q44" i="2" l="1"/>
  <c r="L33" i="2" l="1"/>
  <c r="L67" i="2"/>
  <c r="L66" i="2"/>
  <c r="H44" i="2"/>
  <c r="L44" i="2" s="1"/>
  <c r="L43" i="2"/>
  <c r="I43" i="2"/>
  <c r="L9" i="2"/>
  <c r="CS16" i="2"/>
  <c r="CS15" i="2"/>
  <c r="CS14" i="2"/>
  <c r="CP67" i="2"/>
  <c r="BZ67" i="2"/>
  <c r="BZ66" i="2"/>
  <c r="CG67" i="2"/>
  <c r="CF67" i="2"/>
  <c r="Y67" i="2"/>
  <c r="X67" i="2"/>
  <c r="CP33" i="2"/>
  <c r="Y33" i="2"/>
  <c r="X33" i="2"/>
  <c r="CG33" i="2"/>
  <c r="CF33" i="2"/>
  <c r="BZ33" i="2"/>
  <c r="CA67" i="2" l="1"/>
  <c r="H45" i="2"/>
  <c r="H46" i="2" s="1"/>
  <c r="I46" i="2" s="1"/>
  <c r="H47" i="2"/>
  <c r="L46" i="2"/>
  <c r="I44" i="2"/>
  <c r="L45" i="2"/>
  <c r="I45" i="2"/>
  <c r="BY33" i="2"/>
  <c r="BY32" i="2"/>
  <c r="BY31" i="2"/>
  <c r="BY30" i="2"/>
  <c r="BY29" i="2"/>
  <c r="BY28" i="2"/>
  <c r="BY27" i="2"/>
  <c r="BY26" i="2"/>
  <c r="BY25" i="2"/>
  <c r="BY24" i="2"/>
  <c r="BY23" i="2"/>
  <c r="BY22" i="2"/>
  <c r="BY21" i="2"/>
  <c r="BY20" i="2"/>
  <c r="BY19" i="2"/>
  <c r="BY18" i="2"/>
  <c r="BY36" i="2" s="1"/>
  <c r="BV67" i="2"/>
  <c r="I47" i="2" l="1"/>
  <c r="H48" i="2"/>
  <c r="L47" i="2"/>
  <c r="BV33" i="2"/>
  <c r="CJ33" i="2"/>
  <c r="AG33" i="2"/>
  <c r="Q33" i="2"/>
  <c r="Q67" i="2"/>
  <c r="AG32" i="2"/>
  <c r="L48" i="2" l="1"/>
  <c r="H49" i="2"/>
  <c r="I48" i="2"/>
  <c r="AG67" i="2"/>
  <c r="M67" i="2"/>
  <c r="CJ67" i="2"/>
  <c r="CJ66" i="2"/>
  <c r="CP32" i="2"/>
  <c r="CP31" i="2"/>
  <c r="CP30" i="2"/>
  <c r="CP66" i="2"/>
  <c r="CP65" i="2"/>
  <c r="CP64" i="2"/>
  <c r="CP63" i="2"/>
  <c r="CP62" i="2"/>
  <c r="CP61" i="2"/>
  <c r="CP60" i="2"/>
  <c r="CP59" i="2"/>
  <c r="CP58" i="2"/>
  <c r="CP57" i="2"/>
  <c r="CP56" i="2"/>
  <c r="CP55" i="2"/>
  <c r="CP54" i="2"/>
  <c r="CP53" i="2"/>
  <c r="CP52" i="2"/>
  <c r="CP51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69" i="2" l="1"/>
  <c r="H50" i="2"/>
  <c r="I49" i="2"/>
  <c r="L49" i="2"/>
  <c r="CP36" i="2"/>
  <c r="CP69" i="2"/>
  <c r="CP70" i="2" s="1"/>
  <c r="R67" i="2"/>
  <c r="R50" i="2"/>
  <c r="R48" i="2"/>
  <c r="R47" i="2"/>
  <c r="R52" i="2"/>
  <c r="R56" i="2"/>
  <c r="R60" i="2"/>
  <c r="R64" i="2"/>
  <c r="R49" i="2"/>
  <c r="R54" i="2"/>
  <c r="R58" i="2"/>
  <c r="R62" i="2"/>
  <c r="R66" i="2"/>
  <c r="R51" i="2"/>
  <c r="R53" i="2"/>
  <c r="R55" i="2"/>
  <c r="R57" i="2"/>
  <c r="R59" i="2"/>
  <c r="R61" i="2"/>
  <c r="R63" i="2"/>
  <c r="R65" i="2"/>
  <c r="F12" i="2"/>
  <c r="D12" i="2"/>
  <c r="E11" i="2"/>
  <c r="E10" i="2"/>
  <c r="E6" i="2"/>
  <c r="E7" i="2" s="1"/>
  <c r="E9" i="2"/>
  <c r="E8" i="2"/>
  <c r="E17" i="2"/>
  <c r="E16" i="2"/>
  <c r="D7" i="2"/>
  <c r="I50" i="2" l="1"/>
  <c r="H51" i="2"/>
  <c r="L50" i="2"/>
  <c r="D14" i="2"/>
  <c r="E12" i="2"/>
  <c r="E14" i="2" s="1"/>
  <c r="I51" i="2" l="1"/>
  <c r="H52" i="2"/>
  <c r="L51" i="2"/>
  <c r="CF32" i="2"/>
  <c r="CF31" i="2"/>
  <c r="CF30" i="2"/>
  <c r="CF29" i="2"/>
  <c r="CF28" i="2"/>
  <c r="CF27" i="2"/>
  <c r="CF26" i="2"/>
  <c r="CF25" i="2"/>
  <c r="CF24" i="2"/>
  <c r="CF23" i="2"/>
  <c r="CF22" i="2"/>
  <c r="CF21" i="2"/>
  <c r="CF20" i="2"/>
  <c r="CF19" i="2"/>
  <c r="CF18" i="2"/>
  <c r="CF66" i="2"/>
  <c r="CF65" i="2"/>
  <c r="CF64" i="2"/>
  <c r="CF63" i="2"/>
  <c r="CF62" i="2"/>
  <c r="CF61" i="2"/>
  <c r="CF60" i="2"/>
  <c r="CF59" i="2"/>
  <c r="CF58" i="2"/>
  <c r="CF57" i="2"/>
  <c r="CF56" i="2"/>
  <c r="CF55" i="2"/>
  <c r="CF54" i="2"/>
  <c r="CF53" i="2"/>
  <c r="CF52" i="2"/>
  <c r="BS69" i="2"/>
  <c r="BQ69" i="2"/>
  <c r="BO69" i="2"/>
  <c r="BM69" i="2"/>
  <c r="BJ69" i="2"/>
  <c r="BI69" i="2"/>
  <c r="BG69" i="2"/>
  <c r="BC69" i="2"/>
  <c r="BB69" i="2"/>
  <c r="AY69" i="2"/>
  <c r="AV69" i="2"/>
  <c r="AR69" i="2"/>
  <c r="AQ69" i="2"/>
  <c r="AN69" i="2"/>
  <c r="Y66" i="2"/>
  <c r="X66" i="2"/>
  <c r="Y65" i="2"/>
  <c r="X65" i="2"/>
  <c r="Y64" i="2"/>
  <c r="X64" i="2"/>
  <c r="Y63" i="2"/>
  <c r="X63" i="2"/>
  <c r="Y62" i="2"/>
  <c r="X62" i="2"/>
  <c r="Y61" i="2"/>
  <c r="X61" i="2"/>
  <c r="Y60" i="2"/>
  <c r="X60" i="2"/>
  <c r="Y59" i="2"/>
  <c r="X59" i="2"/>
  <c r="Y58" i="2"/>
  <c r="X58" i="2"/>
  <c r="Y57" i="2"/>
  <c r="X57" i="2"/>
  <c r="Y56" i="2"/>
  <c r="X56" i="2"/>
  <c r="Y55" i="2"/>
  <c r="X55" i="2"/>
  <c r="Y54" i="2"/>
  <c r="X54" i="2"/>
  <c r="Y53" i="2"/>
  <c r="X53" i="2"/>
  <c r="Y52" i="2"/>
  <c r="X52" i="2"/>
  <c r="Y51" i="2"/>
  <c r="X51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CF69" i="2" l="1"/>
  <c r="L52" i="2"/>
  <c r="H53" i="2"/>
  <c r="I52" i="2"/>
  <c r="CF34" i="2"/>
  <c r="CF36" i="2"/>
  <c r="H54" i="2" l="1"/>
  <c r="I53" i="2"/>
  <c r="L5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BV66" i="2"/>
  <c r="BV32" i="2"/>
  <c r="CG66" i="2"/>
  <c r="CH67" i="2" s="1"/>
  <c r="CG65" i="2"/>
  <c r="CG64" i="2"/>
  <c r="CG63" i="2"/>
  <c r="CG62" i="2"/>
  <c r="CG61" i="2"/>
  <c r="CG60" i="2"/>
  <c r="CG59" i="2"/>
  <c r="CG58" i="2"/>
  <c r="CG57" i="2"/>
  <c r="CG56" i="2"/>
  <c r="CG55" i="2"/>
  <c r="CG54" i="2"/>
  <c r="CG53" i="2"/>
  <c r="CG52" i="2"/>
  <c r="CG51" i="2"/>
  <c r="CG50" i="2"/>
  <c r="CG49" i="2"/>
  <c r="CJ32" i="2"/>
  <c r="CS32" i="2" s="1"/>
  <c r="CG32" i="2"/>
  <c r="CH33" i="2" s="1"/>
  <c r="CG31" i="2"/>
  <c r="CG30" i="2"/>
  <c r="CD31" i="2"/>
  <c r="CD30" i="2"/>
  <c r="CD29" i="2"/>
  <c r="CD28" i="2"/>
  <c r="CD27" i="2"/>
  <c r="CD26" i="2"/>
  <c r="CD25" i="2"/>
  <c r="CD24" i="2"/>
  <c r="CD23" i="2"/>
  <c r="CD22" i="2"/>
  <c r="CD21" i="2"/>
  <c r="CD20" i="2"/>
  <c r="CD19" i="2"/>
  <c r="CD18" i="2"/>
  <c r="CD17" i="2"/>
  <c r="CD16" i="2"/>
  <c r="CD15" i="2"/>
  <c r="CD14" i="2"/>
  <c r="Q36" i="2" l="1"/>
  <c r="I54" i="2"/>
  <c r="H55" i="2"/>
  <c r="L54" i="2"/>
  <c r="R13" i="2"/>
  <c r="R17" i="2"/>
  <c r="R21" i="2"/>
  <c r="R25" i="2"/>
  <c r="R33" i="2"/>
  <c r="R29" i="2"/>
  <c r="R22" i="2"/>
  <c r="R30" i="2"/>
  <c r="R15" i="2"/>
  <c r="R19" i="2"/>
  <c r="R23" i="2"/>
  <c r="R27" i="2"/>
  <c r="R31" i="2"/>
  <c r="R14" i="2"/>
  <c r="R18" i="2"/>
  <c r="R26" i="2"/>
  <c r="R16" i="2"/>
  <c r="R20" i="2"/>
  <c r="R24" i="2"/>
  <c r="R28" i="2"/>
  <c r="R32" i="2"/>
  <c r="CH32" i="2"/>
  <c r="CH66" i="2"/>
  <c r="CD32" i="2"/>
  <c r="AG66" i="2"/>
  <c r="BZ32" i="2"/>
  <c r="CA33" i="2" s="1"/>
  <c r="I55" i="2" l="1"/>
  <c r="H56" i="2"/>
  <c r="L55" i="2"/>
  <c r="CS66" i="2"/>
  <c r="L32" i="2"/>
  <c r="M33" i="2" s="1"/>
  <c r="BV65" i="2"/>
  <c r="BV64" i="2"/>
  <c r="BV63" i="2"/>
  <c r="BV62" i="2"/>
  <c r="BV61" i="2"/>
  <c r="BV60" i="2"/>
  <c r="BV59" i="2"/>
  <c r="BV58" i="2"/>
  <c r="BV57" i="2"/>
  <c r="BV56" i="2"/>
  <c r="BV55" i="2"/>
  <c r="BV54" i="2"/>
  <c r="BV53" i="2"/>
  <c r="BV52" i="2"/>
  <c r="BV51" i="2"/>
  <c r="BV50" i="2"/>
  <c r="BV49" i="2"/>
  <c r="BV31" i="2"/>
  <c r="BV30" i="2"/>
  <c r="L56" i="2" l="1"/>
  <c r="H57" i="2"/>
  <c r="I56" i="2"/>
  <c r="CB48" i="2"/>
  <c r="CG48" i="2" s="1"/>
  <c r="CB47" i="2"/>
  <c r="CG47" i="2" s="1"/>
  <c r="CB46" i="2"/>
  <c r="CB45" i="2"/>
  <c r="CB43" i="2"/>
  <c r="CJ65" i="2"/>
  <c r="BZ65" i="2"/>
  <c r="CA66" i="2" s="1"/>
  <c r="AG65" i="2"/>
  <c r="CJ64" i="2"/>
  <c r="BZ64" i="2"/>
  <c r="AG64" i="2"/>
  <c r="CJ63" i="2"/>
  <c r="AG63" i="2"/>
  <c r="CJ62" i="2"/>
  <c r="AG62" i="2"/>
  <c r="CJ61" i="2"/>
  <c r="BZ61" i="2"/>
  <c r="AG61" i="2"/>
  <c r="CJ60" i="2"/>
  <c r="BZ60" i="2"/>
  <c r="AG60" i="2"/>
  <c r="CJ59" i="2"/>
  <c r="BZ59" i="2"/>
  <c r="AG59" i="2"/>
  <c r="CJ58" i="2"/>
  <c r="AG58" i="2"/>
  <c r="CJ57" i="2"/>
  <c r="BZ57" i="2"/>
  <c r="AG57" i="2"/>
  <c r="CJ56" i="2"/>
  <c r="BZ56" i="2"/>
  <c r="AG56" i="2"/>
  <c r="M56" i="2"/>
  <c r="CJ55" i="2"/>
  <c r="BZ55" i="2"/>
  <c r="AG55" i="2"/>
  <c r="CJ54" i="2"/>
  <c r="BZ54" i="2"/>
  <c r="AG54" i="2"/>
  <c r="M54" i="2"/>
  <c r="CJ53" i="2"/>
  <c r="AG53" i="2"/>
  <c r="CJ52" i="2"/>
  <c r="BZ52" i="2"/>
  <c r="AG52" i="2"/>
  <c r="M52" i="2"/>
  <c r="CJ51" i="2"/>
  <c r="BZ51" i="2"/>
  <c r="AG51" i="2"/>
  <c r="CJ50" i="2"/>
  <c r="BZ50" i="2"/>
  <c r="AG50" i="2"/>
  <c r="M51" i="2"/>
  <c r="CJ49" i="2"/>
  <c r="BZ49" i="2"/>
  <c r="AG49" i="2"/>
  <c r="M49" i="2"/>
  <c r="M50" i="2"/>
  <c r="CJ48" i="2"/>
  <c r="BZ48" i="2"/>
  <c r="AG48" i="2"/>
  <c r="M46" i="2"/>
  <c r="M45" i="2"/>
  <c r="BR44" i="2"/>
  <c r="BT44" i="2" s="1"/>
  <c r="BN44" i="2"/>
  <c r="BN45" i="2" s="1"/>
  <c r="BP45" i="2" s="1"/>
  <c r="BK44" i="2"/>
  <c r="BL44" i="2" s="1"/>
  <c r="AZ44" i="2"/>
  <c r="AZ45" i="2" s="1"/>
  <c r="BA45" i="2" s="1"/>
  <c r="AX44" i="2"/>
  <c r="AO44" i="2"/>
  <c r="AP44" i="2" s="1"/>
  <c r="BU43" i="2"/>
  <c r="BU44" i="2" s="1"/>
  <c r="BU45" i="2" s="1"/>
  <c r="BU46" i="2" s="1"/>
  <c r="BU47" i="2" s="1"/>
  <c r="BU48" i="2" s="1"/>
  <c r="BU49" i="2" s="1"/>
  <c r="BU50" i="2" s="1"/>
  <c r="BU51" i="2" s="1"/>
  <c r="BU52" i="2" s="1"/>
  <c r="BU53" i="2" s="1"/>
  <c r="BU54" i="2" s="1"/>
  <c r="BU55" i="2" s="1"/>
  <c r="BU56" i="2" s="1"/>
  <c r="BU57" i="2" s="1"/>
  <c r="BU58" i="2" s="1"/>
  <c r="BU59" i="2" s="1"/>
  <c r="BU60" i="2" s="1"/>
  <c r="BU61" i="2" s="1"/>
  <c r="BU62" i="2" s="1"/>
  <c r="BU63" i="2" s="1"/>
  <c r="BU64" i="2" s="1"/>
  <c r="BU65" i="2" s="1"/>
  <c r="BL43" i="2"/>
  <c r="BD43" i="2"/>
  <c r="BA43" i="2"/>
  <c r="AS43" i="2"/>
  <c r="AP43" i="2"/>
  <c r="CJ31" i="2"/>
  <c r="CJ30" i="2"/>
  <c r="CJ29" i="2"/>
  <c r="CJ28" i="2"/>
  <c r="CJ27" i="2"/>
  <c r="CJ26" i="2"/>
  <c r="CJ25" i="2"/>
  <c r="CJ24" i="2"/>
  <c r="CJ23" i="2"/>
  <c r="CJ22" i="2"/>
  <c r="CJ21" i="2"/>
  <c r="CJ20" i="2"/>
  <c r="CJ19" i="2"/>
  <c r="CJ18" i="2"/>
  <c r="CJ17" i="2"/>
  <c r="CJ16" i="2"/>
  <c r="CJ15" i="2"/>
  <c r="CJ14" i="2"/>
  <c r="H58" i="2" l="1"/>
  <c r="I57" i="2"/>
  <c r="L57" i="2"/>
  <c r="M57" i="2" s="1"/>
  <c r="CJ36" i="2"/>
  <c r="CJ69" i="2"/>
  <c r="BV47" i="2"/>
  <c r="CH49" i="2"/>
  <c r="BV48" i="2"/>
  <c r="BP44" i="2"/>
  <c r="CA52" i="2"/>
  <c r="BA44" i="2"/>
  <c r="BD44" i="2"/>
  <c r="BF44" i="2" s="1"/>
  <c r="BH44" i="2" s="1"/>
  <c r="CH48" i="2"/>
  <c r="CA56" i="2"/>
  <c r="CA61" i="2"/>
  <c r="CA65" i="2"/>
  <c r="CA55" i="2"/>
  <c r="CA51" i="2"/>
  <c r="CA49" i="2"/>
  <c r="CH50" i="2"/>
  <c r="CH64" i="2"/>
  <c r="CH55" i="2"/>
  <c r="CH65" i="2"/>
  <c r="CH60" i="2"/>
  <c r="CH54" i="2"/>
  <c r="CH53" i="2"/>
  <c r="BK45" i="2"/>
  <c r="BZ47" i="2"/>
  <c r="CA48" i="2" s="1"/>
  <c r="M44" i="2"/>
  <c r="CA50" i="2"/>
  <c r="CH51" i="2"/>
  <c r="AZ46" i="2"/>
  <c r="M48" i="2"/>
  <c r="M47" i="2"/>
  <c r="AO45" i="2"/>
  <c r="AS44" i="2"/>
  <c r="BD45" i="2"/>
  <c r="BR45" i="2"/>
  <c r="BN46" i="2"/>
  <c r="M55" i="2"/>
  <c r="BZ63" i="2"/>
  <c r="BZ53" i="2"/>
  <c r="CA53" i="2" s="1"/>
  <c r="CA57" i="2"/>
  <c r="CA60" i="2"/>
  <c r="M53" i="2"/>
  <c r="CH58" i="2"/>
  <c r="CH59" i="2"/>
  <c r="CH61" i="2"/>
  <c r="BZ58" i="2"/>
  <c r="CA58" i="2" s="1"/>
  <c r="BZ62" i="2"/>
  <c r="CA62" i="2" s="1"/>
  <c r="I58" i="2" l="1"/>
  <c r="H59" i="2"/>
  <c r="L58" i="2"/>
  <c r="M58" i="2" s="1"/>
  <c r="CA63" i="2"/>
  <c r="BE44" i="2"/>
  <c r="CA54" i="2"/>
  <c r="CA69" i="2" s="1"/>
  <c r="CH62" i="2"/>
  <c r="BF45" i="2"/>
  <c r="BH45" i="2" s="1"/>
  <c r="BE45" i="2"/>
  <c r="CH56" i="2"/>
  <c r="CH57" i="2"/>
  <c r="CA64" i="2"/>
  <c r="AT44" i="2"/>
  <c r="AU44" i="2"/>
  <c r="BK46" i="2"/>
  <c r="BL45" i="2"/>
  <c r="BN47" i="2"/>
  <c r="BP46" i="2"/>
  <c r="AO46" i="2"/>
  <c r="AP45" i="2"/>
  <c r="AS45" i="2"/>
  <c r="AT45" i="2" s="1"/>
  <c r="CH63" i="2"/>
  <c r="CH52" i="2"/>
  <c r="CA59" i="2"/>
  <c r="BR46" i="2"/>
  <c r="BT45" i="2"/>
  <c r="AZ47" i="2"/>
  <c r="BD46" i="2"/>
  <c r="BA46" i="2"/>
  <c r="I59" i="2" l="1"/>
  <c r="H60" i="2"/>
  <c r="L59" i="2"/>
  <c r="M59" i="2" s="1"/>
  <c r="CH69" i="2"/>
  <c r="BT46" i="2"/>
  <c r="BR47" i="2"/>
  <c r="BF46" i="2"/>
  <c r="BH46" i="2" s="1"/>
  <c r="BE46" i="2"/>
  <c r="BN48" i="2"/>
  <c r="BP47" i="2"/>
  <c r="BL46" i="2"/>
  <c r="BK47" i="2"/>
  <c r="AZ48" i="2"/>
  <c r="BD47" i="2"/>
  <c r="BA47" i="2"/>
  <c r="AX45" i="2"/>
  <c r="AU45" i="2" s="1"/>
  <c r="AW44" i="2"/>
  <c r="AP46" i="2"/>
  <c r="AO47" i="2"/>
  <c r="AS46" i="2"/>
  <c r="AT46" i="2" s="1"/>
  <c r="L60" i="2" l="1"/>
  <c r="M60" i="2" s="1"/>
  <c r="I60" i="2"/>
  <c r="H61" i="2"/>
  <c r="AX46" i="2"/>
  <c r="AU46" i="2" s="1"/>
  <c r="AW45" i="2"/>
  <c r="BD48" i="2"/>
  <c r="AZ49" i="2"/>
  <c r="BA48" i="2"/>
  <c r="BN49" i="2"/>
  <c r="BP48" i="2"/>
  <c r="BK48" i="2"/>
  <c r="BL47" i="2"/>
  <c r="BR48" i="2"/>
  <c r="BT47" i="2"/>
  <c r="AO48" i="2"/>
  <c r="AS47" i="2"/>
  <c r="AT47" i="2" s="1"/>
  <c r="AP47" i="2"/>
  <c r="BF47" i="2"/>
  <c r="BH47" i="2" s="1"/>
  <c r="BE47" i="2"/>
  <c r="H62" i="2" l="1"/>
  <c r="L61" i="2"/>
  <c r="M61" i="2" s="1"/>
  <c r="I61" i="2"/>
  <c r="AX47" i="2"/>
  <c r="AU47" i="2" s="1"/>
  <c r="AW46" i="2"/>
  <c r="BL48" i="2"/>
  <c r="BK49" i="2"/>
  <c r="BA49" i="2"/>
  <c r="AZ50" i="2"/>
  <c r="BD49" i="2"/>
  <c r="AO49" i="2"/>
  <c r="AP48" i="2"/>
  <c r="AS48" i="2"/>
  <c r="AT48" i="2" s="1"/>
  <c r="BF48" i="2"/>
  <c r="BH48" i="2" s="1"/>
  <c r="BE48" i="2"/>
  <c r="BP49" i="2"/>
  <c r="BN50" i="2"/>
  <c r="BR49" i="2"/>
  <c r="BT48" i="2"/>
  <c r="L62" i="2" l="1"/>
  <c r="M62" i="2" s="1"/>
  <c r="H63" i="2"/>
  <c r="I62" i="2"/>
  <c r="AW47" i="2"/>
  <c r="AX48" i="2"/>
  <c r="AU48" i="2" s="1"/>
  <c r="BK50" i="2"/>
  <c r="BL49" i="2"/>
  <c r="BP50" i="2"/>
  <c r="BN51" i="2"/>
  <c r="AO50" i="2"/>
  <c r="AS49" i="2"/>
  <c r="AT49" i="2" s="1"/>
  <c r="AP49" i="2"/>
  <c r="BF49" i="2"/>
  <c r="BH49" i="2" s="1"/>
  <c r="BE49" i="2"/>
  <c r="BR50" i="2"/>
  <c r="BT49" i="2"/>
  <c r="BD50" i="2"/>
  <c r="BA50" i="2"/>
  <c r="AZ51" i="2"/>
  <c r="I63" i="2" l="1"/>
  <c r="H64" i="2"/>
  <c r="L63" i="2"/>
  <c r="M63" i="2" s="1"/>
  <c r="AW48" i="2"/>
  <c r="AX49" i="2"/>
  <c r="AU49" i="2" s="1"/>
  <c r="BF50" i="2"/>
  <c r="BH50" i="2" s="1"/>
  <c r="BE50" i="2"/>
  <c r="BN52" i="2"/>
  <c r="BP51" i="2"/>
  <c r="AZ52" i="2"/>
  <c r="BD51" i="2"/>
  <c r="BA51" i="2"/>
  <c r="BR51" i="2"/>
  <c r="BT50" i="2"/>
  <c r="AP50" i="2"/>
  <c r="AO51" i="2"/>
  <c r="AS50" i="2"/>
  <c r="AT50" i="2" s="1"/>
  <c r="BK51" i="2"/>
  <c r="BL50" i="2"/>
  <c r="L64" i="2" l="1"/>
  <c r="M64" i="2" s="1"/>
  <c r="I64" i="2"/>
  <c r="H65" i="2"/>
  <c r="AX50" i="2"/>
  <c r="AU50" i="2" s="1"/>
  <c r="AW49" i="2"/>
  <c r="BK52" i="2"/>
  <c r="BL51" i="2"/>
  <c r="BP52" i="2"/>
  <c r="BN53" i="2"/>
  <c r="BE51" i="2"/>
  <c r="BF51" i="2"/>
  <c r="BH51" i="2" s="1"/>
  <c r="BA52" i="2"/>
  <c r="AZ53" i="2"/>
  <c r="BD52" i="2"/>
  <c r="AS51" i="2"/>
  <c r="AT51" i="2" s="1"/>
  <c r="AP51" i="2"/>
  <c r="AO52" i="2"/>
  <c r="BR52" i="2"/>
  <c r="BT51" i="2"/>
  <c r="L65" i="2" l="1"/>
  <c r="I65" i="2"/>
  <c r="AX51" i="2"/>
  <c r="AU51" i="2" s="1"/>
  <c r="AW50" i="2"/>
  <c r="AZ54" i="2"/>
  <c r="BD53" i="2"/>
  <c r="BA53" i="2"/>
  <c r="BK53" i="2"/>
  <c r="BL52" i="2"/>
  <c r="BN54" i="2"/>
  <c r="BP53" i="2"/>
  <c r="BR53" i="2"/>
  <c r="BT52" i="2"/>
  <c r="AO53" i="2"/>
  <c r="AS52" i="2"/>
  <c r="AP52" i="2"/>
  <c r="BF52" i="2"/>
  <c r="BE52" i="2"/>
  <c r="M66" i="2" l="1"/>
  <c r="M65" i="2"/>
  <c r="BH52" i="2"/>
  <c r="AT52" i="2"/>
  <c r="BT53" i="2"/>
  <c r="BR54" i="2"/>
  <c r="BL53" i="2"/>
  <c r="BK54" i="2"/>
  <c r="AZ55" i="2"/>
  <c r="BD54" i="2"/>
  <c r="BA54" i="2"/>
  <c r="AX52" i="2"/>
  <c r="AW51" i="2"/>
  <c r="AS53" i="2"/>
  <c r="AT53" i="2" s="1"/>
  <c r="AP53" i="2"/>
  <c r="AO54" i="2"/>
  <c r="BN55" i="2"/>
  <c r="BP54" i="2"/>
  <c r="BE53" i="2"/>
  <c r="BF53" i="2"/>
  <c r="BH53" i="2" s="1"/>
  <c r="AU52" i="2" l="1"/>
  <c r="AW52" i="2" s="1"/>
  <c r="BL54" i="2"/>
  <c r="BK55" i="2"/>
  <c r="BP55" i="2"/>
  <c r="BN56" i="2"/>
  <c r="BF54" i="2"/>
  <c r="BE54" i="2"/>
  <c r="BT54" i="2"/>
  <c r="BR55" i="2"/>
  <c r="AO55" i="2"/>
  <c r="AS54" i="2"/>
  <c r="AT54" i="2" s="1"/>
  <c r="AP54" i="2"/>
  <c r="BA55" i="2"/>
  <c r="AZ56" i="2"/>
  <c r="BD55" i="2"/>
  <c r="AX53" i="2" l="1"/>
  <c r="AU53" i="2" s="1"/>
  <c r="AW53" i="2" s="1"/>
  <c r="BH54" i="2"/>
  <c r="BK56" i="2"/>
  <c r="BL55" i="2"/>
  <c r="AX54" i="2"/>
  <c r="AO56" i="2"/>
  <c r="AS55" i="2"/>
  <c r="AT55" i="2" s="1"/>
  <c r="AP55" i="2"/>
  <c r="BR56" i="2"/>
  <c r="BT55" i="2"/>
  <c r="BF55" i="2"/>
  <c r="BH55" i="2" s="1"/>
  <c r="BE55" i="2"/>
  <c r="BP56" i="2"/>
  <c r="BN57" i="2"/>
  <c r="BD56" i="2"/>
  <c r="BA56" i="2"/>
  <c r="AZ57" i="2"/>
  <c r="AU54" i="2" l="1"/>
  <c r="AX55" i="2" s="1"/>
  <c r="AU55" i="2" s="1"/>
  <c r="BP57" i="2"/>
  <c r="BN58" i="2"/>
  <c r="AP56" i="2"/>
  <c r="AO57" i="2"/>
  <c r="AS56" i="2"/>
  <c r="AT56" i="2" s="1"/>
  <c r="BR57" i="2"/>
  <c r="BT56" i="2"/>
  <c r="BD57" i="2"/>
  <c r="BA57" i="2"/>
  <c r="AZ58" i="2"/>
  <c r="BF56" i="2"/>
  <c r="BE56" i="2"/>
  <c r="BK57" i="2"/>
  <c r="BL56" i="2"/>
  <c r="BH56" i="2" l="1"/>
  <c r="AW54" i="2"/>
  <c r="AW55" i="2"/>
  <c r="AX56" i="2"/>
  <c r="BK58" i="2"/>
  <c r="BL57" i="2"/>
  <c r="AZ59" i="2"/>
  <c r="BD58" i="2"/>
  <c r="BA58" i="2"/>
  <c r="AS57" i="2"/>
  <c r="AT57" i="2" s="1"/>
  <c r="AP57" i="2"/>
  <c r="AO58" i="2"/>
  <c r="BE57" i="2"/>
  <c r="BF57" i="2"/>
  <c r="BH57" i="2" s="1"/>
  <c r="BR58" i="2"/>
  <c r="BT57" i="2"/>
  <c r="BN59" i="2"/>
  <c r="BP58" i="2"/>
  <c r="AU56" i="2" l="1"/>
  <c r="AW56" i="2" s="1"/>
  <c r="BL58" i="2"/>
  <c r="BK59" i="2"/>
  <c r="BT58" i="2"/>
  <c r="BR59" i="2"/>
  <c r="BE58" i="2"/>
  <c r="BF58" i="2"/>
  <c r="BH58" i="2" s="1"/>
  <c r="AZ60" i="2"/>
  <c r="BD59" i="2"/>
  <c r="BA59" i="2"/>
  <c r="BN60" i="2"/>
  <c r="BP59" i="2"/>
  <c r="AS58" i="2"/>
  <c r="AT58" i="2" s="1"/>
  <c r="AP58" i="2"/>
  <c r="AO59" i="2"/>
  <c r="AX57" i="2" l="1"/>
  <c r="AU57" i="2" s="1"/>
  <c r="AX58" i="2" s="1"/>
  <c r="AU58" i="2" s="1"/>
  <c r="BT59" i="2"/>
  <c r="BR60" i="2"/>
  <c r="BF59" i="2"/>
  <c r="BH59" i="2" s="1"/>
  <c r="BE59" i="2"/>
  <c r="BA60" i="2"/>
  <c r="AZ61" i="2"/>
  <c r="BD60" i="2"/>
  <c r="BL59" i="2"/>
  <c r="BK60" i="2"/>
  <c r="AO60" i="2"/>
  <c r="AS59" i="2"/>
  <c r="AT59" i="2" s="1"/>
  <c r="AP59" i="2"/>
  <c r="BP60" i="2"/>
  <c r="BN61" i="2"/>
  <c r="AW57" i="2" l="1"/>
  <c r="BD61" i="2"/>
  <c r="BA61" i="2"/>
  <c r="AZ62" i="2"/>
  <c r="BK61" i="2"/>
  <c r="BL60" i="2"/>
  <c r="AX59" i="2"/>
  <c r="AU59" i="2" s="1"/>
  <c r="AW58" i="2"/>
  <c r="BF60" i="2"/>
  <c r="BH60" i="2" s="1"/>
  <c r="BE60" i="2"/>
  <c r="BP61" i="2"/>
  <c r="BN62" i="2"/>
  <c r="AO61" i="2"/>
  <c r="AS60" i="2"/>
  <c r="AT60" i="2" s="1"/>
  <c r="AP60" i="2"/>
  <c r="BR61" i="2"/>
  <c r="BT60" i="2"/>
  <c r="AX60" i="2" l="1"/>
  <c r="AU60" i="2" s="1"/>
  <c r="AW59" i="2"/>
  <c r="BR62" i="2"/>
  <c r="BT61" i="2"/>
  <c r="BN63" i="2"/>
  <c r="BP62" i="2"/>
  <c r="AZ63" i="2"/>
  <c r="BD62" i="2"/>
  <c r="BA62" i="2"/>
  <c r="BK62" i="2"/>
  <c r="BL61" i="2"/>
  <c r="AP61" i="2"/>
  <c r="AO62" i="2"/>
  <c r="AS61" i="2"/>
  <c r="AT61" i="2" s="1"/>
  <c r="BF61" i="2"/>
  <c r="BH61" i="2" s="1"/>
  <c r="BE61" i="2"/>
  <c r="AX61" i="2" l="1"/>
  <c r="AU61" i="2" s="1"/>
  <c r="AW60" i="2"/>
  <c r="AZ64" i="2"/>
  <c r="BD63" i="2"/>
  <c r="BA63" i="2"/>
  <c r="BT62" i="2"/>
  <c r="BR63" i="2"/>
  <c r="BL62" i="2"/>
  <c r="BK63" i="2"/>
  <c r="AS62" i="2"/>
  <c r="AT62" i="2" s="1"/>
  <c r="AP62" i="2"/>
  <c r="AO63" i="2"/>
  <c r="BN64" i="2"/>
  <c r="BP63" i="2"/>
  <c r="BE62" i="2"/>
  <c r="BF62" i="2"/>
  <c r="BH62" i="2" s="1"/>
  <c r="AZ65" i="2" l="1"/>
  <c r="AZ69" i="2" s="1"/>
  <c r="BA64" i="2"/>
  <c r="BD64" i="2"/>
  <c r="BT63" i="2"/>
  <c r="BR64" i="2"/>
  <c r="AO64" i="2"/>
  <c r="AS63" i="2"/>
  <c r="AT63" i="2" s="1"/>
  <c r="AP63" i="2"/>
  <c r="BL63" i="2"/>
  <c r="BK64" i="2"/>
  <c r="BN65" i="2"/>
  <c r="BP64" i="2"/>
  <c r="BF63" i="2"/>
  <c r="BH63" i="2" s="1"/>
  <c r="BE63" i="2"/>
  <c r="AX62" i="2"/>
  <c r="AU62" i="2" s="1"/>
  <c r="AW61" i="2"/>
  <c r="BP65" i="2" l="1"/>
  <c r="BP69" i="2" s="1"/>
  <c r="BN69" i="2"/>
  <c r="AS64" i="2"/>
  <c r="AT64" i="2" s="1"/>
  <c r="AO65" i="2"/>
  <c r="AO69" i="2" s="1"/>
  <c r="AP64" i="2"/>
  <c r="BR65" i="2"/>
  <c r="BT64" i="2"/>
  <c r="BF64" i="2"/>
  <c r="BH64" i="2" s="1"/>
  <c r="BE64" i="2"/>
  <c r="BK65" i="2"/>
  <c r="BL64" i="2"/>
  <c r="AX63" i="2"/>
  <c r="AU63" i="2" s="1"/>
  <c r="AW62" i="2"/>
  <c r="BD65" i="2"/>
  <c r="BD69" i="2" s="1"/>
  <c r="BA65" i="2"/>
  <c r="BA69" i="2" s="1"/>
  <c r="BT65" i="2" l="1"/>
  <c r="BT69" i="2" s="1"/>
  <c r="BR69" i="2"/>
  <c r="BL65" i="2"/>
  <c r="BL69" i="2" s="1"/>
  <c r="BK69" i="2"/>
  <c r="AX64" i="2"/>
  <c r="AU64" i="2" s="1"/>
  <c r="AW63" i="2"/>
  <c r="AS65" i="2"/>
  <c r="AP65" i="2"/>
  <c r="AP69" i="2" s="1"/>
  <c r="BF65" i="2"/>
  <c r="BE65" i="2"/>
  <c r="BE69" i="2" s="1"/>
  <c r="AT65" i="2" l="1"/>
  <c r="AT69" i="2" s="1"/>
  <c r="AS69" i="2"/>
  <c r="BH65" i="2"/>
  <c r="BH69" i="2" s="1"/>
  <c r="BF69" i="2"/>
  <c r="AX65" i="2"/>
  <c r="AW64" i="2"/>
  <c r="AU65" i="2" l="1"/>
  <c r="AX69" i="2"/>
  <c r="AG14" i="2"/>
  <c r="F7" i="2"/>
  <c r="F5" i="2"/>
  <c r="BZ31" i="2"/>
  <c r="CA32" i="2" s="1"/>
  <c r="BZ30" i="2"/>
  <c r="BW29" i="2"/>
  <c r="BW28" i="2"/>
  <c r="BW27" i="2"/>
  <c r="BW26" i="2"/>
  <c r="BW25" i="2"/>
  <c r="BW24" i="2"/>
  <c r="BW23" i="2"/>
  <c r="BW22" i="2"/>
  <c r="BW21" i="2"/>
  <c r="BW20" i="2"/>
  <c r="BW19" i="2"/>
  <c r="BW18" i="2"/>
  <c r="BW17" i="2"/>
  <c r="BW16" i="2"/>
  <c r="BW15" i="2"/>
  <c r="BW14" i="2"/>
  <c r="BW13" i="2"/>
  <c r="BW12" i="2"/>
  <c r="BW11" i="2"/>
  <c r="BW10" i="2"/>
  <c r="BW9" i="2"/>
  <c r="CB29" i="2"/>
  <c r="CB28" i="2"/>
  <c r="CB27" i="2"/>
  <c r="CB26" i="2"/>
  <c r="CB25" i="2"/>
  <c r="CB19" i="2"/>
  <c r="CB10" i="2"/>
  <c r="CB24" i="2"/>
  <c r="CB23" i="2"/>
  <c r="CB22" i="2"/>
  <c r="CB21" i="2"/>
  <c r="CB20" i="2"/>
  <c r="CB18" i="2"/>
  <c r="CB17" i="2"/>
  <c r="CB16" i="2"/>
  <c r="CG16" i="2" s="1"/>
  <c r="CB15" i="2"/>
  <c r="CG15" i="2" s="1"/>
  <c r="CB14" i="2"/>
  <c r="CG14" i="2" s="1"/>
  <c r="CB13" i="2"/>
  <c r="CG13" i="2" s="1"/>
  <c r="CB12" i="2"/>
  <c r="CB11" i="2"/>
  <c r="CB9" i="2"/>
  <c r="BU9" i="2"/>
  <c r="BU10" i="2" s="1"/>
  <c r="BU11" i="2" s="1"/>
  <c r="BU12" i="2" s="1"/>
  <c r="BU13" i="2" s="1"/>
  <c r="BU14" i="2" s="1"/>
  <c r="BU15" i="2" s="1"/>
  <c r="BU16" i="2" s="1"/>
  <c r="BU17" i="2" s="1"/>
  <c r="BU18" i="2" s="1"/>
  <c r="BU19" i="2" s="1"/>
  <c r="BU20" i="2" s="1"/>
  <c r="BU21" i="2" s="1"/>
  <c r="BU22" i="2" s="1"/>
  <c r="BU23" i="2" s="1"/>
  <c r="BU24" i="2" s="1"/>
  <c r="BU25" i="2" s="1"/>
  <c r="BU26" i="2" s="1"/>
  <c r="BU27" i="2" s="1"/>
  <c r="BU28" i="2" s="1"/>
  <c r="BU29" i="2" s="1"/>
  <c r="BU30" i="2" s="1"/>
  <c r="BU31" i="2" s="1"/>
  <c r="AG12" i="2" l="1"/>
  <c r="AG17" i="2"/>
  <c r="AG20" i="2"/>
  <c r="AG24" i="2"/>
  <c r="AG28" i="2"/>
  <c r="AG16" i="2"/>
  <c r="AG21" i="2"/>
  <c r="AG25" i="2"/>
  <c r="AG29" i="2"/>
  <c r="F23" i="2"/>
  <c r="G24" i="2" s="1"/>
  <c r="F21" i="2"/>
  <c r="G22" i="2" s="1"/>
  <c r="AG13" i="2"/>
  <c r="AG18" i="2"/>
  <c r="AG22" i="2"/>
  <c r="AG26" i="2"/>
  <c r="AG30" i="2"/>
  <c r="AG11" i="2"/>
  <c r="AG15" i="2"/>
  <c r="AG19" i="2"/>
  <c r="AG23" i="2"/>
  <c r="AG27" i="2"/>
  <c r="AG31" i="2"/>
  <c r="CG18" i="2"/>
  <c r="CP18" i="2"/>
  <c r="CG23" i="2"/>
  <c r="CP23" i="2"/>
  <c r="CG25" i="2"/>
  <c r="CP25" i="2"/>
  <c r="CG29" i="2"/>
  <c r="CH30" i="2" s="1"/>
  <c r="CP29" i="2"/>
  <c r="CG20" i="2"/>
  <c r="CP20" i="2"/>
  <c r="CG24" i="2"/>
  <c r="CP24" i="2"/>
  <c r="CG26" i="2"/>
  <c r="CP26" i="2"/>
  <c r="CG21" i="2"/>
  <c r="CP21" i="2"/>
  <c r="CG27" i="2"/>
  <c r="CH27" i="2" s="1"/>
  <c r="CP27" i="2"/>
  <c r="CG17" i="2"/>
  <c r="CP17" i="2"/>
  <c r="CG22" i="2"/>
  <c r="CP22" i="2"/>
  <c r="CG19" i="2"/>
  <c r="CP19" i="2"/>
  <c r="CG28" i="2"/>
  <c r="CP28" i="2"/>
  <c r="F14" i="2"/>
  <c r="F24" i="2"/>
  <c r="AW65" i="2"/>
  <c r="AW69" i="2" s="1"/>
  <c r="AU69" i="2"/>
  <c r="BV22" i="2"/>
  <c r="BV26" i="2"/>
  <c r="BV20" i="2"/>
  <c r="BV18" i="2"/>
  <c r="BV15" i="2"/>
  <c r="BV19" i="2"/>
  <c r="BV23" i="2"/>
  <c r="BV27" i="2"/>
  <c r="BV14" i="2"/>
  <c r="BV16" i="2"/>
  <c r="BV24" i="2"/>
  <c r="BV28" i="2"/>
  <c r="BV13" i="2"/>
  <c r="BV17" i="2"/>
  <c r="BV21" i="2"/>
  <c r="BV25" i="2"/>
  <c r="BV29" i="2"/>
  <c r="BZ29" i="2"/>
  <c r="CA30" i="2" s="1"/>
  <c r="BZ22" i="2"/>
  <c r="BZ26" i="2"/>
  <c r="BZ17" i="2"/>
  <c r="BZ21" i="2"/>
  <c r="BZ18" i="2"/>
  <c r="BZ15" i="2"/>
  <c r="BZ19" i="2"/>
  <c r="BZ23" i="2"/>
  <c r="BZ13" i="2"/>
  <c r="BZ25" i="2"/>
  <c r="BZ14" i="2"/>
  <c r="BZ16" i="2"/>
  <c r="BZ20" i="2"/>
  <c r="BZ24" i="2"/>
  <c r="BZ28" i="2"/>
  <c r="CA31" i="2"/>
  <c r="CH31" i="2"/>
  <c r="BZ27" i="2"/>
  <c r="CA23" i="2" l="1"/>
  <c r="F22" i="2"/>
  <c r="E26" i="2" s="1"/>
  <c r="F26" i="2" s="1"/>
  <c r="AB9" i="2"/>
  <c r="CA25" i="2"/>
  <c r="CA16" i="2"/>
  <c r="CA24" i="2"/>
  <c r="CA18" i="2"/>
  <c r="CH15" i="2"/>
  <c r="CH17" i="2"/>
  <c r="CA22" i="2"/>
  <c r="CS48" i="2"/>
  <c r="CA21" i="2"/>
  <c r="CA19" i="2"/>
  <c r="CH14" i="2"/>
  <c r="CH20" i="2"/>
  <c r="CH26" i="2"/>
  <c r="CH22" i="2"/>
  <c r="CH28" i="2"/>
  <c r="CA15" i="2"/>
  <c r="CA26" i="2"/>
  <c r="CA27" i="2"/>
  <c r="CH18" i="2"/>
  <c r="CA20" i="2"/>
  <c r="CA14" i="2"/>
  <c r="CA29" i="2"/>
  <c r="CH19" i="2"/>
  <c r="CH23" i="2"/>
  <c r="CA17" i="2"/>
  <c r="CH21" i="2"/>
  <c r="CH25" i="2"/>
  <c r="CH24" i="2"/>
  <c r="CH16" i="2"/>
  <c r="CH29" i="2"/>
  <c r="CA28" i="2"/>
  <c r="AB43" i="2" l="1"/>
  <c r="CH36" i="2"/>
  <c r="CA36" i="2"/>
  <c r="BR10" i="2"/>
  <c r="BT10" i="2" s="1"/>
  <c r="CS49" i="2" l="1"/>
  <c r="CS50" i="2" l="1"/>
  <c r="BR11" i="2" l="1"/>
  <c r="BN10" i="2"/>
  <c r="BK10" i="2"/>
  <c r="BL10" i="2" s="1"/>
  <c r="AZ10" i="2"/>
  <c r="AZ11" i="2" s="1"/>
  <c r="BA11" i="2" s="1"/>
  <c r="AX10" i="2"/>
  <c r="AO10" i="2"/>
  <c r="H10" i="2"/>
  <c r="H11" i="2" s="1"/>
  <c r="BL9" i="2"/>
  <c r="BD9" i="2"/>
  <c r="BA9" i="2"/>
  <c r="AS9" i="2"/>
  <c r="AP9" i="2"/>
  <c r="I9" i="2"/>
  <c r="BR12" i="2" l="1"/>
  <c r="BT11" i="2"/>
  <c r="BN11" i="2"/>
  <c r="BP10" i="2"/>
  <c r="I10" i="2"/>
  <c r="L10" i="2"/>
  <c r="AB10" i="2" s="1"/>
  <c r="BA10" i="2"/>
  <c r="BD10" i="2"/>
  <c r="BF10" i="2" s="1"/>
  <c r="BH10" i="2" s="1"/>
  <c r="AP10" i="2"/>
  <c r="AS10" i="2"/>
  <c r="AO11" i="2"/>
  <c r="I11" i="2"/>
  <c r="H12" i="2"/>
  <c r="AZ12" i="2"/>
  <c r="BD11" i="2"/>
  <c r="L11" i="2"/>
  <c r="AB11" i="2" s="1"/>
  <c r="BK11" i="2"/>
  <c r="M10" i="2" l="1"/>
  <c r="AC10" i="2"/>
  <c r="BR13" i="2"/>
  <c r="BT12" i="2"/>
  <c r="BN12" i="2"/>
  <c r="BP11" i="2"/>
  <c r="BE10" i="2"/>
  <c r="AZ13" i="2"/>
  <c r="BD12" i="2"/>
  <c r="BA12" i="2"/>
  <c r="AS11" i="2"/>
  <c r="AT11" i="2" s="1"/>
  <c r="AP11" i="2"/>
  <c r="AO12" i="2"/>
  <c r="M11" i="2"/>
  <c r="BL11" i="2"/>
  <c r="BK12" i="2"/>
  <c r="BF11" i="2"/>
  <c r="BH11" i="2" s="1"/>
  <c r="BE11" i="2"/>
  <c r="I12" i="2"/>
  <c r="H13" i="2"/>
  <c r="L12" i="2"/>
  <c r="AT10" i="2"/>
  <c r="AU10" i="2"/>
  <c r="AW10" i="2" s="1"/>
  <c r="N11" i="2" l="1"/>
  <c r="AC11" i="2"/>
  <c r="BR14" i="2"/>
  <c r="BT13" i="2"/>
  <c r="BN13" i="2"/>
  <c r="BP12" i="2"/>
  <c r="BL12" i="2"/>
  <c r="BK13" i="2"/>
  <c r="AX11" i="2"/>
  <c r="AU11" i="2" s="1"/>
  <c r="AW11" i="2" s="1"/>
  <c r="AP12" i="2"/>
  <c r="AS12" i="2"/>
  <c r="AT12" i="2" s="1"/>
  <c r="AO13" i="2"/>
  <c r="BF12" i="2"/>
  <c r="BH12" i="2" s="1"/>
  <c r="BE12" i="2"/>
  <c r="I13" i="2"/>
  <c r="H14" i="2"/>
  <c r="L13" i="2"/>
  <c r="AB12" i="2"/>
  <c r="M12" i="2"/>
  <c r="AZ14" i="2"/>
  <c r="BD13" i="2"/>
  <c r="BA13" i="2"/>
  <c r="N12" i="2" l="1"/>
  <c r="AC12" i="2"/>
  <c r="BR15" i="2"/>
  <c r="BT14" i="2"/>
  <c r="BN14" i="2"/>
  <c r="BP13" i="2"/>
  <c r="AX12" i="2"/>
  <c r="AU12" i="2" s="1"/>
  <c r="AW12" i="2" s="1"/>
  <c r="I14" i="2"/>
  <c r="H15" i="2"/>
  <c r="L14" i="2"/>
  <c r="AP13" i="2"/>
  <c r="AS13" i="2"/>
  <c r="AT13" i="2" s="1"/>
  <c r="AO14" i="2"/>
  <c r="BF13" i="2"/>
  <c r="BH13" i="2" s="1"/>
  <c r="BE13" i="2"/>
  <c r="AZ15" i="2"/>
  <c r="BD14" i="2"/>
  <c r="BA14" i="2"/>
  <c r="BK14" i="2"/>
  <c r="BL13" i="2"/>
  <c r="AB13" i="2"/>
  <c r="M13" i="2"/>
  <c r="N13" i="2" l="1"/>
  <c r="AC13" i="2"/>
  <c r="BR16" i="2"/>
  <c r="BT15" i="2"/>
  <c r="BN15" i="2"/>
  <c r="BP14" i="2"/>
  <c r="AX13" i="2"/>
  <c r="AU13" i="2" s="1"/>
  <c r="AW13" i="2" s="1"/>
  <c r="AZ16" i="2"/>
  <c r="BD15" i="2"/>
  <c r="BA15" i="2"/>
  <c r="BK15" i="2"/>
  <c r="BL14" i="2"/>
  <c r="AB14" i="2"/>
  <c r="M14" i="2"/>
  <c r="BF14" i="2"/>
  <c r="BH14" i="2" s="1"/>
  <c r="BE14" i="2"/>
  <c r="AP14" i="2"/>
  <c r="AS14" i="2"/>
  <c r="AT14" i="2" s="1"/>
  <c r="AO15" i="2"/>
  <c r="I15" i="2"/>
  <c r="H16" i="2"/>
  <c r="L15" i="2"/>
  <c r="N14" i="2" l="1"/>
  <c r="AC14" i="2"/>
  <c r="BR17" i="2"/>
  <c r="BT16" i="2"/>
  <c r="BN16" i="2"/>
  <c r="BP15" i="2"/>
  <c r="M15" i="2"/>
  <c r="AB15" i="2"/>
  <c r="AZ17" i="2"/>
  <c r="BD16" i="2"/>
  <c r="BA16" i="2"/>
  <c r="I16" i="2"/>
  <c r="H17" i="2"/>
  <c r="L16" i="2"/>
  <c r="AX14" i="2"/>
  <c r="AU14" i="2" s="1"/>
  <c r="AW14" i="2" s="1"/>
  <c r="BK16" i="2"/>
  <c r="BL15" i="2"/>
  <c r="AS15" i="2"/>
  <c r="AT15" i="2" s="1"/>
  <c r="AP15" i="2"/>
  <c r="AO16" i="2"/>
  <c r="BF15" i="2"/>
  <c r="BH15" i="2" s="1"/>
  <c r="BE15" i="2"/>
  <c r="N15" i="2" l="1"/>
  <c r="AC15" i="2"/>
  <c r="BR18" i="2"/>
  <c r="BT17" i="2"/>
  <c r="BN17" i="2"/>
  <c r="BP16" i="2"/>
  <c r="M16" i="2"/>
  <c r="AB16" i="2"/>
  <c r="I17" i="2"/>
  <c r="H18" i="2"/>
  <c r="L17" i="2"/>
  <c r="BF16" i="2"/>
  <c r="BH16" i="2" s="1"/>
  <c r="BE16" i="2"/>
  <c r="AX15" i="2"/>
  <c r="AU15" i="2" s="1"/>
  <c r="AW15" i="2" s="1"/>
  <c r="AZ18" i="2"/>
  <c r="BA17" i="2"/>
  <c r="BD17" i="2"/>
  <c r="AO17" i="2"/>
  <c r="AS16" i="2"/>
  <c r="AT16" i="2" s="1"/>
  <c r="AP16" i="2"/>
  <c r="BK17" i="2"/>
  <c r="BL16" i="2"/>
  <c r="N16" i="2" l="1"/>
  <c r="AC16" i="2"/>
  <c r="BR19" i="2"/>
  <c r="BT18" i="2"/>
  <c r="BP17" i="2"/>
  <c r="BN18" i="2"/>
  <c r="AX16" i="2"/>
  <c r="AU16" i="2" s="1"/>
  <c r="AW16" i="2" s="1"/>
  <c r="I18" i="2"/>
  <c r="H19" i="2"/>
  <c r="L18" i="2"/>
  <c r="AO18" i="2"/>
  <c r="AS17" i="2"/>
  <c r="AT17" i="2" s="1"/>
  <c r="AP17" i="2"/>
  <c r="AZ19" i="2"/>
  <c r="BD18" i="2"/>
  <c r="BA18" i="2"/>
  <c r="BL17" i="2"/>
  <c r="BK18" i="2"/>
  <c r="BF17" i="2"/>
  <c r="BH17" i="2" s="1"/>
  <c r="BE17" i="2"/>
  <c r="M17" i="2"/>
  <c r="AB17" i="2"/>
  <c r="N17" i="2" l="1"/>
  <c r="Z17" i="2" s="1"/>
  <c r="CM14" i="2"/>
  <c r="CK15" i="2"/>
  <c r="AC17" i="2"/>
  <c r="BR20" i="2"/>
  <c r="BT19" i="2"/>
  <c r="BP18" i="2"/>
  <c r="BN19" i="2"/>
  <c r="BK19" i="2"/>
  <c r="BL18" i="2"/>
  <c r="BD19" i="2"/>
  <c r="BA19" i="2"/>
  <c r="AZ20" i="2"/>
  <c r="AX17" i="2"/>
  <c r="AU17" i="2" s="1"/>
  <c r="AW17" i="2" s="1"/>
  <c r="AB18" i="2"/>
  <c r="M18" i="2"/>
  <c r="L19" i="2"/>
  <c r="I19" i="2"/>
  <c r="H20" i="2"/>
  <c r="BF18" i="2"/>
  <c r="BH18" i="2" s="1"/>
  <c r="BE18" i="2"/>
  <c r="AO19" i="2"/>
  <c r="AP18" i="2"/>
  <c r="AS18" i="2"/>
  <c r="AT18" i="2" s="1"/>
  <c r="AH17" i="2" l="1"/>
  <c r="N18" i="2"/>
  <c r="Z18" i="2" s="1"/>
  <c r="CL15" i="2"/>
  <c r="CK16" i="2"/>
  <c r="AC18" i="2"/>
  <c r="BR21" i="2"/>
  <c r="BT20" i="2"/>
  <c r="BP19" i="2"/>
  <c r="BN20" i="2"/>
  <c r="AP19" i="2"/>
  <c r="AO20" i="2"/>
  <c r="AS19" i="2"/>
  <c r="AT19" i="2" s="1"/>
  <c r="M19" i="2"/>
  <c r="AB19" i="2"/>
  <c r="AX18" i="2"/>
  <c r="AU18" i="2" s="1"/>
  <c r="AW18" i="2" s="1"/>
  <c r="BF19" i="2"/>
  <c r="BH19" i="2" s="1"/>
  <c r="BE19" i="2"/>
  <c r="L20" i="2"/>
  <c r="I20" i="2"/>
  <c r="H21" i="2"/>
  <c r="BD20" i="2"/>
  <c r="BA20" i="2"/>
  <c r="AZ21" i="2"/>
  <c r="BK20" i="2"/>
  <c r="BL19" i="2"/>
  <c r="AA18" i="2" l="1"/>
  <c r="N19" i="2"/>
  <c r="Z19" i="2" s="1"/>
  <c r="CL16" i="2"/>
  <c r="CM16" i="2" s="1"/>
  <c r="CM15" i="2"/>
  <c r="AC19" i="2"/>
  <c r="BR22" i="2"/>
  <c r="BT21" i="2"/>
  <c r="BP20" i="2"/>
  <c r="BN21" i="2"/>
  <c r="AX19" i="2"/>
  <c r="AU19" i="2" s="1"/>
  <c r="AW19" i="2" s="1"/>
  <c r="M20" i="2"/>
  <c r="AB20" i="2"/>
  <c r="BF20" i="2"/>
  <c r="BH20" i="2" s="1"/>
  <c r="BE20" i="2"/>
  <c r="AP20" i="2"/>
  <c r="AO21" i="2"/>
  <c r="AS20" i="2"/>
  <c r="AT20" i="2" s="1"/>
  <c r="BK21" i="2"/>
  <c r="BL20" i="2"/>
  <c r="L21" i="2"/>
  <c r="I21" i="2"/>
  <c r="H22" i="2"/>
  <c r="BD21" i="2"/>
  <c r="BA21" i="2"/>
  <c r="AZ22" i="2"/>
  <c r="AH18" i="2" l="1"/>
  <c r="AI18" i="2" s="1"/>
  <c r="AM18" i="2" s="1"/>
  <c r="AA19" i="2"/>
  <c r="N20" i="2"/>
  <c r="Z20" i="2" s="1"/>
  <c r="AC20" i="2"/>
  <c r="BR23" i="2"/>
  <c r="BT22" i="2"/>
  <c r="BP21" i="2"/>
  <c r="BN22" i="2"/>
  <c r="BF21" i="2"/>
  <c r="BH21" i="2" s="1"/>
  <c r="BE21" i="2"/>
  <c r="L22" i="2"/>
  <c r="I22" i="2"/>
  <c r="H23" i="2"/>
  <c r="BK22" i="2"/>
  <c r="BL21" i="2"/>
  <c r="BD22" i="2"/>
  <c r="BA22" i="2"/>
  <c r="AZ23" i="2"/>
  <c r="AX20" i="2"/>
  <c r="AU20" i="2" s="1"/>
  <c r="AW20" i="2" s="1"/>
  <c r="M21" i="2"/>
  <c r="AB21" i="2"/>
  <c r="AP21" i="2"/>
  <c r="AO22" i="2"/>
  <c r="AS21" i="2"/>
  <c r="AT21" i="2" s="1"/>
  <c r="CN18" i="2" l="1"/>
  <c r="CS18" i="2" s="1"/>
  <c r="AK18" i="2"/>
  <c r="AL18" i="2"/>
  <c r="AH19" i="2"/>
  <c r="AA20" i="2"/>
  <c r="N21" i="2"/>
  <c r="Z21" i="2" s="1"/>
  <c r="AC21" i="2"/>
  <c r="BR24" i="2"/>
  <c r="BT23" i="2"/>
  <c r="BP22" i="2"/>
  <c r="BN23" i="2"/>
  <c r="BF22" i="2"/>
  <c r="BH22" i="2" s="1"/>
  <c r="BE22" i="2"/>
  <c r="M22" i="2"/>
  <c r="AB22" i="2"/>
  <c r="AC22" i="2" s="1"/>
  <c r="BD23" i="2"/>
  <c r="BA23" i="2"/>
  <c r="AZ24" i="2"/>
  <c r="BK23" i="2"/>
  <c r="BL22" i="2"/>
  <c r="AX21" i="2"/>
  <c r="AU21" i="2" s="1"/>
  <c r="AW21" i="2" s="1"/>
  <c r="AP22" i="2"/>
  <c r="AO23" i="2"/>
  <c r="AS22" i="2"/>
  <c r="AT22" i="2" s="1"/>
  <c r="L23" i="2"/>
  <c r="I23" i="2"/>
  <c r="H24" i="2"/>
  <c r="AA21" i="2" l="1"/>
  <c r="AH20" i="2"/>
  <c r="AI19" i="2"/>
  <c r="AM19" i="2" s="1"/>
  <c r="N22" i="2"/>
  <c r="Z22" i="2" s="1"/>
  <c r="BR25" i="2"/>
  <c r="BT24" i="2"/>
  <c r="BP23" i="2"/>
  <c r="BN24" i="2"/>
  <c r="AX22" i="2"/>
  <c r="AU22" i="2" s="1"/>
  <c r="AW22" i="2" s="1"/>
  <c r="L24" i="2"/>
  <c r="I24" i="2"/>
  <c r="H25" i="2"/>
  <c r="M23" i="2"/>
  <c r="AB23" i="2"/>
  <c r="BK24" i="2"/>
  <c r="BL23" i="2"/>
  <c r="AP23" i="2"/>
  <c r="AO24" i="2"/>
  <c r="AS23" i="2"/>
  <c r="AT23" i="2" s="1"/>
  <c r="BF23" i="2"/>
  <c r="BH23" i="2" s="1"/>
  <c r="BE23" i="2"/>
  <c r="BD24" i="2"/>
  <c r="BA24" i="2"/>
  <c r="AZ25" i="2"/>
  <c r="AI20" i="2" l="1"/>
  <c r="AM20" i="2" s="1"/>
  <c r="AA22" i="2"/>
  <c r="AJ19" i="2"/>
  <c r="AK19" i="2"/>
  <c r="CN19" i="2"/>
  <c r="AL19" i="2"/>
  <c r="AH21" i="2"/>
  <c r="N23" i="2"/>
  <c r="Z23" i="2" s="1"/>
  <c r="AC23" i="2"/>
  <c r="BR26" i="2"/>
  <c r="BT25" i="2"/>
  <c r="BP24" i="2"/>
  <c r="BN25" i="2"/>
  <c r="AX23" i="2"/>
  <c r="AU23" i="2" s="1"/>
  <c r="AW23" i="2" s="1"/>
  <c r="M24" i="2"/>
  <c r="AB24" i="2"/>
  <c r="BK25" i="2"/>
  <c r="BL24" i="2"/>
  <c r="BF24" i="2"/>
  <c r="BH24" i="2" s="1"/>
  <c r="BE24" i="2"/>
  <c r="AP24" i="2"/>
  <c r="AO25" i="2"/>
  <c r="AS24" i="2"/>
  <c r="AT24" i="2" s="1"/>
  <c r="L25" i="2"/>
  <c r="I25" i="2"/>
  <c r="H26" i="2"/>
  <c r="BD25" i="2"/>
  <c r="BA25" i="2"/>
  <c r="AZ26" i="2"/>
  <c r="CO19" i="2" l="1"/>
  <c r="CS19" i="2"/>
  <c r="AH22" i="2"/>
  <c r="AA23" i="2"/>
  <c r="AI21" i="2"/>
  <c r="AJ20" i="2"/>
  <c r="AK20" i="2"/>
  <c r="CN20" i="2"/>
  <c r="AL20" i="2"/>
  <c r="N24" i="2"/>
  <c r="Z24" i="2" s="1"/>
  <c r="AC24" i="2"/>
  <c r="BR27" i="2"/>
  <c r="BT26" i="2"/>
  <c r="BP25" i="2"/>
  <c r="BN26" i="2"/>
  <c r="AP25" i="2"/>
  <c r="AO26" i="2"/>
  <c r="AS25" i="2"/>
  <c r="AT25" i="2" s="1"/>
  <c r="BD26" i="2"/>
  <c r="BA26" i="2"/>
  <c r="AZ27" i="2"/>
  <c r="BK26" i="2"/>
  <c r="BL25" i="2"/>
  <c r="AX24" i="2"/>
  <c r="AU24" i="2" s="1"/>
  <c r="AW24" i="2" s="1"/>
  <c r="BF25" i="2"/>
  <c r="BH25" i="2" s="1"/>
  <c r="BE25" i="2"/>
  <c r="L26" i="2"/>
  <c r="I26" i="2"/>
  <c r="H27" i="2"/>
  <c r="M25" i="2"/>
  <c r="AB25" i="2"/>
  <c r="CO20" i="2" l="1"/>
  <c r="CS20" i="2"/>
  <c r="AA24" i="2"/>
  <c r="AH23" i="2"/>
  <c r="CN21" i="2"/>
  <c r="AL21" i="2"/>
  <c r="AJ21" i="2"/>
  <c r="AK21" i="2"/>
  <c r="AM21" i="2"/>
  <c r="AI22" i="2"/>
  <c r="AM22" i="2" s="1"/>
  <c r="N25" i="2"/>
  <c r="Z25" i="2" s="1"/>
  <c r="AC25" i="2"/>
  <c r="BR28" i="2"/>
  <c r="BT27" i="2"/>
  <c r="BP26" i="2"/>
  <c r="BN27" i="2"/>
  <c r="AX25" i="2"/>
  <c r="AU25" i="2" s="1"/>
  <c r="AW25" i="2" s="1"/>
  <c r="AP26" i="2"/>
  <c r="AO27" i="2"/>
  <c r="AS26" i="2"/>
  <c r="AT26" i="2" s="1"/>
  <c r="BF26" i="2"/>
  <c r="BH26" i="2" s="1"/>
  <c r="BE26" i="2"/>
  <c r="M26" i="2"/>
  <c r="AB26" i="2"/>
  <c r="BD27" i="2"/>
  <c r="BA27" i="2"/>
  <c r="AZ28" i="2"/>
  <c r="L27" i="2"/>
  <c r="I27" i="2"/>
  <c r="H28" i="2"/>
  <c r="BK27" i="2"/>
  <c r="BL26" i="2"/>
  <c r="CO21" i="2" l="1"/>
  <c r="CS21" i="2"/>
  <c r="AA25" i="2"/>
  <c r="AI23" i="2"/>
  <c r="AM23" i="2" s="1"/>
  <c r="CN22" i="2"/>
  <c r="AL22" i="2"/>
  <c r="AK22" i="2"/>
  <c r="AJ22" i="2"/>
  <c r="AH24" i="2"/>
  <c r="N26" i="2"/>
  <c r="Z26" i="2" s="1"/>
  <c r="AC26" i="2"/>
  <c r="BR29" i="2"/>
  <c r="BT28" i="2"/>
  <c r="BP27" i="2"/>
  <c r="BN28" i="2"/>
  <c r="M27" i="2"/>
  <c r="AB27" i="2"/>
  <c r="AX26" i="2"/>
  <c r="AU26" i="2" s="1"/>
  <c r="AW26" i="2" s="1"/>
  <c r="L28" i="2"/>
  <c r="I28" i="2"/>
  <c r="H29" i="2"/>
  <c r="BF27" i="2"/>
  <c r="BH27" i="2" s="1"/>
  <c r="BE27" i="2"/>
  <c r="BK28" i="2"/>
  <c r="BL27" i="2"/>
  <c r="BD28" i="2"/>
  <c r="BA28" i="2"/>
  <c r="AZ29" i="2"/>
  <c r="AP27" i="2"/>
  <c r="AO28" i="2"/>
  <c r="AS27" i="2"/>
  <c r="AT27" i="2" s="1"/>
  <c r="CO22" i="2" l="1"/>
  <c r="CS22" i="2"/>
  <c r="AK23" i="2"/>
  <c r="AJ23" i="2"/>
  <c r="AL23" i="2"/>
  <c r="CN23" i="2"/>
  <c r="AA26" i="2"/>
  <c r="AI24" i="2"/>
  <c r="AM24" i="2" s="1"/>
  <c r="AH25" i="2"/>
  <c r="N27" i="2"/>
  <c r="Z27" i="2" s="1"/>
  <c r="AC27" i="2"/>
  <c r="BR30" i="2"/>
  <c r="BT29" i="2"/>
  <c r="BP28" i="2"/>
  <c r="BN29" i="2"/>
  <c r="L29" i="2"/>
  <c r="AB29" i="2" s="1"/>
  <c r="I29" i="2"/>
  <c r="H30" i="2"/>
  <c r="H31" i="2" s="1"/>
  <c r="I31" i="2" s="1"/>
  <c r="BD29" i="2"/>
  <c r="BA29" i="2"/>
  <c r="AZ30" i="2"/>
  <c r="M28" i="2"/>
  <c r="AB28" i="2"/>
  <c r="AX27" i="2"/>
  <c r="AU27" i="2" s="1"/>
  <c r="AW27" i="2" s="1"/>
  <c r="BK29" i="2"/>
  <c r="BL28" i="2"/>
  <c r="AP28" i="2"/>
  <c r="AO29" i="2"/>
  <c r="AS28" i="2"/>
  <c r="AT28" i="2" s="1"/>
  <c r="BF28" i="2"/>
  <c r="BH28" i="2" s="1"/>
  <c r="BE28" i="2"/>
  <c r="CO23" i="2" l="1"/>
  <c r="CS23" i="2"/>
  <c r="CN24" i="2"/>
  <c r="AL24" i="2"/>
  <c r="AJ24" i="2"/>
  <c r="AK24" i="2"/>
  <c r="AA27" i="2"/>
  <c r="AI25" i="2"/>
  <c r="AM25" i="2" s="1"/>
  <c r="AH26" i="2"/>
  <c r="N29" i="2"/>
  <c r="Z29" i="2" s="1"/>
  <c r="N28" i="2"/>
  <c r="Z28" i="2" s="1"/>
  <c r="AC28" i="2"/>
  <c r="BR31" i="2"/>
  <c r="BT30" i="2"/>
  <c r="BP29" i="2"/>
  <c r="BN30" i="2"/>
  <c r="L30" i="2"/>
  <c r="AB30" i="2" s="1"/>
  <c r="I30" i="2"/>
  <c r="AX28" i="2"/>
  <c r="AU28" i="2" s="1"/>
  <c r="AW28" i="2" s="1"/>
  <c r="BD30" i="2"/>
  <c r="BA30" i="2"/>
  <c r="AZ31" i="2"/>
  <c r="BK30" i="2"/>
  <c r="BL29" i="2"/>
  <c r="BF29" i="2"/>
  <c r="BE29" i="2"/>
  <c r="AP29" i="2"/>
  <c r="AO30" i="2"/>
  <c r="AS29" i="2"/>
  <c r="AT29" i="2" s="1"/>
  <c r="M29" i="2"/>
  <c r="CO24" i="2" l="1"/>
  <c r="CS24" i="2"/>
  <c r="AA28" i="2"/>
  <c r="CN25" i="2"/>
  <c r="AK25" i="2"/>
  <c r="AJ25" i="2"/>
  <c r="AL25" i="2"/>
  <c r="AI26" i="2"/>
  <c r="AM26" i="2" s="1"/>
  <c r="AH27" i="2"/>
  <c r="N30" i="2"/>
  <c r="Z30" i="2" s="1"/>
  <c r="BH29" i="2"/>
  <c r="AC29" i="2"/>
  <c r="BT31" i="2"/>
  <c r="BP30" i="2"/>
  <c r="BN31" i="2"/>
  <c r="AX29" i="2"/>
  <c r="AU29" i="2" s="1"/>
  <c r="BK31" i="2"/>
  <c r="BL30" i="2"/>
  <c r="AP30" i="2"/>
  <c r="AO31" i="2"/>
  <c r="AS30" i="2"/>
  <c r="AT30" i="2" s="1"/>
  <c r="BF30" i="2"/>
  <c r="BH30" i="2" s="1"/>
  <c r="BE30" i="2"/>
  <c r="L31" i="2"/>
  <c r="BD31" i="2"/>
  <c r="BA31" i="2"/>
  <c r="M30" i="2"/>
  <c r="CO25" i="2" l="1"/>
  <c r="CS25" i="2"/>
  <c r="AB33" i="2"/>
  <c r="AB32" i="2"/>
  <c r="AH30" i="2"/>
  <c r="AI30" i="2" s="1"/>
  <c r="AA29" i="2"/>
  <c r="AI27" i="2"/>
  <c r="AM27" i="2" s="1"/>
  <c r="AH29" i="2"/>
  <c r="AK26" i="2"/>
  <c r="AJ26" i="2"/>
  <c r="CN26" i="2"/>
  <c r="AL26" i="2"/>
  <c r="AH28" i="2"/>
  <c r="M32" i="2"/>
  <c r="AB31" i="2"/>
  <c r="AC30" i="2"/>
  <c r="AW29" i="2"/>
  <c r="BT37" i="2"/>
  <c r="BP31" i="2"/>
  <c r="BP37" i="2" s="1"/>
  <c r="BQ37" i="2"/>
  <c r="BL31" i="2"/>
  <c r="BF31" i="2"/>
  <c r="BE31" i="2"/>
  <c r="AX30" i="2"/>
  <c r="AU30" i="2" s="1"/>
  <c r="AW30" i="2" s="1"/>
  <c r="M31" i="2"/>
  <c r="AP31" i="2"/>
  <c r="AS31" i="2"/>
  <c r="AT31" i="2" s="1"/>
  <c r="N33" i="2" l="1"/>
  <c r="Z33" i="2" s="1"/>
  <c r="CO26" i="2"/>
  <c r="CS26" i="2"/>
  <c r="AC33" i="2"/>
  <c r="AI28" i="2"/>
  <c r="AM28" i="2" s="1"/>
  <c r="AI29" i="2"/>
  <c r="AM29" i="2" s="1"/>
  <c r="AA30" i="2"/>
  <c r="CN27" i="2"/>
  <c r="AK27" i="2"/>
  <c r="AJ27" i="2"/>
  <c r="AL27" i="2"/>
  <c r="AC31" i="2"/>
  <c r="N32" i="2"/>
  <c r="Z32" i="2" s="1"/>
  <c r="N31" i="2"/>
  <c r="Z31" i="2" s="1"/>
  <c r="AH31" i="2" s="1"/>
  <c r="AC32" i="2"/>
  <c r="CN30" i="2"/>
  <c r="CS30" i="2" s="1"/>
  <c r="AM30" i="2"/>
  <c r="AL30" i="2"/>
  <c r="AK30" i="2"/>
  <c r="BI37" i="2"/>
  <c r="BH31" i="2"/>
  <c r="BH37" i="2" s="1"/>
  <c r="AO37" i="2"/>
  <c r="AX31" i="2"/>
  <c r="AU31" i="2" s="1"/>
  <c r="CO27" i="2" l="1"/>
  <c r="CS27" i="2"/>
  <c r="AC36" i="2"/>
  <c r="AA33" i="2"/>
  <c r="AH33" i="2"/>
  <c r="AI33" i="2" s="1"/>
  <c r="CN33" i="2" s="1"/>
  <c r="AJ30" i="2"/>
  <c r="AA31" i="2"/>
  <c r="CN29" i="2"/>
  <c r="AL29" i="2"/>
  <c r="AJ29" i="2"/>
  <c r="AK29" i="2"/>
  <c r="AJ28" i="2"/>
  <c r="AL28" i="2"/>
  <c r="CN28" i="2"/>
  <c r="AK28" i="2"/>
  <c r="AN37" i="2"/>
  <c r="AW31" i="2"/>
  <c r="AW37" i="2" s="1"/>
  <c r="AX37" i="2"/>
  <c r="CO29" i="2" l="1"/>
  <c r="CS29" i="2"/>
  <c r="CO28" i="2"/>
  <c r="CS28" i="2"/>
  <c r="CO30" i="2"/>
  <c r="AL33" i="2"/>
  <c r="AM33" i="2"/>
  <c r="AK33" i="2"/>
  <c r="AA32" i="2"/>
  <c r="AA36" i="2" s="1"/>
  <c r="AH32" i="2"/>
  <c r="AI32" i="2" s="1"/>
  <c r="CN32" i="2" l="1"/>
  <c r="AJ33" i="2"/>
  <c r="AL32" i="2"/>
  <c r="AM32" i="2"/>
  <c r="AK32" i="2"/>
  <c r="AI31" i="2"/>
  <c r="CO33" i="2" l="1"/>
  <c r="CN31" i="2"/>
  <c r="CS31" i="2" s="1"/>
  <c r="CS35" i="2" s="1"/>
  <c r="AJ31" i="2"/>
  <c r="AK31" i="2"/>
  <c r="AK36" i="2" s="1"/>
  <c r="AL31" i="2"/>
  <c r="AL36" i="2" s="1"/>
  <c r="AJ32" i="2"/>
  <c r="AM31" i="2"/>
  <c r="AM36" i="2" s="1"/>
  <c r="CO31" i="2" l="1"/>
  <c r="CN36" i="2"/>
  <c r="CN37" i="2" s="1"/>
  <c r="CO32" i="2"/>
  <c r="AI17" i="2"/>
  <c r="AL17" i="2" s="1"/>
  <c r="AM17" i="2" l="1"/>
  <c r="CN17" i="2"/>
  <c r="AJ18" i="2"/>
  <c r="AJ36" i="2" s="1"/>
  <c r="AK17" i="2"/>
  <c r="CO18" i="2" l="1"/>
  <c r="CO36" i="2" s="1"/>
  <c r="CU17" i="2"/>
  <c r="CS17" i="2"/>
  <c r="CR18" i="2"/>
  <c r="CK17" i="2"/>
  <c r="CL17" i="2" s="1"/>
  <c r="CU18" i="2" l="1"/>
  <c r="CR19" i="2"/>
  <c r="CT18" i="2"/>
  <c r="CK18" i="2"/>
  <c r="CL18" i="2" s="1"/>
  <c r="CM17" i="2"/>
  <c r="CU19" i="2" l="1"/>
  <c r="CT19" i="2"/>
  <c r="CR20" i="2"/>
  <c r="CK19" i="2"/>
  <c r="CK20" i="2" s="1"/>
  <c r="CM18" i="2"/>
  <c r="CU20" i="2" l="1"/>
  <c r="CT20" i="2"/>
  <c r="CR21" i="2"/>
  <c r="CL19" i="2"/>
  <c r="CL20" i="2"/>
  <c r="CK21" i="2"/>
  <c r="CR22" i="2" l="1"/>
  <c r="CU21" i="2"/>
  <c r="CT21" i="2"/>
  <c r="CM19" i="2"/>
  <c r="CM20" i="2"/>
  <c r="CK22" i="2"/>
  <c r="CL21" i="2"/>
  <c r="CM21" i="2" s="1"/>
  <c r="CU22" i="2" l="1"/>
  <c r="CT22" i="2"/>
  <c r="CR23" i="2"/>
  <c r="CK23" i="2"/>
  <c r="CL22" i="2"/>
  <c r="CM22" i="2" s="1"/>
  <c r="CU23" i="2" l="1"/>
  <c r="CT23" i="2"/>
  <c r="CR24" i="2"/>
  <c r="CK24" i="2"/>
  <c r="CL23" i="2"/>
  <c r="CM23" i="2" s="1"/>
  <c r="CU24" i="2" l="1"/>
  <c r="CT24" i="2"/>
  <c r="CR25" i="2"/>
  <c r="CK25" i="2"/>
  <c r="CL24" i="2"/>
  <c r="CM24" i="2" s="1"/>
  <c r="CU25" i="2" l="1"/>
  <c r="CT25" i="2"/>
  <c r="CR26" i="2"/>
  <c r="CK26" i="2"/>
  <c r="CL25" i="2"/>
  <c r="CM25" i="2" s="1"/>
  <c r="CU26" i="2" l="1"/>
  <c r="CT26" i="2"/>
  <c r="CR27" i="2"/>
  <c r="CK27" i="2"/>
  <c r="CL26" i="2"/>
  <c r="CM26" i="2" s="1"/>
  <c r="CU27" i="2" l="1"/>
  <c r="CT27" i="2"/>
  <c r="CR28" i="2"/>
  <c r="CK28" i="2"/>
  <c r="CL27" i="2"/>
  <c r="CM27" i="2" s="1"/>
  <c r="CU28" i="2" l="1"/>
  <c r="CT28" i="2"/>
  <c r="CR29" i="2"/>
  <c r="CK29" i="2"/>
  <c r="CL28" i="2"/>
  <c r="CM28" i="2" s="1"/>
  <c r="CU29" i="2" l="1"/>
  <c r="CT29" i="2"/>
  <c r="CR30" i="2"/>
  <c r="CK30" i="2"/>
  <c r="CL29" i="2"/>
  <c r="CM29" i="2" s="1"/>
  <c r="CR31" i="2" l="1"/>
  <c r="CU30" i="2"/>
  <c r="CT30" i="2"/>
  <c r="CK31" i="2"/>
  <c r="CL30" i="2"/>
  <c r="CM30" i="2" s="1"/>
  <c r="CU31" i="2" l="1"/>
  <c r="CT31" i="2"/>
  <c r="CR32" i="2"/>
  <c r="CK32" i="2"/>
  <c r="CL31" i="2"/>
  <c r="CM31" i="2" s="1"/>
  <c r="CU32" i="2" l="1"/>
  <c r="CU35" i="2" s="1"/>
  <c r="CT32" i="2"/>
  <c r="CR33" i="2"/>
  <c r="CL32" i="2"/>
  <c r="CM32" i="2" s="1"/>
  <c r="CK33" i="2"/>
  <c r="CL33" i="2" s="1"/>
  <c r="AG47" i="2"/>
  <c r="AG46" i="2"/>
  <c r="AG45" i="2"/>
  <c r="CU33" i="2" l="1"/>
  <c r="CT33" i="2"/>
  <c r="CT35" i="2" s="1"/>
  <c r="CM33" i="2"/>
  <c r="CM36" i="2" s="1"/>
  <c r="CL36" i="2"/>
  <c r="AB44" i="2"/>
  <c r="AC44" i="2" s="1"/>
  <c r="AB67" i="2"/>
  <c r="AB61" i="2"/>
  <c r="AB53" i="2"/>
  <c r="AB56" i="2"/>
  <c r="AB60" i="2"/>
  <c r="AB55" i="2"/>
  <c r="AB51" i="2"/>
  <c r="AB52" i="2"/>
  <c r="AB48" i="2"/>
  <c r="AB45" i="2"/>
  <c r="AB64" i="2"/>
  <c r="AB63" i="2"/>
  <c r="AB54" i="2"/>
  <c r="AB47" i="2"/>
  <c r="AB58" i="2"/>
  <c r="AB46" i="2"/>
  <c r="AB50" i="2"/>
  <c r="AB66" i="2"/>
  <c r="AB62" i="2"/>
  <c r="AB65" i="2"/>
  <c r="AB57" i="2"/>
  <c r="AB49" i="2"/>
  <c r="AB59" i="2"/>
  <c r="N67" i="2" l="1"/>
  <c r="AC45" i="2"/>
  <c r="AC67" i="2"/>
  <c r="AC52" i="2"/>
  <c r="AC60" i="2"/>
  <c r="N56" i="2"/>
  <c r="Z56" i="2" s="1"/>
  <c r="AH56" i="2" s="1"/>
  <c r="N61" i="2"/>
  <c r="N53" i="2"/>
  <c r="N52" i="2"/>
  <c r="AC48" i="2"/>
  <c r="AC61" i="2"/>
  <c r="AC56" i="2"/>
  <c r="AC53" i="2"/>
  <c r="N51" i="2"/>
  <c r="Z51" i="2" s="1"/>
  <c r="AC51" i="2"/>
  <c r="AC50" i="2"/>
  <c r="AC65" i="2"/>
  <c r="N66" i="2"/>
  <c r="Z66" i="2" s="1"/>
  <c r="AC46" i="2"/>
  <c r="N47" i="2"/>
  <c r="AC62" i="2"/>
  <c r="N63" i="2"/>
  <c r="Z63" i="2" s="1"/>
  <c r="N59" i="2"/>
  <c r="Z59" i="2" s="1"/>
  <c r="AC58" i="2"/>
  <c r="N65" i="2"/>
  <c r="Z65" i="2" s="1"/>
  <c r="AC64" i="2"/>
  <c r="N58" i="2"/>
  <c r="Z58" i="2" s="1"/>
  <c r="AC57" i="2"/>
  <c r="AC54" i="2"/>
  <c r="N55" i="2"/>
  <c r="AC55" i="2"/>
  <c r="N54" i="2"/>
  <c r="Z54" i="2" s="1"/>
  <c r="AC63" i="2"/>
  <c r="N64" i="2"/>
  <c r="Z64" i="2" s="1"/>
  <c r="N60" i="2"/>
  <c r="AC59" i="2"/>
  <c r="AC49" i="2"/>
  <c r="N50" i="2"/>
  <c r="N49" i="2"/>
  <c r="AC66" i="2"/>
  <c r="N48" i="2"/>
  <c r="AC47" i="2"/>
  <c r="N57" i="2"/>
  <c r="Z57" i="2" s="1"/>
  <c r="N62" i="2"/>
  <c r="Z62" i="2" s="1"/>
  <c r="AC69" i="2" l="1"/>
  <c r="Z67" i="2"/>
  <c r="Z60" i="2"/>
  <c r="AA60" i="2" s="1"/>
  <c r="Z52" i="2"/>
  <c r="AH52" i="2" s="1"/>
  <c r="AI52" i="2" s="1"/>
  <c r="Z53" i="2"/>
  <c r="Z55" i="2"/>
  <c r="AA56" i="2" s="1"/>
  <c r="Z61" i="2"/>
  <c r="AH62" i="2"/>
  <c r="AA57" i="2"/>
  <c r="AH57" i="2"/>
  <c r="AH54" i="2"/>
  <c r="AI56" i="2"/>
  <c r="AH63" i="2"/>
  <c r="AA63" i="2"/>
  <c r="AH58" i="2"/>
  <c r="AA58" i="2"/>
  <c r="AA65" i="2"/>
  <c r="AH65" i="2"/>
  <c r="AH59" i="2"/>
  <c r="AA59" i="2"/>
  <c r="AH64" i="2"/>
  <c r="AA64" i="2"/>
  <c r="AA66" i="2"/>
  <c r="AH66" i="2"/>
  <c r="AH51" i="2"/>
  <c r="AH67" i="2" l="1"/>
  <c r="AI67" i="2" s="1"/>
  <c r="AA67" i="2"/>
  <c r="AA61" i="2"/>
  <c r="AA62" i="2"/>
  <c r="AA52" i="2"/>
  <c r="AH60" i="2"/>
  <c r="AI60" i="2" s="1"/>
  <c r="AM60" i="2" s="1"/>
  <c r="AA53" i="2"/>
  <c r="AK67" i="2"/>
  <c r="AH61" i="2"/>
  <c r="AI61" i="2" s="1"/>
  <c r="CN61" i="2" s="1"/>
  <c r="AH55" i="2"/>
  <c r="AI55" i="2" s="1"/>
  <c r="AJ56" i="2" s="1"/>
  <c r="AA55" i="2"/>
  <c r="AH53" i="2"/>
  <c r="AI53" i="2" s="1"/>
  <c r="AL53" i="2" s="1"/>
  <c r="AM52" i="2"/>
  <c r="AL52" i="2"/>
  <c r="AK52" i="2"/>
  <c r="CN52" i="2"/>
  <c r="AA54" i="2"/>
  <c r="AI66" i="2"/>
  <c r="AM66" i="2" s="1"/>
  <c r="AI65" i="2"/>
  <c r="AM65" i="2" s="1"/>
  <c r="AL56" i="2"/>
  <c r="AK56" i="2"/>
  <c r="CN56" i="2"/>
  <c r="AI64" i="2"/>
  <c r="AM64" i="2" s="1"/>
  <c r="AI57" i="2"/>
  <c r="AM56" i="2"/>
  <c r="AI51" i="2"/>
  <c r="AI59" i="2"/>
  <c r="AM59" i="2" s="1"/>
  <c r="AI58" i="2"/>
  <c r="AM58" i="2" s="1"/>
  <c r="AI63" i="2"/>
  <c r="AM63" i="2" s="1"/>
  <c r="AI54" i="2"/>
  <c r="AI62" i="2"/>
  <c r="AM62" i="2" s="1"/>
  <c r="AL67" i="2" l="1"/>
  <c r="CN67" i="2"/>
  <c r="AM67" i="2"/>
  <c r="AM61" i="2"/>
  <c r="AL61" i="2"/>
  <c r="AK61" i="2"/>
  <c r="CS61" i="2"/>
  <c r="CS56" i="2"/>
  <c r="CS52" i="2"/>
  <c r="AA69" i="2"/>
  <c r="AJ67" i="2"/>
  <c r="AK53" i="2"/>
  <c r="AJ53" i="2"/>
  <c r="AM53" i="2"/>
  <c r="CN53" i="2"/>
  <c r="AJ61" i="2"/>
  <c r="CN54" i="2"/>
  <c r="AL54" i="2"/>
  <c r="AJ54" i="2"/>
  <c r="AK54" i="2"/>
  <c r="AL51" i="2"/>
  <c r="CN51" i="2"/>
  <c r="CO52" i="2" s="1"/>
  <c r="AK51" i="2"/>
  <c r="AJ52" i="2"/>
  <c r="AL57" i="2"/>
  <c r="AJ57" i="2"/>
  <c r="CN57" i="2"/>
  <c r="AK57" i="2"/>
  <c r="CN65" i="2"/>
  <c r="AL65" i="2"/>
  <c r="AK65" i="2"/>
  <c r="AJ65" i="2"/>
  <c r="AM54" i="2"/>
  <c r="AM51" i="2"/>
  <c r="AM57" i="2"/>
  <c r="AL55" i="2"/>
  <c r="AJ55" i="2"/>
  <c r="CN55" i="2"/>
  <c r="AK55" i="2"/>
  <c r="AJ58" i="2"/>
  <c r="AL58" i="2"/>
  <c r="AK58" i="2"/>
  <c r="CN58" i="2"/>
  <c r="AL62" i="2"/>
  <c r="AK62" i="2"/>
  <c r="AJ62" i="2"/>
  <c r="CN62" i="2"/>
  <c r="CN63" i="2"/>
  <c r="AK63" i="2"/>
  <c r="AJ63" i="2"/>
  <c r="AL63" i="2"/>
  <c r="AL59" i="2"/>
  <c r="CN59" i="2"/>
  <c r="AK59" i="2"/>
  <c r="AJ59" i="2"/>
  <c r="AK60" i="2"/>
  <c r="AL60" i="2"/>
  <c r="CN60" i="2"/>
  <c r="AJ60" i="2"/>
  <c r="AM55" i="2"/>
  <c r="AJ64" i="2"/>
  <c r="CN64" i="2"/>
  <c r="AL64" i="2"/>
  <c r="AK64" i="2"/>
  <c r="CN66" i="2"/>
  <c r="CO66" i="2" s="1"/>
  <c r="AJ66" i="2"/>
  <c r="AK66" i="2"/>
  <c r="AL66" i="2"/>
  <c r="CS70" i="2" l="1"/>
  <c r="CO63" i="2"/>
  <c r="AK69" i="2"/>
  <c r="CO64" i="2"/>
  <c r="AL69" i="2"/>
  <c r="AM69" i="2"/>
  <c r="AJ69" i="2"/>
  <c r="CS60" i="2"/>
  <c r="CO60" i="2"/>
  <c r="CS55" i="2"/>
  <c r="CO55" i="2"/>
  <c r="CO56" i="2"/>
  <c r="CS59" i="2"/>
  <c r="CO59" i="2"/>
  <c r="CO65" i="2"/>
  <c r="CS54" i="2"/>
  <c r="CO54" i="2"/>
  <c r="CO61" i="2"/>
  <c r="CS62" i="2"/>
  <c r="CO62" i="2"/>
  <c r="CS58" i="2"/>
  <c r="CO58" i="2"/>
  <c r="CS57" i="2"/>
  <c r="CO57" i="2"/>
  <c r="CS53" i="2"/>
  <c r="CO53" i="2"/>
  <c r="CO67" i="2"/>
  <c r="CS65" i="2"/>
  <c r="CS63" i="2"/>
  <c r="CK52" i="2"/>
  <c r="CL52" i="2" s="1"/>
  <c r="CS64" i="2"/>
  <c r="CR52" i="2"/>
  <c r="CU51" i="2"/>
  <c r="CS51" i="2"/>
  <c r="CO69" i="2" l="1"/>
  <c r="CS69" i="2"/>
  <c r="CK53" i="2"/>
  <c r="CL53" i="2" s="1"/>
  <c r="CM53" i="2" s="1"/>
  <c r="CM52" i="2"/>
  <c r="CU52" i="2"/>
  <c r="CT52" i="2"/>
  <c r="CR53" i="2"/>
  <c r="CK54" i="2" l="1"/>
  <c r="CL54" i="2" s="1"/>
  <c r="CU53" i="2"/>
  <c r="CR54" i="2"/>
  <c r="CT53" i="2"/>
  <c r="CM54" i="2" l="1"/>
  <c r="CK55" i="2"/>
  <c r="CL55" i="2" s="1"/>
  <c r="CR55" i="2"/>
  <c r="CU54" i="2"/>
  <c r="CT54" i="2"/>
  <c r="CK56" i="2" l="1"/>
  <c r="CL56" i="2" s="1"/>
  <c r="CT55" i="2"/>
  <c r="CU55" i="2"/>
  <c r="CR56" i="2"/>
  <c r="CM55" i="2"/>
  <c r="CM56" i="2" l="1"/>
  <c r="CK57" i="2"/>
  <c r="CK58" i="2" s="1"/>
  <c r="CU56" i="2"/>
  <c r="CT56" i="2"/>
  <c r="CR57" i="2"/>
  <c r="CL57" i="2" l="1"/>
  <c r="CU57" i="2"/>
  <c r="CR58" i="2"/>
  <c r="CT57" i="2"/>
  <c r="CK59" i="2"/>
  <c r="CL58" i="2"/>
  <c r="CM58" i="2" s="1"/>
  <c r="CM57" i="2" l="1"/>
  <c r="CK60" i="2"/>
  <c r="CL59" i="2"/>
  <c r="CM59" i="2" s="1"/>
  <c r="CT58" i="2"/>
  <c r="CU58" i="2"/>
  <c r="CR59" i="2"/>
  <c r="CT59" i="2" l="1"/>
  <c r="CU59" i="2"/>
  <c r="CR60" i="2"/>
  <c r="CK61" i="2"/>
  <c r="CL60" i="2"/>
  <c r="CM60" i="2" s="1"/>
  <c r="CK62" i="2" l="1"/>
  <c r="CL61" i="2"/>
  <c r="CM61" i="2" s="1"/>
  <c r="CU60" i="2"/>
  <c r="CR61" i="2"/>
  <c r="CT60" i="2"/>
  <c r="CT61" i="2" l="1"/>
  <c r="CU61" i="2"/>
  <c r="CR62" i="2"/>
  <c r="CL62" i="2"/>
  <c r="CM62" i="2" s="1"/>
  <c r="CK63" i="2"/>
  <c r="CU62" i="2" l="1"/>
  <c r="CR63" i="2"/>
  <c r="CT62" i="2"/>
  <c r="CK64" i="2"/>
  <c r="CL63" i="2"/>
  <c r="CM63" i="2" s="1"/>
  <c r="CU63" i="2" l="1"/>
  <c r="CR64" i="2"/>
  <c r="CT63" i="2"/>
  <c r="CK65" i="2"/>
  <c r="CK66" i="2" s="1"/>
  <c r="CK67" i="2" s="1"/>
  <c r="CL67" i="2" s="1"/>
  <c r="CL64" i="2"/>
  <c r="CM64" i="2" s="1"/>
  <c r="CM67" i="2" l="1"/>
  <c r="CR65" i="2"/>
  <c r="CT64" i="2"/>
  <c r="CU64" i="2"/>
  <c r="CL65" i="2"/>
  <c r="CM65" i="2" s="1"/>
  <c r="CL66" i="2"/>
  <c r="CL69" i="2" l="1"/>
  <c r="CM66" i="2"/>
  <c r="CM69" i="2" s="1"/>
  <c r="CU65" i="2"/>
  <c r="CT65" i="2"/>
  <c r="CR66" i="2"/>
  <c r="CR67" i="2" s="1"/>
  <c r="CT67" i="2" l="1"/>
  <c r="CU67" i="2"/>
  <c r="CU66" i="2"/>
  <c r="CU69" i="2" s="1"/>
  <c r="CT66" i="2"/>
  <c r="CT69" i="2" l="1"/>
</calcChain>
</file>

<file path=xl/sharedStrings.xml><?xml version="1.0" encoding="utf-8"?>
<sst xmlns="http://schemas.openxmlformats.org/spreadsheetml/2006/main" count="202" uniqueCount="97">
  <si>
    <t>Year</t>
  </si>
  <si>
    <t>ASL</t>
  </si>
  <si>
    <t>Beta</t>
  </si>
  <si>
    <t>Capital services</t>
  </si>
  <si>
    <t>Depreciation</t>
  </si>
  <si>
    <t>Sample Year</t>
  </si>
  <si>
    <t>CapExpends</t>
  </si>
  <si>
    <t>Hyperbolic BLS, Beta = 0.75</t>
  </si>
  <si>
    <t>One Hoss Shay, Beta = 1.0</t>
  </si>
  <si>
    <t>Regulatory Straight Line, Beta = 0</t>
  </si>
  <si>
    <t>Geometric Decay</t>
  </si>
  <si>
    <t>Dep rate 1</t>
  </si>
  <si>
    <t>Dep rate 2</t>
  </si>
  <si>
    <t>TWA</t>
  </si>
  <si>
    <t>Growth K</t>
  </si>
  <si>
    <t>Est. Retirements</t>
  </si>
  <si>
    <t>Capital stock</t>
  </si>
  <si>
    <t>NonL O&amp;M</t>
  </si>
  <si>
    <t>Real NonLOM</t>
  </si>
  <si>
    <t>GrowthNonL</t>
  </si>
  <si>
    <t>Growth L</t>
  </si>
  <si>
    <t>GDP-IPI</t>
  </si>
  <si>
    <t>AWE</t>
  </si>
  <si>
    <t>Real Labor</t>
  </si>
  <si>
    <t>Labor</t>
  </si>
  <si>
    <t>1998 Gross</t>
  </si>
  <si>
    <t>1998 AccumD</t>
  </si>
  <si>
    <t>1998 Net Plant</t>
  </si>
  <si>
    <t>Union Dx</t>
  </si>
  <si>
    <t>Union Tx</t>
  </si>
  <si>
    <t>Union General</t>
  </si>
  <si>
    <t>Real Capital Additions</t>
  </si>
  <si>
    <t>Other CapAdds</t>
  </si>
  <si>
    <t>K Input Price</t>
  </si>
  <si>
    <t>K Costs</t>
  </si>
  <si>
    <t>Total Costs</t>
  </si>
  <si>
    <t>L Share Costs</t>
  </si>
  <si>
    <t>M Share Costs</t>
  </si>
  <si>
    <t>K Share Costs</t>
  </si>
  <si>
    <t>Change in Output</t>
  </si>
  <si>
    <t>Change in Input</t>
  </si>
  <si>
    <t>Index Total Input</t>
  </si>
  <si>
    <t>Change in EGI TFP</t>
  </si>
  <si>
    <t>"Index" Total Output</t>
  </si>
  <si>
    <t>EGI TFP Trends, All Regulated Operations</t>
  </si>
  <si>
    <t>%Ch TC</t>
  </si>
  <si>
    <t>Input Price Index</t>
  </si>
  <si>
    <t>Real Distr Additions</t>
  </si>
  <si>
    <t>Distribution Only costs for EGI Benchmarking</t>
  </si>
  <si>
    <t>UC</t>
  </si>
  <si>
    <t>TFP Level</t>
  </si>
  <si>
    <t>C$</t>
  </si>
  <si>
    <t>US$</t>
  </si>
  <si>
    <t>O&amp;M/Cust</t>
  </si>
  <si>
    <t>AHE</t>
  </si>
  <si>
    <t>Avg % Change</t>
  </si>
  <si>
    <t>Hyperbolic Depreciation</t>
  </si>
  <si>
    <t>Moodys</t>
  </si>
  <si>
    <t>u</t>
  </si>
  <si>
    <t>z</t>
  </si>
  <si>
    <t>1-uz</t>
  </si>
  <si>
    <t>1-u</t>
  </si>
  <si>
    <t>%Ch Input Price Index</t>
  </si>
  <si>
    <t>TFP Level Index</t>
  </si>
  <si>
    <t>%Ch K Price</t>
  </si>
  <si>
    <t>%Ch GDPIPI</t>
  </si>
  <si>
    <t>%Ch AHE</t>
  </si>
  <si>
    <t>EGD Dx</t>
  </si>
  <si>
    <t>EGD Storage</t>
  </si>
  <si>
    <t>Union Storage</t>
  </si>
  <si>
    <t>DX/(DX+NonDX)</t>
  </si>
  <si>
    <t>EGD General</t>
  </si>
  <si>
    <t>Union Intangible</t>
  </si>
  <si>
    <t>Total Dx</t>
  </si>
  <si>
    <t>Totaln Non-DX</t>
  </si>
  <si>
    <t>Alloc of General to DX</t>
  </si>
  <si>
    <t>Total DX plus allocated general capital 1998</t>
  </si>
  <si>
    <t>Net Dx capital/TWA</t>
  </si>
  <si>
    <t>Total Net Capital 1998 /TWA</t>
  </si>
  <si>
    <t xml:space="preserve">Avg % Change </t>
  </si>
  <si>
    <t>Gross and Net 1998 Capital Stocks</t>
  </si>
  <si>
    <t>Distribution and Alloc. Gen CapAdds</t>
  </si>
  <si>
    <t>GDP_IPD</t>
  </si>
  <si>
    <t>GDIIPD</t>
  </si>
  <si>
    <t xml:space="preserve">3 Yr Avg </t>
  </si>
  <si>
    <t>OM/Customer</t>
  </si>
  <si>
    <t>2006-2022</t>
  </si>
  <si>
    <t>Change UC</t>
  </si>
  <si>
    <t>Annual Depreciation</t>
  </si>
  <si>
    <t>Dx All Capital 1998/TWA</t>
  </si>
  <si>
    <t>37 Yr TWA</t>
  </si>
  <si>
    <t>GDP-PI</t>
  </si>
  <si>
    <t>%ChGDP-PI</t>
  </si>
  <si>
    <t>%ChGDP-IPI</t>
  </si>
  <si>
    <t>K services with Beta = 0.5</t>
  </si>
  <si>
    <t>K services with Beta = 0.7</t>
  </si>
  <si>
    <t>Distribution CapAdds and Alloc 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</si>
</sst>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000"/>
    <numFmt numFmtId="165" formatCode="0.000%"/>
    <numFmt numFmtId="166" formatCode="0.0"/>
    <numFmt numFmtId="167" formatCode="#0.0"/>
    <numFmt numFmtId="168" formatCode="0.000"/>
    <numFmt numFmtId="169" formatCode="0.0%"/>
    <numFmt numFmtId="170" formatCode="&quot;$&quot;#,##0"/>
    <numFmt numFmtId="171" formatCode="0_);\(0\)"/>
    <numFmt numFmtId="172" formatCode="_(&quot;$&quot;* #,##0.0_);_(&quot;$&quot;* \(#,##0.0\);_(&quot;$&quot;* &quot;-&quot;?_);_(@_)"/>
    <numFmt numFmtId="173" formatCode="&quot;$&quot;#,##0.0_);\(&quot;$&quot;#,##0.0\)"/>
    <numFmt numFmtId="174" formatCode="&quot;$&quot;#,##0.00"/>
    <numFmt numFmtId="175" formatCode="#,##0.000"/>
  </numFmts>
  <fonts count="1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64">
    <xf numFmtId="0" fontId="0" fillId="0" borderId="0" xfId="0"/>
    <xf numFmtId="10" fontId="0" fillId="0" borderId="0" xfId="0" applyNumberFormat="1"/>
    <xf numFmtId="166" fontId="0" fillId="0" borderId="0" xfId="0" applyNumberFormat="1"/>
    <xf numFmtId="2" fontId="0" fillId="0" borderId="0" xfId="0" applyNumberFormat="1"/>
    <xf numFmtId="167" fontId="5" fillId="0" borderId="0" xfId="0" applyNumberFormat="1" applyFont="1" applyAlignment="1">
      <alignment horizontal="right"/>
    </xf>
    <xf numFmtId="2" fontId="0" fillId="0" borderId="0" xfId="1" applyNumberFormat="1" applyFont="1" applyBorder="1"/>
    <xf numFmtId="1" fontId="0" fillId="0" borderId="0" xfId="1" applyNumberFormat="1" applyFont="1" applyFill="1" applyBorder="1"/>
    <xf numFmtId="0" fontId="11" fillId="2" borderId="1" xfId="0" applyFont="1" applyFill="1" applyBorder="1" applyAlignment="1">
      <alignment horizontal="right" vertical="center"/>
    </xf>
    <xf numFmtId="10" fontId="0" fillId="0" borderId="0" xfId="1" applyNumberFormat="1" applyFont="1" applyFill="1" applyBorder="1"/>
    <xf numFmtId="16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8" fontId="0" fillId="0" borderId="0" xfId="0" applyNumberFormat="1"/>
    <xf numFmtId="2" fontId="0" fillId="0" borderId="0" xfId="0" applyNumberFormat="1" applyAlignment="1">
      <alignment horizontal="left"/>
    </xf>
    <xf numFmtId="173" fontId="0" fillId="0" borderId="0" xfId="0" applyNumberFormat="1"/>
    <xf numFmtId="0" fontId="2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1" fontId="0" fillId="0" borderId="0" xfId="0" applyNumberFormat="1"/>
    <xf numFmtId="0" fontId="7" fillId="0" borderId="0" xfId="0" applyFont="1" applyAlignment="1">
      <alignment wrapText="1"/>
    </xf>
    <xf numFmtId="1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vertical="top"/>
    </xf>
    <xf numFmtId="168" fontId="0" fillId="0" borderId="0" xfId="0" applyNumberFormat="1" applyAlignment="1">
      <alignment horizontal="center"/>
    </xf>
    <xf numFmtId="169" fontId="0" fillId="0" borderId="0" xfId="0" applyNumberFormat="1"/>
    <xf numFmtId="0" fontId="11" fillId="0" borderId="1" xfId="0" applyFont="1" applyBorder="1" applyAlignment="1">
      <alignment horizontal="right" vertical="center"/>
    </xf>
    <xf numFmtId="2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170" fontId="0" fillId="0" borderId="0" xfId="0" applyNumberFormat="1"/>
    <xf numFmtId="3" fontId="0" fillId="0" borderId="0" xfId="0" applyNumberFormat="1"/>
    <xf numFmtId="171" fontId="10" fillId="0" borderId="0" xfId="3" applyNumberFormat="1" applyFont="1" applyFill="1" applyBorder="1"/>
    <xf numFmtId="10" fontId="5" fillId="0" borderId="0" xfId="0" applyNumberFormat="1" applyFont="1" applyAlignment="1">
      <alignment horizontal="right"/>
    </xf>
    <xf numFmtId="172" fontId="0" fillId="0" borderId="0" xfId="0" applyNumberFormat="1"/>
    <xf numFmtId="0" fontId="0" fillId="0" borderId="0" xfId="0" applyAlignment="1">
      <alignment horizontal="right" wrapText="1"/>
    </xf>
    <xf numFmtId="174" fontId="0" fillId="0" borderId="0" xfId="0" applyNumberFormat="1"/>
    <xf numFmtId="166" fontId="0" fillId="3" borderId="0" xfId="0" applyNumberFormat="1" applyFill="1"/>
    <xf numFmtId="0" fontId="0" fillId="3" borderId="0" xfId="0" applyFill="1" applyAlignment="1">
      <alignment horizontal="center" wrapText="1"/>
    </xf>
    <xf numFmtId="2" fontId="0" fillId="3" borderId="0" xfId="0" applyNumberFormat="1" applyFill="1"/>
    <xf numFmtId="0" fontId="1" fillId="3" borderId="0" xfId="0" applyFont="1" applyFill="1" applyAlignment="1">
      <alignment horizontal="center" wrapText="1"/>
    </xf>
    <xf numFmtId="2" fontId="0" fillId="0" borderId="0" xfId="6" applyNumberFormat="1" applyFont="1" applyAlignment="1">
      <alignment horizontal="center"/>
    </xf>
    <xf numFmtId="164" fontId="0" fillId="0" borderId="0" xfId="0" applyNumberFormat="1"/>
    <xf numFmtId="166" fontId="0" fillId="0" borderId="0" xfId="0" applyNumberFormat="1" applyAlignment="1">
      <alignment horizontal="center" wrapText="1"/>
    </xf>
    <xf numFmtId="175" fontId="0" fillId="0" borderId="0" xfId="1" applyNumberFormat="1" applyFont="1" applyFill="1" applyBorder="1"/>
    <xf numFmtId="175" fontId="0" fillId="0" borderId="0" xfId="0" applyNumberFormat="1"/>
    <xf numFmtId="168" fontId="0" fillId="0" borderId="0" xfId="1" applyNumberFormat="1" applyFont="1" applyFill="1" applyBorder="1"/>
    <xf numFmtId="2" fontId="0" fillId="3" borderId="0" xfId="6" applyNumberFormat="1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1" fillId="3" borderId="0" xfId="0" applyFont="1" applyFill="1" applyAlignment="1">
      <alignment horizontal="center"/>
    </xf>
    <xf numFmtId="168" fontId="0" fillId="0" borderId="0" xfId="0" applyNumberFormat="1" applyFill="1" applyAlignment="1">
      <alignment horizontal="center"/>
    </xf>
    <xf numFmtId="0" fontId="0" fillId="0" borderId="0" xfId="0" applyFill="1"/>
    <xf numFmtId="4" fontId="0" fillId="0" borderId="0" xfId="0" applyNumberFormat="1" applyFill="1"/>
    <xf numFmtId="2" fontId="0" fillId="0" borderId="0" xfId="0" applyNumberFormat="1" applyFill="1"/>
    <xf numFmtId="0" fontId="0" fillId="0" borderId="0" xfId="0" applyFill="1" applyAlignment="1">
      <alignment horizontal="right" wrapText="1"/>
    </xf>
    <xf numFmtId="4" fontId="0" fillId="0" borderId="0" xfId="0" applyNumberFormat="1" applyFill="1" applyAlignment="1">
      <alignment horizontal="right" wrapText="1"/>
    </xf>
    <xf numFmtId="0" fontId="0" fillId="0" borderId="0" xfId="0" applyFill="1" applyAlignment="1">
      <alignment horizontal="right"/>
    </xf>
    <xf numFmtId="0" fontId="0" fillId="3" borderId="0" xfId="0" applyFill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7">
    <cellStyle name="Comma" xfId="1" builtinId="3"/>
    <cellStyle name="Comma 2" xfId="3" xr:uid="{C3B5B205-39B6-4E4C-88D9-051567E09F96}"/>
    <cellStyle name="Normal" xfId="0" builtinId="0"/>
    <cellStyle name="Normal 2" xfId="4" xr:uid="{0C4D0F14-D063-4217-9B03-C0026F49E74C}"/>
    <cellStyle name="Normal 3" xfId="5" xr:uid="{DC127814-6918-4BC2-8068-C1D997527E0A}"/>
    <cellStyle name="Normal 4" xfId="2" xr:uid="{37C90188-2B2E-4172-BE6D-8F6A76C3B483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U96"/>
  <sheetViews>
    <sheetView tabSelected="1" topLeftCell="CG27" zoomScaleNormal="100" workbookViewId="0">
      <selection activeCell="CT76" sqref="CT76"/>
    </sheetView>
  </sheetViews>
  <sheetFormatPr defaultColWidth="12.6640625" defaultRowHeight="14.4" x14ac:dyDescent="0.3"/>
  <cols>
    <col min="1" max="2" width="16.6640625" customWidth="1"/>
    <col min="3" max="3" width="14.6640625" customWidth="1"/>
    <col min="4" max="6" width="12.6640625" customWidth="1"/>
    <col min="10" max="18" width="12.6640625" customWidth="1"/>
    <col min="19" max="21" width="1.6640625" customWidth="1"/>
    <col min="22" max="28" width="12.6640625" customWidth="1"/>
    <col min="29" max="29" width="9.33203125" bestFit="1" customWidth="1"/>
    <col min="30" max="30" width="12.6640625" customWidth="1"/>
    <col min="31" max="32" width="9.33203125" customWidth="1"/>
    <col min="33" max="33" width="11.6640625" bestFit="1" customWidth="1"/>
    <col min="34" max="39" width="11.6640625" customWidth="1"/>
    <col min="40" max="45" width="0" hidden="1" customWidth="1"/>
    <col min="46" max="46" width="12.44140625" hidden="1" customWidth="1"/>
    <col min="47" max="48" width="12.6640625" hidden="1" customWidth="1"/>
    <col min="49" max="72" width="0" hidden="1" customWidth="1"/>
    <col min="74" max="74" width="0" hidden="1" customWidth="1"/>
    <col min="81" max="82" width="0" hidden="1" customWidth="1"/>
    <col min="85" max="87" width="12.6640625" customWidth="1"/>
    <col min="88" max="88" width="13.33203125" customWidth="1"/>
    <col min="89" max="93" width="12.6640625" customWidth="1"/>
    <col min="94" max="94" width="14.6640625" customWidth="1"/>
    <col min="95" max="95" width="3.6640625" customWidth="1"/>
    <col min="96" max="96" width="12.6640625" customWidth="1"/>
    <col min="97" max="97" width="12.6640625" hidden="1" customWidth="1"/>
    <col min="98" max="107" width="12.6640625" customWidth="1"/>
  </cols>
  <sheetData>
    <row r="1" spans="1:118" ht="25.8" x14ac:dyDescent="0.5">
      <c r="G1" s="15"/>
      <c r="I1" s="16"/>
      <c r="J1" s="16"/>
      <c r="K1" s="16" t="s">
        <v>44</v>
      </c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3" spans="1:118" ht="18" x14ac:dyDescent="0.35">
      <c r="A3" s="61" t="s">
        <v>80</v>
      </c>
      <c r="B3" s="62"/>
      <c r="C3" s="62"/>
      <c r="D3" s="62"/>
      <c r="E3" s="62"/>
      <c r="F3" s="62"/>
      <c r="G3" s="62"/>
    </row>
    <row r="4" spans="1:118" x14ac:dyDescent="0.3">
      <c r="A4" s="18"/>
      <c r="B4" s="18"/>
      <c r="D4" s="18" t="s">
        <v>25</v>
      </c>
      <c r="E4" s="18" t="s">
        <v>26</v>
      </c>
      <c r="F4" s="18" t="s">
        <v>27</v>
      </c>
      <c r="G4" t="s">
        <v>13</v>
      </c>
    </row>
    <row r="5" spans="1:118" x14ac:dyDescent="0.3">
      <c r="A5" s="2" t="s">
        <v>67</v>
      </c>
      <c r="B5" s="18"/>
      <c r="D5" s="2">
        <v>2704.3</v>
      </c>
      <c r="E5" s="2">
        <v>669.7</v>
      </c>
      <c r="F5" s="2">
        <f>+D5-E5</f>
        <v>2034.6000000000001</v>
      </c>
    </row>
    <row r="6" spans="1:118" ht="18" x14ac:dyDescent="0.35">
      <c r="A6" s="2" t="s">
        <v>28</v>
      </c>
      <c r="D6">
        <v>2384.9</v>
      </c>
      <c r="E6" s="2">
        <f>+D6-F6</f>
        <v>679</v>
      </c>
      <c r="F6">
        <v>1705.9</v>
      </c>
      <c r="G6" s="42">
        <v>48.85</v>
      </c>
      <c r="H6" s="41" t="s">
        <v>90</v>
      </c>
      <c r="I6" s="61" t="s">
        <v>7</v>
      </c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17"/>
      <c r="AI6" s="17"/>
      <c r="AJ6" s="17"/>
      <c r="AK6" s="17"/>
      <c r="AL6" s="17"/>
      <c r="AM6" s="17"/>
      <c r="AP6" s="61" t="s">
        <v>8</v>
      </c>
      <c r="AQ6" s="61"/>
      <c r="AR6" s="61"/>
      <c r="AS6" s="61"/>
      <c r="AT6" s="61"/>
      <c r="AU6" s="61"/>
      <c r="AV6" s="61"/>
      <c r="AZ6" s="61" t="s">
        <v>9</v>
      </c>
      <c r="BA6" s="61"/>
      <c r="BB6" s="61"/>
      <c r="BC6" s="61"/>
      <c r="BD6" s="61"/>
      <c r="BE6" s="61"/>
      <c r="BF6" s="61"/>
      <c r="BG6" s="61"/>
      <c r="BH6" s="61"/>
      <c r="BK6" s="61" t="s">
        <v>10</v>
      </c>
      <c r="BL6" s="61"/>
      <c r="BM6" s="61"/>
      <c r="BN6" s="61"/>
      <c r="BO6" s="61"/>
      <c r="CY6" s="19"/>
    </row>
    <row r="7" spans="1:118" x14ac:dyDescent="0.3">
      <c r="A7" t="s">
        <v>73</v>
      </c>
      <c r="D7" s="2">
        <f>+D6+D5</f>
        <v>5089.2000000000007</v>
      </c>
      <c r="E7" s="2">
        <f>+E6+E5</f>
        <v>1348.7</v>
      </c>
      <c r="F7" s="2">
        <f t="shared" ref="F7" si="0">+D7-E7</f>
        <v>3740.5000000000009</v>
      </c>
      <c r="H7" s="20"/>
      <c r="CY7" s="21"/>
      <c r="CZ7" s="22"/>
    </row>
    <row r="8" spans="1:118" ht="43.2" x14ac:dyDescent="0.3">
      <c r="A8" s="2" t="s">
        <v>68</v>
      </c>
      <c r="D8" s="2">
        <v>180.6</v>
      </c>
      <c r="E8" s="2">
        <f>+D8-F8</f>
        <v>41.400000000000006</v>
      </c>
      <c r="F8" s="2">
        <v>139.19999999999999</v>
      </c>
      <c r="G8" s="37"/>
      <c r="H8" s="18" t="s">
        <v>0</v>
      </c>
      <c r="I8" s="18" t="s">
        <v>5</v>
      </c>
      <c r="J8" s="23" t="s">
        <v>1</v>
      </c>
      <c r="K8" s="23" t="s">
        <v>2</v>
      </c>
      <c r="L8" s="24" t="s">
        <v>3</v>
      </c>
      <c r="M8" s="24" t="s">
        <v>56</v>
      </c>
      <c r="N8" s="24" t="s">
        <v>88</v>
      </c>
      <c r="O8" s="24" t="s">
        <v>57</v>
      </c>
      <c r="P8" s="23" t="s">
        <v>21</v>
      </c>
      <c r="Q8" s="24" t="s">
        <v>93</v>
      </c>
      <c r="R8" s="24" t="s">
        <v>84</v>
      </c>
      <c r="S8" s="24"/>
      <c r="T8" s="24"/>
      <c r="U8" s="24"/>
      <c r="V8" s="24" t="s">
        <v>58</v>
      </c>
      <c r="W8" s="24" t="s">
        <v>59</v>
      </c>
      <c r="X8" s="24" t="s">
        <v>60</v>
      </c>
      <c r="Y8" s="24" t="s">
        <v>61</v>
      </c>
      <c r="Z8" s="24" t="s">
        <v>33</v>
      </c>
      <c r="AA8" s="24" t="s">
        <v>64</v>
      </c>
      <c r="AB8" s="23" t="s">
        <v>16</v>
      </c>
      <c r="AC8" s="23" t="s">
        <v>14</v>
      </c>
      <c r="AD8" s="43" t="s">
        <v>96</v>
      </c>
      <c r="AE8" s="43" t="s">
        <v>32</v>
      </c>
      <c r="AF8" s="52" t="s">
        <v>82</v>
      </c>
      <c r="AG8" s="43" t="s">
        <v>31</v>
      </c>
      <c r="AH8" s="24" t="s">
        <v>34</v>
      </c>
      <c r="AI8" s="24" t="s">
        <v>35</v>
      </c>
      <c r="AJ8" s="24" t="s">
        <v>45</v>
      </c>
      <c r="AK8" s="24" t="s">
        <v>36</v>
      </c>
      <c r="AL8" s="24" t="s">
        <v>37</v>
      </c>
      <c r="AM8" s="24" t="s">
        <v>38</v>
      </c>
      <c r="AO8" s="18" t="s">
        <v>0</v>
      </c>
      <c r="AP8" s="18" t="s">
        <v>5</v>
      </c>
      <c r="AQ8" s="23" t="s">
        <v>1</v>
      </c>
      <c r="AR8" s="23" t="s">
        <v>2</v>
      </c>
      <c r="AS8" s="24" t="s">
        <v>3</v>
      </c>
      <c r="AT8" s="23" t="s">
        <v>4</v>
      </c>
      <c r="AU8" s="23" t="s">
        <v>16</v>
      </c>
      <c r="AV8" s="23" t="s">
        <v>6</v>
      </c>
      <c r="AW8" s="23" t="s">
        <v>14</v>
      </c>
      <c r="AX8" s="24" t="s">
        <v>15</v>
      </c>
      <c r="AY8" s="24"/>
      <c r="AZ8" s="18" t="s">
        <v>0</v>
      </c>
      <c r="BA8" s="18" t="s">
        <v>5</v>
      </c>
      <c r="BB8" s="23" t="s">
        <v>1</v>
      </c>
      <c r="BC8" s="23" t="s">
        <v>2</v>
      </c>
      <c r="BD8" s="24" t="s">
        <v>3</v>
      </c>
      <c r="BE8" s="23" t="s">
        <v>4</v>
      </c>
      <c r="BF8" s="23" t="s">
        <v>16</v>
      </c>
      <c r="BG8" s="23" t="s">
        <v>6</v>
      </c>
      <c r="BH8" s="23" t="s">
        <v>14</v>
      </c>
      <c r="BK8" s="18" t="s">
        <v>0</v>
      </c>
      <c r="BL8" s="18" t="s">
        <v>5</v>
      </c>
      <c r="BM8" s="23" t="s">
        <v>11</v>
      </c>
      <c r="BN8" s="23" t="s">
        <v>16</v>
      </c>
      <c r="BO8" s="23" t="s">
        <v>6</v>
      </c>
      <c r="BP8" s="23" t="s">
        <v>14</v>
      </c>
      <c r="BQ8" s="23" t="s">
        <v>12</v>
      </c>
      <c r="BR8" s="23" t="s">
        <v>16</v>
      </c>
      <c r="BS8" s="23" t="s">
        <v>6</v>
      </c>
      <c r="BT8" s="23" t="s">
        <v>14</v>
      </c>
      <c r="BU8" s="18" t="s">
        <v>5</v>
      </c>
      <c r="BV8" s="18" t="s">
        <v>53</v>
      </c>
      <c r="BW8" s="23" t="s">
        <v>17</v>
      </c>
      <c r="BX8" s="23" t="s">
        <v>21</v>
      </c>
      <c r="BY8" s="23" t="s">
        <v>65</v>
      </c>
      <c r="BZ8" s="23" t="s">
        <v>18</v>
      </c>
      <c r="CA8" s="23" t="s">
        <v>19</v>
      </c>
      <c r="CB8" s="23" t="s">
        <v>24</v>
      </c>
      <c r="CC8" s="23" t="s">
        <v>22</v>
      </c>
      <c r="CD8" s="23"/>
      <c r="CE8" s="23" t="s">
        <v>54</v>
      </c>
      <c r="CF8" s="23" t="s">
        <v>66</v>
      </c>
      <c r="CG8" s="23" t="s">
        <v>23</v>
      </c>
      <c r="CH8" s="23" t="s">
        <v>20</v>
      </c>
      <c r="CI8" s="24" t="s">
        <v>43</v>
      </c>
      <c r="CJ8" s="24" t="s">
        <v>39</v>
      </c>
      <c r="CK8" s="24" t="s">
        <v>41</v>
      </c>
      <c r="CL8" s="24" t="s">
        <v>40</v>
      </c>
      <c r="CM8" s="24" t="s">
        <v>42</v>
      </c>
      <c r="CN8" s="24" t="s">
        <v>49</v>
      </c>
      <c r="CO8" s="24" t="s">
        <v>87</v>
      </c>
      <c r="CP8" s="24" t="s">
        <v>85</v>
      </c>
      <c r="CQ8" s="24"/>
      <c r="CR8" s="24" t="s">
        <v>46</v>
      </c>
      <c r="CS8" s="23" t="s">
        <v>50</v>
      </c>
      <c r="CT8" s="24" t="s">
        <v>62</v>
      </c>
      <c r="CU8" s="24" t="s">
        <v>63</v>
      </c>
      <c r="CV8" s="23"/>
      <c r="CY8" s="19"/>
      <c r="DB8" s="63"/>
      <c r="DC8" s="63"/>
      <c r="DD8" s="63"/>
      <c r="DE8" s="63"/>
      <c r="DF8" s="63"/>
    </row>
    <row r="9" spans="1:118" x14ac:dyDescent="0.3">
      <c r="A9" s="2" t="s">
        <v>69</v>
      </c>
      <c r="D9" s="2">
        <v>481.7</v>
      </c>
      <c r="E9" s="2">
        <f>+D9-F9</f>
        <v>115.59999999999997</v>
      </c>
      <c r="F9" s="2">
        <v>366.1</v>
      </c>
      <c r="G9" s="37"/>
      <c r="H9" s="22">
        <v>0</v>
      </c>
      <c r="I9" s="22">
        <f>+H9+1998</f>
        <v>1998</v>
      </c>
      <c r="J9" s="22">
        <v>51</v>
      </c>
      <c r="K9" s="22">
        <v>0.75</v>
      </c>
      <c r="L9" s="25">
        <f t="shared" ref="L9:L33" si="1">+(J9-H9)/(J9-K9*H9)</f>
        <v>1</v>
      </c>
      <c r="M9" s="26"/>
      <c r="N9" s="26"/>
      <c r="O9" s="26"/>
      <c r="P9" s="44">
        <v>70.5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3">
        <f>+$F$24</f>
        <v>128.01637666325487</v>
      </c>
      <c r="AC9" s="1"/>
      <c r="AD9" s="40"/>
      <c r="AE9" s="40"/>
      <c r="AF9" s="50">
        <v>70.5</v>
      </c>
      <c r="AG9" s="42"/>
      <c r="AH9" s="3"/>
      <c r="AI9" s="3"/>
      <c r="AJ9" s="3"/>
      <c r="AK9" s="3"/>
      <c r="AL9" s="3"/>
      <c r="AM9" s="3"/>
      <c r="AO9" s="22">
        <v>0</v>
      </c>
      <c r="AP9" s="22">
        <f>+AO9+1998</f>
        <v>1998</v>
      </c>
      <c r="AQ9" s="22">
        <v>51</v>
      </c>
      <c r="AR9" s="22">
        <v>1</v>
      </c>
      <c r="AS9" s="25">
        <f>+(AQ9-AO9)/(AQ9-AR9*AO9)</f>
        <v>1</v>
      </c>
      <c r="AT9" s="26"/>
      <c r="AU9" s="3">
        <v>41.7</v>
      </c>
      <c r="AV9" s="3"/>
      <c r="AW9" s="1"/>
      <c r="AX9" s="3"/>
      <c r="AY9" s="3"/>
      <c r="AZ9" s="22">
        <v>0</v>
      </c>
      <c r="BA9" s="22">
        <f>+AZ9+1998</f>
        <v>1998</v>
      </c>
      <c r="BB9" s="22">
        <v>51</v>
      </c>
      <c r="BC9" s="22">
        <v>0</v>
      </c>
      <c r="BD9" s="25">
        <f>+(BB9-AZ9)/(BB9-BC9*AZ9)</f>
        <v>1</v>
      </c>
      <c r="BE9" s="26"/>
      <c r="BF9" s="3">
        <v>30.3</v>
      </c>
      <c r="BG9" s="3"/>
      <c r="BH9" s="1"/>
      <c r="BK9" s="22">
        <v>0</v>
      </c>
      <c r="BL9" s="22">
        <f>+BK9+1998</f>
        <v>1998</v>
      </c>
      <c r="BM9" s="11">
        <v>3.5000000000000003E-2</v>
      </c>
      <c r="BN9" s="3">
        <v>30.3</v>
      </c>
      <c r="BO9" s="19"/>
      <c r="BP9" s="1"/>
      <c r="BQ9" s="1">
        <v>4.5900000000000003E-2</v>
      </c>
      <c r="BR9" s="3">
        <v>30.3</v>
      </c>
      <c r="BS9" s="19"/>
      <c r="BT9" s="1"/>
      <c r="BU9" s="22">
        <f>+BT9+1998</f>
        <v>1998</v>
      </c>
      <c r="BV9" s="22"/>
      <c r="BW9" s="27">
        <f>179+83</f>
        <v>262</v>
      </c>
      <c r="BX9" s="44">
        <v>70.5</v>
      </c>
      <c r="BZ9" s="3"/>
      <c r="CA9" s="1"/>
      <c r="CB9" s="3">
        <f>60+191</f>
        <v>251</v>
      </c>
      <c r="CG9" s="3"/>
      <c r="CH9" s="1"/>
      <c r="CI9" s="1"/>
      <c r="CJ9" s="1"/>
      <c r="CK9" s="1"/>
      <c r="CL9" s="1"/>
      <c r="CM9" s="1"/>
      <c r="CN9" s="1"/>
      <c r="CO9" s="1"/>
      <c r="CV9" s="1"/>
      <c r="CW9" s="1"/>
      <c r="CY9" s="6"/>
      <c r="CZ9" s="1"/>
    </row>
    <row r="10" spans="1:118" ht="15" thickBot="1" x14ac:dyDescent="0.35">
      <c r="A10" s="2" t="s">
        <v>29</v>
      </c>
      <c r="D10" s="2">
        <v>917.4</v>
      </c>
      <c r="E10" s="2">
        <f t="shared" ref="E10:E11" si="2">+D10-F10</f>
        <v>254</v>
      </c>
      <c r="F10" s="2">
        <v>663.4</v>
      </c>
      <c r="G10" s="37"/>
      <c r="H10" s="22">
        <f>+H9+1</f>
        <v>1</v>
      </c>
      <c r="I10" s="22">
        <f t="shared" ref="I10:I31" si="3">+H10+1998</f>
        <v>1999</v>
      </c>
      <c r="J10" s="22">
        <v>51</v>
      </c>
      <c r="K10" s="22">
        <v>0.75</v>
      </c>
      <c r="L10" s="25">
        <f t="shared" si="1"/>
        <v>0.99502487562189057</v>
      </c>
      <c r="M10" s="26">
        <f>+(L10-L9)/L9</f>
        <v>-4.9751243781094301E-3</v>
      </c>
      <c r="N10" s="26"/>
      <c r="O10" s="26">
        <v>3.1E-2</v>
      </c>
      <c r="P10" s="10">
        <v>71.5</v>
      </c>
      <c r="Q10" s="26"/>
      <c r="R10" s="26"/>
      <c r="U10" s="10"/>
      <c r="V10" s="28"/>
      <c r="W10" s="28"/>
      <c r="X10" s="28"/>
      <c r="Y10" s="28"/>
      <c r="Z10" s="28"/>
      <c r="AA10" s="26"/>
      <c r="AB10" s="3">
        <f>+$AB$9*L10+AG10</f>
        <v>134.8062425239832</v>
      </c>
      <c r="AC10" s="1">
        <f>LN(AB10/AB9)</f>
        <v>5.1680308513722711E-2</v>
      </c>
      <c r="AD10" s="40">
        <v>406.60623124680001</v>
      </c>
      <c r="AE10" s="40">
        <v>124.40734163319996</v>
      </c>
      <c r="AF10" s="51">
        <v>71.5</v>
      </c>
      <c r="AG10" s="40">
        <f>+(AD10+AE10)/AF10</f>
        <v>7.4267632570629365</v>
      </c>
      <c r="AH10" s="2"/>
      <c r="AI10" s="2"/>
      <c r="AJ10" s="29"/>
      <c r="AK10" s="29"/>
      <c r="AL10" s="29"/>
      <c r="AM10" s="29"/>
      <c r="AO10" s="22">
        <f>+AO9+1</f>
        <v>1</v>
      </c>
      <c r="AP10" s="22">
        <f t="shared" ref="AP10:AP31" si="4">+AO10+1998</f>
        <v>1999</v>
      </c>
      <c r="AQ10" s="22">
        <v>51</v>
      </c>
      <c r="AR10" s="22">
        <v>1</v>
      </c>
      <c r="AS10" s="25">
        <f t="shared" ref="AS10:AS31" si="5">+(AQ10-AO10)/(AQ10-AR10*AO10)</f>
        <v>1</v>
      </c>
      <c r="AT10" s="26">
        <f>+(AS10-AS9)/AS9</f>
        <v>0</v>
      </c>
      <c r="AU10" s="3">
        <f t="shared" ref="AU10:AU31" si="6">+AU9*AS10+AV10-AX10</f>
        <v>42.999675792423091</v>
      </c>
      <c r="AV10" s="3">
        <v>2.1336757924230931</v>
      </c>
      <c r="AW10" s="1">
        <f>LN(AU10/AU9)</f>
        <v>3.0691447149291815E-2</v>
      </c>
      <c r="AX10" s="3">
        <f t="shared" ref="AX10:AX31" si="7">+AU9*0.02</f>
        <v>0.83400000000000007</v>
      </c>
      <c r="AY10" s="3"/>
      <c r="AZ10" s="22">
        <f>+AZ9+1</f>
        <v>1</v>
      </c>
      <c r="BA10" s="22">
        <f t="shared" ref="BA10:BA31" si="8">+AZ10+1998</f>
        <v>1999</v>
      </c>
      <c r="BB10" s="22">
        <v>51</v>
      </c>
      <c r="BC10" s="22">
        <v>0</v>
      </c>
      <c r="BD10" s="25">
        <f t="shared" ref="BD10:BD31" si="9">+(BB10-AZ10)/(BB10-BC10*AZ10)</f>
        <v>0.98039215686274506</v>
      </c>
      <c r="BE10" s="26">
        <f>+(BD10-BD9)/BD9</f>
        <v>-1.9607843137254943E-2</v>
      </c>
      <c r="BF10" s="3">
        <f>+BF9*BD10+BG10</f>
        <v>31.839558145364272</v>
      </c>
      <c r="BG10" s="3">
        <v>2.1336757924230931</v>
      </c>
      <c r="BH10" s="1">
        <f>LN(BF10/BF9)</f>
        <v>4.9561771020480552E-2</v>
      </c>
      <c r="BK10" s="22">
        <f>+BK9+1</f>
        <v>1</v>
      </c>
      <c r="BL10" s="22">
        <f t="shared" ref="BL10:BL31" si="10">+BK10+1998</f>
        <v>1999</v>
      </c>
      <c r="BM10" s="11">
        <v>3.5000000000000003E-2</v>
      </c>
      <c r="BN10" s="3">
        <f>+BN9*(1-BM10)+BO10</f>
        <v>31.373175792423094</v>
      </c>
      <c r="BO10" s="3">
        <v>2.1336757924230931</v>
      </c>
      <c r="BP10" s="1">
        <f>LN(BN10/BN9)</f>
        <v>3.4805541172144225E-2</v>
      </c>
      <c r="BQ10" s="1">
        <v>4.5900000000000003E-2</v>
      </c>
      <c r="BR10" s="3">
        <f t="shared" ref="BR10:BR31" si="11">+BR9*(1-BQ10)+BS10</f>
        <v>31.042905792423095</v>
      </c>
      <c r="BS10" s="3">
        <v>2.1336757924230931</v>
      </c>
      <c r="BT10" s="1">
        <f>LN(BR10/BR9)</f>
        <v>2.4222592864756039E-2</v>
      </c>
      <c r="BU10" s="22">
        <f>+BU9+1</f>
        <v>1999</v>
      </c>
      <c r="BV10" s="22"/>
      <c r="BW10" s="27">
        <f>194+76</f>
        <v>270</v>
      </c>
      <c r="BX10" s="10">
        <v>71.5</v>
      </c>
      <c r="BY10" s="11">
        <f t="shared" ref="BY10:BY17" si="12">LN(BX10/BX9)</f>
        <v>1.4084739881739023E-2</v>
      </c>
      <c r="BZ10" s="3"/>
      <c r="CA10" s="1"/>
      <c r="CB10" s="3">
        <f>60+163</f>
        <v>223</v>
      </c>
      <c r="CG10" s="3"/>
      <c r="CH10" s="1"/>
      <c r="CI10" s="1"/>
      <c r="CJ10" s="1"/>
      <c r="CK10" s="3"/>
      <c r="CL10" s="1"/>
      <c r="CM10" s="3"/>
      <c r="CN10" s="1"/>
      <c r="CO10" s="1"/>
      <c r="CV10" s="1"/>
      <c r="CW10" s="3"/>
      <c r="CY10" s="6"/>
      <c r="CZ10" s="1"/>
    </row>
    <row r="11" spans="1:118" ht="15" thickBot="1" x14ac:dyDescent="0.35">
      <c r="A11" s="2" t="s">
        <v>72</v>
      </c>
      <c r="D11" s="2">
        <v>10.4</v>
      </c>
      <c r="E11" s="2">
        <f t="shared" si="2"/>
        <v>7.6000000000000005</v>
      </c>
      <c r="F11" s="2">
        <v>2.8</v>
      </c>
      <c r="G11" s="37"/>
      <c r="H11" s="22">
        <f t="shared" ref="H11:H31" si="13">+H10+1</f>
        <v>2</v>
      </c>
      <c r="I11" s="22">
        <f t="shared" si="3"/>
        <v>2000</v>
      </c>
      <c r="J11" s="22">
        <v>51</v>
      </c>
      <c r="K11" s="22">
        <v>0.75</v>
      </c>
      <c r="L11" s="25">
        <f t="shared" si="1"/>
        <v>0.98989898989898994</v>
      </c>
      <c r="M11" s="26">
        <f t="shared" ref="M11:M33" si="14">+(L11-L10)/L10</f>
        <v>-5.1515151515151283E-3</v>
      </c>
      <c r="N11" s="26">
        <f t="shared" ref="N11:N33" si="15">+(AB10-AB11+AG11)/AB10</f>
        <v>5.1417974078091042E-3</v>
      </c>
      <c r="O11" s="26">
        <v>3.1E-2</v>
      </c>
      <c r="P11" s="10">
        <v>73.400000000000006</v>
      </c>
      <c r="Q11" s="9">
        <f t="shared" ref="Q11:Q33" si="16">LN(P11/P10)</f>
        <v>2.6226485920508108E-2</v>
      </c>
      <c r="R11" s="9"/>
      <c r="U11" s="10"/>
      <c r="V11" s="28"/>
      <c r="W11" s="28"/>
      <c r="X11" s="28"/>
      <c r="Y11" s="28"/>
      <c r="Z11" s="28"/>
      <c r="AA11" s="26"/>
      <c r="AB11" s="3">
        <f>+AB9*L11+AG10*L10+AG11</f>
        <v>140.02739488643434</v>
      </c>
      <c r="AC11" s="1">
        <f t="shared" ref="AC11:AC33" si="17">LN(AB11/AB10)</f>
        <v>3.7999574296102144E-2</v>
      </c>
      <c r="AD11" s="40">
        <v>331.80690398941999</v>
      </c>
      <c r="AE11" s="40">
        <v>102.30262432057998</v>
      </c>
      <c r="AF11" s="51">
        <v>73.400000000000006</v>
      </c>
      <c r="AG11" s="40">
        <f t="shared" ref="AG11:AG33" si="18">+(AD11+AE11)/AF11</f>
        <v>5.9142987508174381</v>
      </c>
      <c r="AH11" s="2"/>
      <c r="AI11" s="2"/>
      <c r="AJ11" s="29"/>
      <c r="AK11" s="29"/>
      <c r="AL11" s="29"/>
      <c r="AM11" s="29"/>
      <c r="AO11" s="22">
        <f t="shared" ref="AO11:AO31" si="19">+AO10+1</f>
        <v>2</v>
      </c>
      <c r="AP11" s="22">
        <f t="shared" si="4"/>
        <v>2000</v>
      </c>
      <c r="AQ11" s="22">
        <v>51</v>
      </c>
      <c r="AR11" s="22">
        <v>1</v>
      </c>
      <c r="AS11" s="25">
        <f t="shared" si="5"/>
        <v>1</v>
      </c>
      <c r="AT11" s="26">
        <f t="shared" ref="AT11:AT31" si="20">+(AS11-AS10)/AS10</f>
        <v>0</v>
      </c>
      <c r="AU11" s="3">
        <f t="shared" si="6"/>
        <v>43.528593648488837</v>
      </c>
      <c r="AV11" s="3">
        <v>1.3889113719142046</v>
      </c>
      <c r="AW11" s="1">
        <f t="shared" ref="AW11:AW31" si="21">LN(AU11/AU10)</f>
        <v>1.2225471449588625E-2</v>
      </c>
      <c r="AX11" s="3">
        <f t="shared" si="7"/>
        <v>0.85999351584846184</v>
      </c>
      <c r="AY11" s="3"/>
      <c r="AZ11" s="22">
        <f t="shared" ref="AZ11:AZ31" si="22">+AZ10+1</f>
        <v>2</v>
      </c>
      <c r="BA11" s="22">
        <f t="shared" si="8"/>
        <v>2000</v>
      </c>
      <c r="BB11" s="22">
        <v>51</v>
      </c>
      <c r="BC11" s="22">
        <v>0</v>
      </c>
      <c r="BD11" s="25">
        <f t="shared" si="9"/>
        <v>0.96078431372549022</v>
      </c>
      <c r="BE11" s="26">
        <f t="shared" ref="BE11:BE31" si="23">+(BD11-BD10)/BD10</f>
        <v>-1.9999999999999931E-2</v>
      </c>
      <c r="BF11" s="3">
        <f>+BF9*BD11+BG10*BD10+BG11</f>
        <v>32.592515089976061</v>
      </c>
      <c r="BG11" s="3">
        <v>1.3889113719142046</v>
      </c>
      <c r="BH11" s="1">
        <f t="shared" ref="BH11:BH31" si="24">LN(BF11/BF10)</f>
        <v>2.3373180008102699E-2</v>
      </c>
      <c r="BK11" s="22">
        <f t="shared" ref="BK11:BK31" si="25">+BK10+1</f>
        <v>2</v>
      </c>
      <c r="BL11" s="22">
        <f t="shared" si="10"/>
        <v>2000</v>
      </c>
      <c r="BM11" s="11">
        <v>3.5000000000000003E-2</v>
      </c>
      <c r="BN11" s="3">
        <f t="shared" ref="BN11:BN31" si="26">+BN10*(1-BM11)+BO11</f>
        <v>31.664026011602488</v>
      </c>
      <c r="BO11" s="3">
        <v>1.3889113719142046</v>
      </c>
      <c r="BP11" s="1">
        <f t="shared" ref="BP11:BP31" si="27">LN(BN11/BN10)</f>
        <v>9.2279566606087403E-3</v>
      </c>
      <c r="BQ11" s="1">
        <v>4.5900000000000003E-2</v>
      </c>
      <c r="BR11" s="3">
        <f t="shared" si="11"/>
        <v>31.006947788465077</v>
      </c>
      <c r="BS11" s="3">
        <v>1.3889113719142046</v>
      </c>
      <c r="BT11" s="1">
        <f t="shared" ref="BT11:BT31" si="28">LN(BR11/BR10)</f>
        <v>-1.1590037980125797E-3</v>
      </c>
      <c r="BU11" s="22">
        <f t="shared" ref="BU11:BU31" si="29">+BU10+1</f>
        <v>2000</v>
      </c>
      <c r="BV11" s="22"/>
      <c r="BW11" s="27">
        <f>145+88</f>
        <v>233</v>
      </c>
      <c r="BX11" s="10">
        <v>73.400000000000006</v>
      </c>
      <c r="BY11" s="11">
        <f t="shared" si="12"/>
        <v>2.6226485920508108E-2</v>
      </c>
      <c r="BZ11" s="3"/>
      <c r="CA11" s="1"/>
      <c r="CB11" s="3">
        <f>80+145</f>
        <v>225</v>
      </c>
      <c r="CE11">
        <v>18.87</v>
      </c>
      <c r="CG11" s="3"/>
      <c r="CH11" s="1"/>
      <c r="CI11" s="1"/>
      <c r="CJ11" s="1"/>
      <c r="CK11" s="3"/>
      <c r="CL11" s="1"/>
      <c r="CM11" s="3"/>
      <c r="CN11" s="1"/>
      <c r="CO11" s="1"/>
      <c r="CP11" s="11"/>
      <c r="CQ11" s="11"/>
      <c r="CR11" s="11"/>
      <c r="CS11" s="11"/>
      <c r="CU11" s="11"/>
      <c r="CV11" s="30"/>
      <c r="CW11" s="3"/>
      <c r="CX11" s="30"/>
      <c r="CY11" s="30"/>
      <c r="CZ11" s="30"/>
      <c r="DA11" s="30"/>
      <c r="DB11" s="30"/>
      <c r="DC11" s="30"/>
      <c r="DD11" s="30"/>
      <c r="DE11" s="30"/>
      <c r="DF11" s="30"/>
      <c r="DG11" s="7"/>
      <c r="DH11" s="7"/>
      <c r="DI11" s="7"/>
      <c r="DJ11" s="7"/>
      <c r="DK11" s="7"/>
      <c r="DL11" s="7"/>
      <c r="DM11" s="7"/>
      <c r="DN11" s="7"/>
    </row>
    <row r="12" spans="1:118" x14ac:dyDescent="0.3">
      <c r="A12" s="2" t="s">
        <v>74</v>
      </c>
      <c r="D12" s="2">
        <f>+D11+D10+D9+D8</f>
        <v>1590.1</v>
      </c>
      <c r="E12" s="2">
        <f t="shared" ref="E12:F12" si="30">+E11+E10+E9+E8</f>
        <v>418.6</v>
      </c>
      <c r="F12" s="2">
        <f t="shared" si="30"/>
        <v>1171.5</v>
      </c>
      <c r="G12" s="37"/>
      <c r="H12" s="22">
        <f t="shared" si="13"/>
        <v>3</v>
      </c>
      <c r="I12" s="22">
        <f t="shared" si="3"/>
        <v>2001</v>
      </c>
      <c r="J12" s="22">
        <v>51</v>
      </c>
      <c r="K12" s="22">
        <v>0.75</v>
      </c>
      <c r="L12" s="25">
        <f t="shared" si="1"/>
        <v>0.98461538461538467</v>
      </c>
      <c r="M12" s="26">
        <f t="shared" si="14"/>
        <v>-5.3375196232339E-3</v>
      </c>
      <c r="N12" s="26">
        <f t="shared" si="15"/>
        <v>5.3123970232440958E-3</v>
      </c>
      <c r="O12" s="26">
        <v>3.1E-2</v>
      </c>
      <c r="P12" s="10">
        <v>74.8</v>
      </c>
      <c r="Q12" s="9">
        <f t="shared" si="16"/>
        <v>1.8893949359961613E-2</v>
      </c>
      <c r="R12" s="9"/>
      <c r="U12" s="10"/>
      <c r="V12" s="28"/>
      <c r="W12" s="28"/>
      <c r="X12" s="28"/>
      <c r="Y12" s="28"/>
      <c r="Z12" s="28"/>
      <c r="AA12" s="26"/>
      <c r="AB12" s="3">
        <f>+AB9*L12+AG10*L11+AG11*L10+AG12</f>
        <v>145.37311264366167</v>
      </c>
      <c r="AC12" s="1">
        <f t="shared" si="17"/>
        <v>3.7465546852672782E-2</v>
      </c>
      <c r="AD12" s="40">
        <v>352.03199187994005</v>
      </c>
      <c r="AE12" s="40">
        <v>103.47000382006001</v>
      </c>
      <c r="AF12" s="51">
        <v>74.8</v>
      </c>
      <c r="AG12" s="40">
        <f t="shared" si="18"/>
        <v>6.0895988729946531</v>
      </c>
      <c r="AH12" s="2"/>
      <c r="AI12" s="2"/>
      <c r="AJ12" s="29"/>
      <c r="AK12" s="29"/>
      <c r="AL12" s="29"/>
      <c r="AM12" s="29"/>
      <c r="AO12" s="22">
        <f t="shared" si="19"/>
        <v>3</v>
      </c>
      <c r="AP12" s="22">
        <f t="shared" si="4"/>
        <v>2001</v>
      </c>
      <c r="AQ12" s="22">
        <v>51</v>
      </c>
      <c r="AR12" s="22">
        <v>1</v>
      </c>
      <c r="AS12" s="25">
        <f t="shared" si="5"/>
        <v>1</v>
      </c>
      <c r="AT12" s="26">
        <f t="shared" si="20"/>
        <v>0</v>
      </c>
      <c r="AU12" s="3">
        <f t="shared" si="6"/>
        <v>44.24345594918853</v>
      </c>
      <c r="AV12" s="3">
        <v>1.5854341736694677</v>
      </c>
      <c r="AW12" s="1">
        <f t="shared" si="21"/>
        <v>1.6289424959839267E-2</v>
      </c>
      <c r="AX12" s="3">
        <f t="shared" si="7"/>
        <v>0.87057187296977678</v>
      </c>
      <c r="AY12" s="3"/>
      <c r="AZ12" s="22">
        <f t="shared" si="22"/>
        <v>3</v>
      </c>
      <c r="BA12" s="22">
        <f t="shared" si="8"/>
        <v>2001</v>
      </c>
      <c r="BB12" s="22">
        <v>51</v>
      </c>
      <c r="BC12" s="22">
        <v>0</v>
      </c>
      <c r="BD12" s="25">
        <f t="shared" si="9"/>
        <v>0.94117647058823528</v>
      </c>
      <c r="BE12" s="26">
        <f t="shared" si="23"/>
        <v>-2.0408163265306166E-2</v>
      </c>
      <c r="BF12" s="3">
        <f>+BF9*BD12+BG10*BD11+BG11*BD10+BG12</f>
        <v>33.514761280031074</v>
      </c>
      <c r="BG12" s="3">
        <v>1.5854341736694677</v>
      </c>
      <c r="BH12" s="1">
        <f t="shared" si="24"/>
        <v>2.7903313460729846E-2</v>
      </c>
      <c r="BK12" s="22">
        <f t="shared" si="25"/>
        <v>3</v>
      </c>
      <c r="BL12" s="22">
        <f t="shared" si="10"/>
        <v>2001</v>
      </c>
      <c r="BM12" s="11">
        <v>3.5000000000000003E-2</v>
      </c>
      <c r="BN12" s="3">
        <f t="shared" si="26"/>
        <v>32.141219274865868</v>
      </c>
      <c r="BO12" s="3">
        <v>1.5854341736694677</v>
      </c>
      <c r="BP12" s="1">
        <f t="shared" si="27"/>
        <v>1.4958085609673034E-2</v>
      </c>
      <c r="BQ12" s="1">
        <v>4.5900000000000003E-2</v>
      </c>
      <c r="BR12" s="3">
        <f t="shared" si="11"/>
        <v>31.169163058643996</v>
      </c>
      <c r="BS12" s="3">
        <v>1.5854341736694677</v>
      </c>
      <c r="BT12" s="1">
        <f t="shared" si="28"/>
        <v>5.2179409750900702E-3</v>
      </c>
      <c r="BU12" s="22">
        <f t="shared" si="29"/>
        <v>2001</v>
      </c>
      <c r="BV12" s="22"/>
      <c r="BW12" s="27">
        <f>165+90</f>
        <v>255</v>
      </c>
      <c r="BX12" s="10">
        <v>74.8</v>
      </c>
      <c r="BY12" s="11">
        <f t="shared" si="12"/>
        <v>1.8893949359961613E-2</v>
      </c>
      <c r="BZ12" s="3"/>
      <c r="CA12" s="1"/>
      <c r="CB12" s="3">
        <f>78+146</f>
        <v>224</v>
      </c>
      <c r="CE12">
        <v>19.48</v>
      </c>
      <c r="CG12" s="3"/>
      <c r="CH12" s="1"/>
      <c r="CI12" s="1"/>
      <c r="CJ12" s="1"/>
      <c r="CK12" s="3"/>
      <c r="CL12" s="1"/>
      <c r="CM12" s="1"/>
      <c r="CN12" s="1"/>
      <c r="CO12" s="1"/>
      <c r="CP12" s="1"/>
      <c r="CQ12" s="1"/>
      <c r="CR12" s="1"/>
      <c r="CS12" s="1"/>
      <c r="CU12" s="1"/>
      <c r="CV12" s="1"/>
      <c r="CW12" s="3"/>
      <c r="CY12" s="6"/>
      <c r="CZ12" s="1"/>
      <c r="DC12" s="1"/>
      <c r="DD12" s="1"/>
      <c r="DE12" s="1"/>
      <c r="DF12" s="1"/>
    </row>
    <row r="13" spans="1:118" x14ac:dyDescent="0.3">
      <c r="D13" s="2"/>
      <c r="E13" s="2"/>
      <c r="F13" s="2"/>
      <c r="G13" s="37"/>
      <c r="H13" s="22">
        <f t="shared" si="13"/>
        <v>4</v>
      </c>
      <c r="I13" s="22">
        <f t="shared" si="3"/>
        <v>2002</v>
      </c>
      <c r="J13" s="22">
        <v>51</v>
      </c>
      <c r="K13" s="22">
        <v>0.75</v>
      </c>
      <c r="L13" s="25">
        <f t="shared" si="1"/>
        <v>0.97916666666666663</v>
      </c>
      <c r="M13" s="26">
        <f t="shared" si="14"/>
        <v>-5.5338541666667598E-3</v>
      </c>
      <c r="N13" s="26">
        <f t="shared" si="15"/>
        <v>5.4850428093144261E-3</v>
      </c>
      <c r="O13" s="26">
        <v>3.1E-2</v>
      </c>
      <c r="P13" s="10">
        <v>76.599999999999994</v>
      </c>
      <c r="Q13" s="9">
        <f t="shared" si="16"/>
        <v>2.3779191766113934E-2</v>
      </c>
      <c r="R13" s="9">
        <f>+(Q13+Q12+Q11)/3</f>
        <v>2.2966542348861221E-2</v>
      </c>
      <c r="U13" s="10"/>
      <c r="V13" s="28"/>
      <c r="W13" s="28"/>
      <c r="X13" s="28"/>
      <c r="Y13" s="28"/>
      <c r="Z13" s="28"/>
      <c r="AA13" s="26"/>
      <c r="AB13" s="3">
        <f>+AB9*L13+AG10*L12+AG11*L11+AG12*L10+AG13</f>
        <v>150.6372654704644</v>
      </c>
      <c r="AC13" s="1">
        <f t="shared" si="17"/>
        <v>3.5571103359116056E-2</v>
      </c>
      <c r="AD13" s="40">
        <v>371.42750594573999</v>
      </c>
      <c r="AE13" s="40">
        <v>92.885735944259977</v>
      </c>
      <c r="AF13" s="51">
        <v>76.599999999999994</v>
      </c>
      <c r="AG13" s="40">
        <f t="shared" si="18"/>
        <v>6.0615305729765012</v>
      </c>
      <c r="AH13" s="2"/>
      <c r="AI13" s="2"/>
      <c r="AJ13" s="29"/>
      <c r="AK13" s="29"/>
      <c r="AL13" s="29"/>
      <c r="AM13" s="29"/>
      <c r="AO13" s="22">
        <f t="shared" si="19"/>
        <v>4</v>
      </c>
      <c r="AP13" s="22">
        <f t="shared" si="4"/>
        <v>2002</v>
      </c>
      <c r="AQ13" s="22">
        <v>51</v>
      </c>
      <c r="AR13" s="22">
        <v>1</v>
      </c>
      <c r="AS13" s="25">
        <f t="shared" si="5"/>
        <v>1</v>
      </c>
      <c r="AT13" s="26">
        <f t="shared" si="20"/>
        <v>0</v>
      </c>
      <c r="AU13" s="3">
        <f t="shared" si="6"/>
        <v>45.059877264786088</v>
      </c>
      <c r="AV13" s="3">
        <v>1.7012904345813322</v>
      </c>
      <c r="AW13" s="1">
        <f t="shared" si="21"/>
        <v>1.8284738819471701E-2</v>
      </c>
      <c r="AX13" s="3">
        <f t="shared" si="7"/>
        <v>0.88486911898377063</v>
      </c>
      <c r="AY13" s="3"/>
      <c r="AZ13" s="22">
        <f t="shared" si="22"/>
        <v>4</v>
      </c>
      <c r="BA13" s="22">
        <f t="shared" si="8"/>
        <v>2002</v>
      </c>
      <c r="BB13" s="22">
        <v>51</v>
      </c>
      <c r="BC13" s="22">
        <v>0</v>
      </c>
      <c r="BD13" s="25">
        <f t="shared" si="9"/>
        <v>0.92156862745098034</v>
      </c>
      <c r="BE13" s="26">
        <f t="shared" si="23"/>
        <v>-2.0833333333333377E-2</v>
      </c>
      <c r="BF13" s="3">
        <f>+BF9*BD13+BG10*BD12+BG11*BD11+BG12*BD10+BG13</f>
        <v>34.52177678641619</v>
      </c>
      <c r="BG13" s="3">
        <v>1.7012904345813322</v>
      </c>
      <c r="BH13" s="1">
        <f t="shared" si="24"/>
        <v>2.9604359103147921E-2</v>
      </c>
      <c r="BK13" s="22">
        <f t="shared" si="25"/>
        <v>4</v>
      </c>
      <c r="BL13" s="22">
        <f t="shared" si="10"/>
        <v>2002</v>
      </c>
      <c r="BM13" s="11">
        <v>3.5000000000000003E-2</v>
      </c>
      <c r="BN13" s="3">
        <f t="shared" si="26"/>
        <v>32.717567034826892</v>
      </c>
      <c r="BO13" s="3">
        <v>1.7012904345813322</v>
      </c>
      <c r="BP13" s="1">
        <f t="shared" si="27"/>
        <v>1.7772855885851244E-2</v>
      </c>
      <c r="BQ13" s="1">
        <v>4.5900000000000003E-2</v>
      </c>
      <c r="BR13" s="3">
        <f t="shared" si="11"/>
        <v>31.439788908833567</v>
      </c>
      <c r="BS13" s="3">
        <v>1.7012904345813322</v>
      </c>
      <c r="BT13" s="1">
        <f t="shared" si="28"/>
        <v>8.6450108856846505E-3</v>
      </c>
      <c r="BU13" s="22">
        <f t="shared" si="29"/>
        <v>2002</v>
      </c>
      <c r="BV13" s="10">
        <f t="shared" ref="BV13:BV33" si="31">+(BW13+CB13)*1000000/CI13</f>
        <v>183.07922377344258</v>
      </c>
      <c r="BW13" s="27">
        <f>154+111</f>
        <v>265</v>
      </c>
      <c r="BX13" s="10">
        <v>76.599999999999994</v>
      </c>
      <c r="BY13" s="11">
        <f t="shared" si="12"/>
        <v>2.3779191766113934E-2</v>
      </c>
      <c r="BZ13" s="3">
        <f>+BW13*10/BX13</f>
        <v>34.595300261096611</v>
      </c>
      <c r="CA13" s="1"/>
      <c r="CB13" s="3">
        <f>83+151</f>
        <v>234</v>
      </c>
      <c r="CC13" s="31">
        <v>711.29</v>
      </c>
      <c r="CD13" s="31"/>
      <c r="CE13">
        <v>19.93</v>
      </c>
      <c r="CF13" s="31"/>
      <c r="CG13" s="3">
        <f t="shared" ref="CG13:CG33" si="32">+(CB13*100)/CE13</f>
        <v>1174.1093828399398</v>
      </c>
      <c r="CH13" s="1"/>
      <c r="CI13" s="6">
        <v>2725596</v>
      </c>
      <c r="CJ13" s="1"/>
      <c r="CK13" s="3"/>
      <c r="CL13" s="1"/>
      <c r="CM13" s="1"/>
      <c r="CN13" s="3"/>
      <c r="CO13" s="3"/>
      <c r="CP13" s="1"/>
      <c r="CQ13" s="1"/>
      <c r="CR13" s="1"/>
      <c r="CS13" s="1"/>
      <c r="CU13" s="1"/>
      <c r="CV13" s="1"/>
      <c r="CW13" s="3"/>
      <c r="CY13" s="6"/>
      <c r="CZ13" s="1"/>
      <c r="DC13" s="1"/>
      <c r="DD13" s="1"/>
      <c r="DE13" s="1"/>
      <c r="DF13" s="1"/>
      <c r="DI13" s="3"/>
    </row>
    <row r="14" spans="1:118" x14ac:dyDescent="0.3">
      <c r="A14" s="2" t="s">
        <v>70</v>
      </c>
      <c r="D14" s="29">
        <f>+D7/(D7+D12)</f>
        <v>0.76193613103169489</v>
      </c>
      <c r="E14" s="29">
        <f t="shared" ref="E14:F14" si="33">+E7/(E7+E12)</f>
        <v>0.76314151530583374</v>
      </c>
      <c r="F14" s="29">
        <f t="shared" si="33"/>
        <v>0.76150244299674275</v>
      </c>
      <c r="G14" s="37"/>
      <c r="H14" s="22">
        <f t="shared" si="13"/>
        <v>5</v>
      </c>
      <c r="I14" s="22">
        <f t="shared" si="3"/>
        <v>2003</v>
      </c>
      <c r="J14" s="22">
        <v>51</v>
      </c>
      <c r="K14" s="22">
        <v>0.75</v>
      </c>
      <c r="L14" s="25">
        <f t="shared" si="1"/>
        <v>0.97354497354497349</v>
      </c>
      <c r="M14" s="26">
        <f t="shared" si="14"/>
        <v>-5.7413036136440571E-3</v>
      </c>
      <c r="N14" s="26">
        <f t="shared" si="15"/>
        <v>5.6609856553118398E-3</v>
      </c>
      <c r="O14" s="26">
        <v>3.1E-2</v>
      </c>
      <c r="P14" s="10">
        <v>77.8</v>
      </c>
      <c r="Q14" s="9">
        <f t="shared" si="16"/>
        <v>1.5544354437800379E-2</v>
      </c>
      <c r="R14" s="9">
        <f t="shared" ref="R14:R33" si="34">+(Q14+Q13+Q12)/3</f>
        <v>1.940583185462531E-2</v>
      </c>
      <c r="S14" s="31"/>
      <c r="T14" s="31"/>
      <c r="U14" s="11"/>
      <c r="V14" s="28"/>
      <c r="W14" s="28"/>
      <c r="X14" s="28"/>
      <c r="Y14" s="28"/>
      <c r="Z14" s="28"/>
      <c r="AA14" s="26"/>
      <c r="AB14" s="3">
        <f>+AB9*L14+AG10*L13+AG11*L12+AG12*L11+AG13*L10+AG14</f>
        <v>154.79723830194342</v>
      </c>
      <c r="AC14" s="1">
        <f t="shared" si="17"/>
        <v>2.7241389130819572E-2</v>
      </c>
      <c r="AD14" s="40">
        <v>349.44011070357999</v>
      </c>
      <c r="AE14" s="40">
        <v>40.55014562641999</v>
      </c>
      <c r="AF14" s="51">
        <v>77.8</v>
      </c>
      <c r="AG14" s="40">
        <f t="shared" si="18"/>
        <v>5.0127282304627245</v>
      </c>
      <c r="AH14" s="2"/>
      <c r="AI14" s="2"/>
      <c r="AJ14" s="29"/>
      <c r="AK14" s="29"/>
      <c r="AL14" s="29"/>
      <c r="AM14" s="29"/>
      <c r="AO14" s="22">
        <f t="shared" si="19"/>
        <v>5</v>
      </c>
      <c r="AP14" s="22">
        <f t="shared" si="4"/>
        <v>2003</v>
      </c>
      <c r="AQ14" s="22">
        <v>51</v>
      </c>
      <c r="AR14" s="22">
        <v>1</v>
      </c>
      <c r="AS14" s="25">
        <f t="shared" si="5"/>
        <v>1</v>
      </c>
      <c r="AT14" s="26">
        <f t="shared" si="20"/>
        <v>0</v>
      </c>
      <c r="AU14" s="3">
        <f t="shared" si="6"/>
        <v>45.821399937017134</v>
      </c>
      <c r="AV14" s="3">
        <v>1.6627202175267661</v>
      </c>
      <c r="AW14" s="1">
        <f t="shared" si="21"/>
        <v>1.6759018344179817E-2</v>
      </c>
      <c r="AX14" s="3">
        <f t="shared" si="7"/>
        <v>0.90119754529572182</v>
      </c>
      <c r="AY14" s="3"/>
      <c r="AZ14" s="22">
        <f t="shared" si="22"/>
        <v>5</v>
      </c>
      <c r="BA14" s="22">
        <f t="shared" si="8"/>
        <v>2003</v>
      </c>
      <c r="BB14" s="22">
        <v>51</v>
      </c>
      <c r="BC14" s="22">
        <v>0</v>
      </c>
      <c r="BD14" s="25">
        <f t="shared" si="9"/>
        <v>0.90196078431372551</v>
      </c>
      <c r="BE14" s="26">
        <f t="shared" si="23"/>
        <v>-2.1276595744680778E-2</v>
      </c>
      <c r="BF14" s="3">
        <f>+BF9*BD14+BG10*BD13+BG11*BD12+BG12*BD11+BG13*BD10+BG14</f>
        <v>35.456863439774565</v>
      </c>
      <c r="BG14" s="3">
        <v>1.6627202175267661</v>
      </c>
      <c r="BH14" s="1">
        <f t="shared" si="24"/>
        <v>2.6726507150983347E-2</v>
      </c>
      <c r="BK14" s="22">
        <f t="shared" si="25"/>
        <v>5</v>
      </c>
      <c r="BL14" s="22">
        <f t="shared" si="10"/>
        <v>2003</v>
      </c>
      <c r="BM14" s="11">
        <v>3.5000000000000003E-2</v>
      </c>
      <c r="BN14" s="3">
        <f t="shared" si="26"/>
        <v>33.235172406134716</v>
      </c>
      <c r="BO14" s="3">
        <v>1.6627202175267661</v>
      </c>
      <c r="BP14" s="1">
        <f t="shared" si="27"/>
        <v>1.5696573123617965E-2</v>
      </c>
      <c r="BQ14" s="1">
        <v>4.5900000000000003E-2</v>
      </c>
      <c r="BR14" s="3">
        <f t="shared" si="11"/>
        <v>31.65942281544487</v>
      </c>
      <c r="BS14" s="3">
        <v>1.6627202175267661</v>
      </c>
      <c r="BT14" s="1">
        <f t="shared" si="28"/>
        <v>6.9615701251084967E-3</v>
      </c>
      <c r="BU14" s="22">
        <f t="shared" si="29"/>
        <v>2003</v>
      </c>
      <c r="BV14" s="10">
        <f t="shared" si="31"/>
        <v>189.6200657236692</v>
      </c>
      <c r="BW14" s="27">
        <f>174+113</f>
        <v>287</v>
      </c>
      <c r="BX14" s="10">
        <v>77.8</v>
      </c>
      <c r="BY14" s="11">
        <f t="shared" si="12"/>
        <v>1.5544354437800379E-2</v>
      </c>
      <c r="BZ14" s="3">
        <f t="shared" ref="BZ14:BZ33" si="35">+BW14*10/BX14</f>
        <v>36.889460154241647</v>
      </c>
      <c r="CA14" s="1">
        <f>LN(BZ14/BZ13)</f>
        <v>6.4208035335598504E-2</v>
      </c>
      <c r="CB14" s="3">
        <f>95+150</f>
        <v>245</v>
      </c>
      <c r="CC14" s="31">
        <v>728.71</v>
      </c>
      <c r="CD14" s="32">
        <f>+CC14/CC13-1</f>
        <v>2.4490714054745677E-2</v>
      </c>
      <c r="CE14" s="31">
        <v>20.309999999999999</v>
      </c>
      <c r="CF14" s="31"/>
      <c r="CG14" s="3">
        <f t="shared" si="32"/>
        <v>1206.30231413097</v>
      </c>
      <c r="CH14" s="1">
        <f>LN(CG14/CG13)</f>
        <v>2.7049853819435667E-2</v>
      </c>
      <c r="CI14" s="6">
        <v>2805610.25</v>
      </c>
      <c r="CJ14" s="1">
        <f>LN(CI14/CI13)</f>
        <v>2.8933953447859793E-2</v>
      </c>
      <c r="CK14" s="3">
        <v>100</v>
      </c>
      <c r="CL14" s="1"/>
      <c r="CM14" s="1">
        <f>+CJ14-CL14</f>
        <v>2.8933953447859793E-2</v>
      </c>
      <c r="CN14" s="3"/>
      <c r="CO14" s="3"/>
      <c r="CP14" s="3"/>
      <c r="CQ14" s="3"/>
      <c r="CR14" s="3"/>
      <c r="CS14" s="3" t="e">
        <f>+#REF!/CN14</f>
        <v>#REF!</v>
      </c>
      <c r="CU14" s="1"/>
      <c r="CV14" s="1"/>
      <c r="CW14" s="3"/>
      <c r="CY14" s="6"/>
      <c r="CZ14" s="1"/>
      <c r="DC14" s="1"/>
      <c r="DD14" s="1"/>
      <c r="DE14" s="1"/>
      <c r="DF14" s="1"/>
      <c r="DI14" s="5"/>
      <c r="DJ14" s="1"/>
    </row>
    <row r="15" spans="1:118" x14ac:dyDescent="0.3">
      <c r="A15" s="2"/>
      <c r="D15" s="2"/>
      <c r="E15" s="2"/>
      <c r="F15" s="2"/>
      <c r="G15" s="37"/>
      <c r="H15" s="22">
        <f t="shared" si="13"/>
        <v>6</v>
      </c>
      <c r="I15" s="22">
        <f t="shared" si="3"/>
        <v>2004</v>
      </c>
      <c r="J15" s="22">
        <v>51</v>
      </c>
      <c r="K15" s="22">
        <v>0.75</v>
      </c>
      <c r="L15" s="25">
        <f t="shared" si="1"/>
        <v>0.967741935483871</v>
      </c>
      <c r="M15" s="26">
        <f t="shared" si="14"/>
        <v>-5.9607293127628891E-3</v>
      </c>
      <c r="N15" s="26">
        <f t="shared" si="15"/>
        <v>5.8466477958466212E-3</v>
      </c>
      <c r="O15" s="26">
        <v>3.1E-2</v>
      </c>
      <c r="P15" s="10">
        <v>79.2</v>
      </c>
      <c r="Q15" s="9">
        <f t="shared" si="16"/>
        <v>1.783486763603432E-2</v>
      </c>
      <c r="R15" s="9">
        <f t="shared" si="34"/>
        <v>1.9052804613316213E-2</v>
      </c>
      <c r="S15" s="31"/>
      <c r="T15" s="32"/>
      <c r="U15" s="11"/>
      <c r="V15" s="28"/>
      <c r="W15" s="28"/>
      <c r="X15" s="28"/>
      <c r="Y15" s="28"/>
      <c r="Z15" s="28"/>
      <c r="AA15" s="26"/>
      <c r="AB15" s="3">
        <f>+AB9*L15+AG10*L14+AG11*L13+AG12*L12+AG13*L11+AG14*L10+AG15</f>
        <v>159.04220940568081</v>
      </c>
      <c r="AC15" s="1">
        <f t="shared" si="17"/>
        <v>2.7053514380341835E-2</v>
      </c>
      <c r="AD15" s="40">
        <v>363.84037332404</v>
      </c>
      <c r="AE15" s="40">
        <v>44.040896715960045</v>
      </c>
      <c r="AF15" s="51">
        <v>79.2</v>
      </c>
      <c r="AG15" s="40">
        <f t="shared" si="18"/>
        <v>5.1500160358585862</v>
      </c>
      <c r="AH15" s="2"/>
      <c r="AI15" s="2"/>
      <c r="AJ15" s="29"/>
      <c r="AK15" s="29"/>
      <c r="AL15" s="29"/>
      <c r="AM15" s="29"/>
      <c r="AO15" s="22">
        <f t="shared" si="19"/>
        <v>6</v>
      </c>
      <c r="AP15" s="22">
        <f t="shared" si="4"/>
        <v>2004</v>
      </c>
      <c r="AQ15" s="22">
        <v>51</v>
      </c>
      <c r="AR15" s="22">
        <v>1</v>
      </c>
      <c r="AS15" s="25">
        <f t="shared" si="5"/>
        <v>1</v>
      </c>
      <c r="AT15" s="26">
        <f t="shared" si="20"/>
        <v>0</v>
      </c>
      <c r="AU15" s="3">
        <f t="shared" si="6"/>
        <v>46.530610582029688</v>
      </c>
      <c r="AV15" s="3">
        <v>1.6256386437529029</v>
      </c>
      <c r="AW15" s="1">
        <f t="shared" si="21"/>
        <v>1.5359158573650821E-2</v>
      </c>
      <c r="AX15" s="3">
        <f t="shared" si="7"/>
        <v>0.91642799874034264</v>
      </c>
      <c r="AY15" s="3"/>
      <c r="AZ15" s="22">
        <f t="shared" si="22"/>
        <v>6</v>
      </c>
      <c r="BA15" s="22">
        <f t="shared" si="8"/>
        <v>2004</v>
      </c>
      <c r="BB15" s="22">
        <v>51</v>
      </c>
      <c r="BC15" s="22">
        <v>0</v>
      </c>
      <c r="BD15" s="25">
        <f t="shared" si="9"/>
        <v>0.88235294117647056</v>
      </c>
      <c r="BE15" s="26">
        <f t="shared" si="23"/>
        <v>-2.1739130434782653E-2</v>
      </c>
      <c r="BF15" s="3">
        <f>+BF9*BD15+BG10*BD14+BG11*BD13+BG12*BD12+BG13*BD11+BG14*BD10+BG15</f>
        <v>36.322266162152665</v>
      </c>
      <c r="BG15" s="3">
        <v>1.6256386437529029</v>
      </c>
      <c r="BH15" s="1">
        <f t="shared" si="24"/>
        <v>2.4114102860276359E-2</v>
      </c>
      <c r="BK15" s="22">
        <f t="shared" si="25"/>
        <v>6</v>
      </c>
      <c r="BL15" s="22">
        <f t="shared" si="10"/>
        <v>2004</v>
      </c>
      <c r="BM15" s="11">
        <v>3.5000000000000003E-2</v>
      </c>
      <c r="BN15" s="3">
        <f t="shared" si="26"/>
        <v>33.697580015672898</v>
      </c>
      <c r="BO15" s="3">
        <v>1.6256386437529029</v>
      </c>
      <c r="BP15" s="1">
        <f t="shared" si="27"/>
        <v>1.3817300188713263E-2</v>
      </c>
      <c r="BQ15" s="1">
        <v>4.5900000000000003E-2</v>
      </c>
      <c r="BR15" s="3">
        <f t="shared" si="11"/>
        <v>31.831893951968851</v>
      </c>
      <c r="BS15" s="3">
        <v>1.6256386437529029</v>
      </c>
      <c r="BT15" s="1">
        <f t="shared" si="28"/>
        <v>5.4329180598251259E-3</v>
      </c>
      <c r="BU15" s="22">
        <f t="shared" si="29"/>
        <v>2004</v>
      </c>
      <c r="BV15" s="10">
        <f t="shared" si="31"/>
        <v>197.17141036496142</v>
      </c>
      <c r="BW15" s="27">
        <f>189+136</f>
        <v>325</v>
      </c>
      <c r="BX15" s="10">
        <v>79.2</v>
      </c>
      <c r="BY15" s="11">
        <f t="shared" si="12"/>
        <v>1.783486763603432E-2</v>
      </c>
      <c r="BZ15" s="3">
        <f t="shared" si="35"/>
        <v>41.035353535353536</v>
      </c>
      <c r="CA15" s="1">
        <f t="shared" ref="CA15:CA33" si="36">LN(BZ15/BZ14)</f>
        <v>0.10650809893408207</v>
      </c>
      <c r="CB15" s="3">
        <f>103+141</f>
        <v>244</v>
      </c>
      <c r="CC15" s="31">
        <v>748.49</v>
      </c>
      <c r="CD15" s="32">
        <f t="shared" ref="CD15:CD31" si="37">+CC15/CC14-1</f>
        <v>2.7143856952697165E-2</v>
      </c>
      <c r="CE15" s="31">
        <v>20.83</v>
      </c>
      <c r="CG15" s="3">
        <f t="shared" si="32"/>
        <v>1171.3874219875181</v>
      </c>
      <c r="CH15" s="1">
        <f t="shared" ref="CH15:CH33" si="38">LN(CG15/CG14)</f>
        <v>-2.9370864932112384E-2</v>
      </c>
      <c r="CI15" s="6">
        <v>2885813.916666667</v>
      </c>
      <c r="CJ15" s="1">
        <f t="shared" ref="CJ15:CL31" si="39">LN(CI15/CI14)</f>
        <v>2.8185907088781149E-2</v>
      </c>
      <c r="CK15" s="3">
        <f t="shared" ref="CK15:CK33" si="40">+CK14*EXP((((AK15+AK14)/2)*CH15)+(((AL15+AL14)/2)*CA15)+(((AM15+AM14)/2)*AC15))</f>
        <v>100</v>
      </c>
      <c r="CL15" s="1">
        <f t="shared" si="39"/>
        <v>0</v>
      </c>
      <c r="CM15" s="1">
        <f t="shared" ref="CM15:CM33" si="41">+CJ15-CL15</f>
        <v>2.8185907088781149E-2</v>
      </c>
      <c r="CN15" s="3"/>
      <c r="CO15" s="3"/>
      <c r="CP15" s="3"/>
      <c r="CQ15" s="3"/>
      <c r="CR15" s="3"/>
      <c r="CS15" s="3" t="e">
        <f>+#REF!/CN15</f>
        <v>#REF!</v>
      </c>
      <c r="CV15" s="1"/>
      <c r="CW15" s="3"/>
      <c r="CY15" s="6"/>
      <c r="CZ15" s="1"/>
      <c r="DC15" s="1"/>
      <c r="DD15" s="1"/>
      <c r="DE15" s="1"/>
      <c r="DF15" s="1"/>
      <c r="DI15" s="5"/>
      <c r="DJ15" s="1"/>
    </row>
    <row r="16" spans="1:118" x14ac:dyDescent="0.3">
      <c r="A16" s="2" t="s">
        <v>71</v>
      </c>
      <c r="D16" s="2">
        <v>1107.7</v>
      </c>
      <c r="E16" s="2">
        <f>+D16-F16</f>
        <v>377.6</v>
      </c>
      <c r="F16" s="2">
        <v>730.1</v>
      </c>
      <c r="G16" s="37"/>
      <c r="H16" s="22">
        <f t="shared" si="13"/>
        <v>7</v>
      </c>
      <c r="I16" s="22">
        <f t="shared" si="3"/>
        <v>2005</v>
      </c>
      <c r="J16" s="22">
        <v>51</v>
      </c>
      <c r="K16" s="22">
        <v>0.75</v>
      </c>
      <c r="L16" s="25">
        <f t="shared" si="1"/>
        <v>0.96174863387978138</v>
      </c>
      <c r="M16" s="26">
        <f t="shared" si="14"/>
        <v>-6.1930783242259389E-3</v>
      </c>
      <c r="N16" s="26">
        <f t="shared" si="15"/>
        <v>6.0368301326477946E-3</v>
      </c>
      <c r="O16" s="26">
        <v>3.1E-2</v>
      </c>
      <c r="P16" s="10">
        <v>80.8</v>
      </c>
      <c r="Q16" s="9">
        <f t="shared" si="16"/>
        <v>2.0000666706669435E-2</v>
      </c>
      <c r="R16" s="9">
        <f t="shared" si="34"/>
        <v>1.7793296260168043E-2</v>
      </c>
      <c r="S16" s="31"/>
      <c r="T16" s="32"/>
      <c r="U16" s="11"/>
      <c r="V16" s="28"/>
      <c r="W16" s="28"/>
      <c r="X16" s="28"/>
      <c r="Y16" s="28"/>
      <c r="Z16" s="28"/>
      <c r="AA16" s="28"/>
      <c r="AB16" s="3">
        <f>+AB9*L16+AG10*L15+AG11*L14+AG12*L13+AG13*L12+AG14*L11+AG15*L10+AG16</f>
        <v>164.44529189800841</v>
      </c>
      <c r="AC16" s="1">
        <f t="shared" si="17"/>
        <v>3.3408307892393255E-2</v>
      </c>
      <c r="AD16" s="40">
        <v>466.58902514968003</v>
      </c>
      <c r="AE16" s="40">
        <v>47.556993040319924</v>
      </c>
      <c r="AF16" s="51">
        <v>80.8</v>
      </c>
      <c r="AG16" s="40">
        <f t="shared" si="18"/>
        <v>6.363193294430693</v>
      </c>
      <c r="AH16" s="2"/>
      <c r="AI16" s="2"/>
      <c r="AJ16" s="29"/>
      <c r="AK16" s="29"/>
      <c r="AL16" s="29"/>
      <c r="AM16" s="29"/>
      <c r="AO16" s="22">
        <f t="shared" si="19"/>
        <v>7</v>
      </c>
      <c r="AP16" s="22">
        <f t="shared" si="4"/>
        <v>2005</v>
      </c>
      <c r="AQ16" s="22">
        <v>51</v>
      </c>
      <c r="AR16" s="22">
        <v>1</v>
      </c>
      <c r="AS16" s="25">
        <f t="shared" si="5"/>
        <v>1</v>
      </c>
      <c r="AT16" s="26">
        <f t="shared" si="20"/>
        <v>0</v>
      </c>
      <c r="AU16" s="3">
        <f t="shared" si="6"/>
        <v>47.54564146273686</v>
      </c>
      <c r="AV16" s="3">
        <v>1.9456430923477661</v>
      </c>
      <c r="AW16" s="1">
        <f t="shared" si="21"/>
        <v>2.1579734496680446E-2</v>
      </c>
      <c r="AX16" s="3">
        <f t="shared" si="7"/>
        <v>0.93061221164059382</v>
      </c>
      <c r="AY16" s="3"/>
      <c r="AZ16" s="22">
        <f t="shared" si="22"/>
        <v>7</v>
      </c>
      <c r="BA16" s="22">
        <f t="shared" si="8"/>
        <v>2005</v>
      </c>
      <c r="BB16" s="22">
        <v>51</v>
      </c>
      <c r="BC16" s="22">
        <v>0</v>
      </c>
      <c r="BD16" s="25">
        <f t="shared" si="9"/>
        <v>0.86274509803921573</v>
      </c>
      <c r="BE16" s="26">
        <f t="shared" si="23"/>
        <v>-2.2222222222222143E-2</v>
      </c>
      <c r="BF16" s="3">
        <f>+BF9*BD16+BG10*BD15+BG11*BD14+BG12*BD13+BG13*BD12+BG14*BD11+BG15*BD10+BG16</f>
        <v>37.475798065601069</v>
      </c>
      <c r="BG16" s="3">
        <v>1.9456430923477661</v>
      </c>
      <c r="BH16" s="1">
        <f t="shared" si="24"/>
        <v>3.1264393589521218E-2</v>
      </c>
      <c r="BK16" s="22">
        <f t="shared" si="25"/>
        <v>7</v>
      </c>
      <c r="BL16" s="22">
        <f t="shared" si="10"/>
        <v>2005</v>
      </c>
      <c r="BM16" s="11">
        <v>3.5000000000000003E-2</v>
      </c>
      <c r="BN16" s="3">
        <f t="shared" si="26"/>
        <v>34.463807807472108</v>
      </c>
      <c r="BO16" s="3">
        <v>1.9456430923477661</v>
      </c>
      <c r="BP16" s="1">
        <f t="shared" si="27"/>
        <v>2.2483699185508212E-2</v>
      </c>
      <c r="BQ16" s="1">
        <v>4.5900000000000003E-2</v>
      </c>
      <c r="BR16" s="3">
        <f t="shared" si="11"/>
        <v>32.316453111921248</v>
      </c>
      <c r="BS16" s="3">
        <v>1.9456430923477661</v>
      </c>
      <c r="BT16" s="1">
        <f t="shared" si="28"/>
        <v>1.5107743178716222E-2</v>
      </c>
      <c r="BU16" s="22">
        <f t="shared" si="29"/>
        <v>2005</v>
      </c>
      <c r="BV16" s="10">
        <f t="shared" si="31"/>
        <v>186.88140780851134</v>
      </c>
      <c r="BW16" s="27">
        <f>166+127</f>
        <v>293</v>
      </c>
      <c r="BX16" s="10">
        <v>80.8</v>
      </c>
      <c r="BY16" s="11">
        <f t="shared" si="12"/>
        <v>2.0000666706669435E-2</v>
      </c>
      <c r="BZ16" s="3">
        <f t="shared" si="35"/>
        <v>36.262376237623762</v>
      </c>
      <c r="CA16" s="1">
        <f t="shared" si="36"/>
        <v>-0.12365324001933979</v>
      </c>
      <c r="CB16" s="3">
        <f>115+147</f>
        <v>262</v>
      </c>
      <c r="CC16" s="31">
        <v>776.33</v>
      </c>
      <c r="CD16" s="32">
        <f t="shared" si="37"/>
        <v>3.719488570321583E-2</v>
      </c>
      <c r="CE16">
        <v>21.49</v>
      </c>
      <c r="CF16" s="31"/>
      <c r="CG16" s="3">
        <f t="shared" si="32"/>
        <v>1219.1717077710564</v>
      </c>
      <c r="CH16" s="1">
        <f t="shared" si="38"/>
        <v>3.9982823086356485E-2</v>
      </c>
      <c r="CI16" s="6">
        <v>2969797.833333333</v>
      </c>
      <c r="CJ16" s="1">
        <f t="shared" si="39"/>
        <v>2.8686900579623004E-2</v>
      </c>
      <c r="CK16" s="3">
        <f t="shared" si="40"/>
        <v>100</v>
      </c>
      <c r="CL16" s="1">
        <f t="shared" si="39"/>
        <v>0</v>
      </c>
      <c r="CM16" s="1">
        <f t="shared" si="41"/>
        <v>2.8686900579623004E-2</v>
      </c>
      <c r="CN16" s="3"/>
      <c r="CO16" s="3"/>
      <c r="CP16" s="3"/>
      <c r="CQ16" s="3"/>
      <c r="CR16" s="3"/>
      <c r="CS16" s="3" t="e">
        <f>+#REF!/CN16</f>
        <v>#REF!</v>
      </c>
      <c r="CV16" s="1"/>
      <c r="CW16" s="3"/>
      <c r="CY16" s="6"/>
      <c r="CZ16" s="1"/>
      <c r="DC16" s="1"/>
      <c r="DD16" s="1"/>
      <c r="DE16" s="1"/>
      <c r="DF16" s="1"/>
      <c r="DI16" s="5"/>
      <c r="DJ16" s="1"/>
    </row>
    <row r="17" spans="1:114" x14ac:dyDescent="0.3">
      <c r="A17" s="2" t="s">
        <v>30</v>
      </c>
      <c r="B17" s="2"/>
      <c r="D17" s="2">
        <v>849.4</v>
      </c>
      <c r="E17" s="2">
        <f>+D17-F17</f>
        <v>237.89999999999998</v>
      </c>
      <c r="F17">
        <v>611.5</v>
      </c>
      <c r="G17" s="37"/>
      <c r="H17" s="22">
        <f t="shared" si="13"/>
        <v>8</v>
      </c>
      <c r="I17" s="22">
        <f t="shared" si="3"/>
        <v>2006</v>
      </c>
      <c r="J17" s="22">
        <v>51</v>
      </c>
      <c r="K17" s="22">
        <v>0.75</v>
      </c>
      <c r="L17" s="25">
        <f t="shared" si="1"/>
        <v>0.9555555555555556</v>
      </c>
      <c r="M17" s="26">
        <f t="shared" si="14"/>
        <v>-6.4393939393938464E-3</v>
      </c>
      <c r="N17" s="26">
        <f t="shared" si="15"/>
        <v>6.2236500917013408E-3</v>
      </c>
      <c r="O17" s="26">
        <v>3.1E-2</v>
      </c>
      <c r="P17" s="10">
        <v>82.7</v>
      </c>
      <c r="Q17" s="9">
        <f t="shared" si="16"/>
        <v>2.3242636502596063E-2</v>
      </c>
      <c r="R17" s="9">
        <f t="shared" si="34"/>
        <v>2.0359390281766605E-2</v>
      </c>
      <c r="S17" s="31"/>
      <c r="T17" s="32"/>
      <c r="U17" s="11"/>
      <c r="V17" s="28">
        <v>0.36120000000000002</v>
      </c>
      <c r="W17" s="28">
        <v>0.375</v>
      </c>
      <c r="X17" s="28">
        <f t="shared" ref="X17:X32" si="42">1-(V17*W17)</f>
        <v>0.86454999999999993</v>
      </c>
      <c r="Y17" s="28">
        <f>+(1-V17)</f>
        <v>0.63880000000000003</v>
      </c>
      <c r="Z17" s="28">
        <f t="shared" ref="Z17:Z33" si="43">+(AF17*(O17-N17)-R17)*(X17/Y17)</f>
        <v>2.7455617034050719</v>
      </c>
      <c r="AA17" s="11"/>
      <c r="AB17" s="3">
        <f>+AB9*L17+AG10*L16+AG11*L15+AG12*L14+L13*AG13+L12*AG14+L11*AG15+L10*AG16+AG17</f>
        <v>172.03387716244282</v>
      </c>
      <c r="AC17" s="1">
        <f t="shared" si="17"/>
        <v>4.5113474823593479E-2</v>
      </c>
      <c r="AD17" s="40">
        <v>488.45153374340003</v>
      </c>
      <c r="AE17" s="40">
        <v>223.7637789865999</v>
      </c>
      <c r="AF17" s="51">
        <v>82.7</v>
      </c>
      <c r="AG17" s="40">
        <f t="shared" si="18"/>
        <v>8.6120352204353079</v>
      </c>
      <c r="AH17" s="2">
        <f t="shared" ref="AH17:AH33" si="44">+Z17*AB17</f>
        <v>472.32962482549539</v>
      </c>
      <c r="AI17" s="2">
        <f t="shared" ref="AI17:AI33" si="45">+AH17+BW17+CB17</f>
        <v>1054.3296248254953</v>
      </c>
      <c r="AJ17" s="29"/>
      <c r="AK17" s="29">
        <f t="shared" ref="AK17:AK33" si="46">+CB17/AI17</f>
        <v>0.25798383503168604</v>
      </c>
      <c r="AL17" s="29">
        <f t="shared" ref="AL17:AL33" si="47">+BW17/AI17</f>
        <v>0.29402569433758335</v>
      </c>
      <c r="AM17" s="29">
        <f t="shared" ref="AM17:AM33" si="48">+AH17/AI17</f>
        <v>0.44799047063073072</v>
      </c>
      <c r="AO17" s="22">
        <f t="shared" si="19"/>
        <v>8</v>
      </c>
      <c r="AP17" s="22">
        <f t="shared" si="4"/>
        <v>2006</v>
      </c>
      <c r="AQ17" s="22">
        <v>51</v>
      </c>
      <c r="AR17" s="22">
        <v>1</v>
      </c>
      <c r="AS17" s="25">
        <f t="shared" si="5"/>
        <v>1</v>
      </c>
      <c r="AT17" s="26">
        <f t="shared" si="20"/>
        <v>0</v>
      </c>
      <c r="AU17" s="3">
        <f t="shared" si="6"/>
        <v>48.497174423856151</v>
      </c>
      <c r="AV17" s="3">
        <v>1.9024457903740346</v>
      </c>
      <c r="AW17" s="1">
        <f t="shared" si="21"/>
        <v>1.9815414346904939E-2</v>
      </c>
      <c r="AX17" s="3">
        <f t="shared" si="7"/>
        <v>0.95091282925473719</v>
      </c>
      <c r="AY17" s="3"/>
      <c r="AZ17" s="22">
        <f t="shared" si="22"/>
        <v>8</v>
      </c>
      <c r="BA17" s="22">
        <f t="shared" si="8"/>
        <v>2006</v>
      </c>
      <c r="BB17" s="22">
        <v>51</v>
      </c>
      <c r="BC17" s="22">
        <v>0</v>
      </c>
      <c r="BD17" s="25">
        <f t="shared" si="9"/>
        <v>0.84313725490196079</v>
      </c>
      <c r="BE17" s="26">
        <f t="shared" si="23"/>
        <v>-2.2727272727272773E-2</v>
      </c>
      <c r="BF17" s="3">
        <f>+BF9*BD17+BG10*BD16+BG11*BD15+BG12*BD14+BD13*BG13+BD12*BG14+BD11*BG15+BD10*BG16+BG17</f>
        <v>38.547982802519883</v>
      </c>
      <c r="BG17" s="3">
        <v>1.9024457903740346</v>
      </c>
      <c r="BH17" s="1">
        <f t="shared" si="24"/>
        <v>2.8208432148796574E-2</v>
      </c>
      <c r="BK17" s="22">
        <f t="shared" si="25"/>
        <v>8</v>
      </c>
      <c r="BL17" s="22">
        <f t="shared" si="10"/>
        <v>2006</v>
      </c>
      <c r="BM17" s="11">
        <v>3.5000000000000003E-2</v>
      </c>
      <c r="BN17" s="3">
        <f t="shared" si="26"/>
        <v>35.160020324584615</v>
      </c>
      <c r="BO17" s="3">
        <v>1.9024457903740346</v>
      </c>
      <c r="BP17" s="1">
        <f t="shared" si="27"/>
        <v>1.9999926535227169E-2</v>
      </c>
      <c r="BQ17" s="1">
        <v>4.5900000000000003E-2</v>
      </c>
      <c r="BR17" s="3">
        <f t="shared" si="11"/>
        <v>32.735573704458098</v>
      </c>
      <c r="BS17" s="3">
        <v>1.9024457903740346</v>
      </c>
      <c r="BT17" s="1">
        <f t="shared" si="28"/>
        <v>1.2885882653414078E-2</v>
      </c>
      <c r="BU17" s="22">
        <f t="shared" si="29"/>
        <v>2006</v>
      </c>
      <c r="BV17" s="10">
        <f t="shared" si="31"/>
        <v>191.48081982633641</v>
      </c>
      <c r="BW17" s="27">
        <f>174+136</f>
        <v>310</v>
      </c>
      <c r="BX17" s="10">
        <v>82.7</v>
      </c>
      <c r="BY17" s="11">
        <f t="shared" si="12"/>
        <v>2.3242636502596063E-2</v>
      </c>
      <c r="BZ17" s="3">
        <f t="shared" si="35"/>
        <v>37.484885126964933</v>
      </c>
      <c r="CA17" s="1">
        <f t="shared" si="36"/>
        <v>3.3157051959528686E-2</v>
      </c>
      <c r="CB17" s="3">
        <f>121+151</f>
        <v>272</v>
      </c>
      <c r="CC17" s="31">
        <v>788.8</v>
      </c>
      <c r="CD17" s="32">
        <f t="shared" si="37"/>
        <v>1.6062756817332824E-2</v>
      </c>
      <c r="CE17" s="31">
        <v>22.63</v>
      </c>
      <c r="CF17" s="31"/>
      <c r="CG17" s="3">
        <f t="shared" si="32"/>
        <v>1201.9443216968625</v>
      </c>
      <c r="CH17" s="1">
        <f t="shared" si="38"/>
        <v>-1.4231186456126522E-2</v>
      </c>
      <c r="CI17" s="6">
        <v>3039468.916666667</v>
      </c>
      <c r="CJ17" s="1">
        <f t="shared" si="39"/>
        <v>2.3188920778631276E-2</v>
      </c>
      <c r="CK17" s="3">
        <f t="shared" si="40"/>
        <v>101.32307701824119</v>
      </c>
      <c r="CL17" s="1">
        <f t="shared" si="39"/>
        <v>1.3144007991797251E-2</v>
      </c>
      <c r="CM17" s="1">
        <f t="shared" si="41"/>
        <v>1.0044912786834025E-2</v>
      </c>
      <c r="CN17" s="3">
        <f t="shared" ref="CN17:CN33" si="49">+AI17*1000000/CI17</f>
        <v>346.87955486044598</v>
      </c>
      <c r="CO17" s="3"/>
      <c r="CP17" s="33">
        <f t="shared" ref="CP17:CP33" si="50">+(CB17+BW17)*1000000/CI17</f>
        <v>191.48081982633641</v>
      </c>
      <c r="CQ17" s="3"/>
      <c r="CR17" s="3">
        <v>100</v>
      </c>
      <c r="CS17" s="3" t="e">
        <f>+#REF!/CN17</f>
        <v>#REF!</v>
      </c>
      <c r="CT17" s="1"/>
      <c r="CU17" s="12">
        <f>+CR17/CN17</f>
        <v>0.28828450278723189</v>
      </c>
      <c r="CV17" s="1"/>
      <c r="CW17" s="3"/>
      <c r="CY17" s="6"/>
      <c r="CZ17" s="1"/>
      <c r="DC17" s="1"/>
      <c r="DD17" s="1"/>
      <c r="DE17" s="1"/>
      <c r="DF17" s="1"/>
      <c r="DI17" s="5"/>
      <c r="DJ17" s="1"/>
    </row>
    <row r="18" spans="1:114" x14ac:dyDescent="0.3">
      <c r="A18" s="2"/>
      <c r="B18" s="2"/>
      <c r="D18" s="2"/>
      <c r="E18" s="2"/>
      <c r="G18" s="37"/>
      <c r="H18" s="22">
        <f t="shared" si="13"/>
        <v>9</v>
      </c>
      <c r="I18" s="22">
        <f t="shared" si="3"/>
        <v>2007</v>
      </c>
      <c r="J18" s="22">
        <v>51</v>
      </c>
      <c r="K18" s="22">
        <v>0.75</v>
      </c>
      <c r="L18" s="25">
        <f t="shared" si="1"/>
        <v>0.94915254237288138</v>
      </c>
      <c r="M18" s="26">
        <f t="shared" si="14"/>
        <v>-6.7008277493102323E-3</v>
      </c>
      <c r="N18" s="26">
        <f t="shared" si="15"/>
        <v>6.3971820508695086E-3</v>
      </c>
      <c r="O18" s="26">
        <v>3.1E-2</v>
      </c>
      <c r="P18" s="10">
        <v>84.7</v>
      </c>
      <c r="Q18" s="9">
        <f t="shared" si="16"/>
        <v>2.3895999628363168E-2</v>
      </c>
      <c r="R18" s="9">
        <f t="shared" si="34"/>
        <v>2.2379767612542886E-2</v>
      </c>
      <c r="S18" s="31"/>
      <c r="T18" s="32"/>
      <c r="U18" s="11"/>
      <c r="V18" s="28">
        <v>0.36120000000000002</v>
      </c>
      <c r="W18" s="28">
        <v>0.375</v>
      </c>
      <c r="X18" s="28">
        <f t="shared" si="42"/>
        <v>0.86454999999999993</v>
      </c>
      <c r="Y18" s="28">
        <f t="shared" ref="Y18:Y32" si="51">+(1-V18)</f>
        <v>0.63880000000000003</v>
      </c>
      <c r="Z18" s="28">
        <f t="shared" si="43"/>
        <v>2.789999364365161</v>
      </c>
      <c r="AA18" s="9">
        <f>LN(Z18/Z17)</f>
        <v>1.6055686144796584E-2</v>
      </c>
      <c r="AB18" s="3">
        <f>+AB9*L18+AG10*L17+AG11*L16+AG12*L15+AG13*L14+AG14*L13+AG15*L12+AG16*L11+AG17*L10+AG18</f>
        <v>178.02927705056214</v>
      </c>
      <c r="AC18" s="1">
        <f t="shared" si="17"/>
        <v>3.4256596913148835E-2</v>
      </c>
      <c r="AD18" s="40">
        <v>468.39221113342001</v>
      </c>
      <c r="AE18" s="40">
        <v>132.63322242657995</v>
      </c>
      <c r="AF18" s="51">
        <v>84.7</v>
      </c>
      <c r="AG18" s="40">
        <f t="shared" si="18"/>
        <v>7.0959319192443919</v>
      </c>
      <c r="AH18" s="2">
        <f t="shared" si="44"/>
        <v>496.70156980945751</v>
      </c>
      <c r="AI18" s="2">
        <f t="shared" si="45"/>
        <v>1102.7015698094574</v>
      </c>
      <c r="AJ18" s="29">
        <f t="shared" ref="AJ18:AJ31" si="52">LN(AI18/AI17)</f>
        <v>4.4858003133458599E-2</v>
      </c>
      <c r="AK18" s="29">
        <f t="shared" si="46"/>
        <v>0.26480419362280994</v>
      </c>
      <c r="AL18" s="29">
        <f t="shared" si="47"/>
        <v>0.28475519451219972</v>
      </c>
      <c r="AM18" s="29">
        <f t="shared" si="48"/>
        <v>0.45044061186499046</v>
      </c>
      <c r="AO18" s="22">
        <f t="shared" si="19"/>
        <v>9</v>
      </c>
      <c r="AP18" s="22">
        <f t="shared" si="4"/>
        <v>2007</v>
      </c>
      <c r="AQ18" s="22">
        <v>51</v>
      </c>
      <c r="AR18" s="22">
        <v>1</v>
      </c>
      <c r="AS18" s="25">
        <f t="shared" si="5"/>
        <v>1</v>
      </c>
      <c r="AT18" s="26">
        <f t="shared" si="20"/>
        <v>0</v>
      </c>
      <c r="AU18" s="3">
        <f t="shared" si="6"/>
        <v>49.347348309474839</v>
      </c>
      <c r="AV18" s="3">
        <v>1.8201173740958099</v>
      </c>
      <c r="AW18" s="1">
        <f t="shared" si="21"/>
        <v>1.7378495160690014E-2</v>
      </c>
      <c r="AX18" s="3">
        <f t="shared" si="7"/>
        <v>0.96994348847712308</v>
      </c>
      <c r="AY18" s="3"/>
      <c r="AZ18" s="22">
        <f t="shared" si="22"/>
        <v>9</v>
      </c>
      <c r="BA18" s="22">
        <f t="shared" si="8"/>
        <v>2007</v>
      </c>
      <c r="BB18" s="22">
        <v>51</v>
      </c>
      <c r="BC18" s="22">
        <v>0</v>
      </c>
      <c r="BD18" s="25">
        <f t="shared" si="9"/>
        <v>0.82352941176470584</v>
      </c>
      <c r="BE18" s="26">
        <f t="shared" si="23"/>
        <v>-2.325581395348842E-2</v>
      </c>
      <c r="BF18" s="3">
        <f>+BF9*BD18+BG10*BD17+BG11*BD16+BG12*BD15+BG13*BD14+BG14*BD13+BG15*BD12+BG16*BD11+BG17*BD10+BG18</f>
        <v>39.500536264525707</v>
      </c>
      <c r="BG18" s="3">
        <v>1.8201173740958099</v>
      </c>
      <c r="BH18" s="1">
        <f t="shared" si="24"/>
        <v>2.4410476274663053E-2</v>
      </c>
      <c r="BK18" s="22">
        <f t="shared" si="25"/>
        <v>9</v>
      </c>
      <c r="BL18" s="22">
        <f t="shared" si="10"/>
        <v>2007</v>
      </c>
      <c r="BM18" s="11">
        <v>3.5000000000000003E-2</v>
      </c>
      <c r="BN18" s="3">
        <f t="shared" si="26"/>
        <v>35.749536987319964</v>
      </c>
      <c r="BO18" s="3">
        <v>1.8201173740958099</v>
      </c>
      <c r="BP18" s="1">
        <f t="shared" si="27"/>
        <v>1.6627666775841741E-2</v>
      </c>
      <c r="BQ18" s="1">
        <v>4.5900000000000003E-2</v>
      </c>
      <c r="BR18" s="3">
        <f t="shared" si="11"/>
        <v>33.053128245519282</v>
      </c>
      <c r="BS18" s="3">
        <v>1.8201173740958099</v>
      </c>
      <c r="BT18" s="1">
        <f t="shared" si="28"/>
        <v>9.6538462653668073E-3</v>
      </c>
      <c r="BU18" s="22">
        <f t="shared" si="29"/>
        <v>2007</v>
      </c>
      <c r="BV18" s="10">
        <f t="shared" si="31"/>
        <v>195.33253551059272</v>
      </c>
      <c r="BW18" s="27">
        <f>179+135</f>
        <v>314</v>
      </c>
      <c r="BX18" s="10">
        <v>84.7</v>
      </c>
      <c r="BY18" s="11">
        <f>LN(BX18/BX17)</f>
        <v>2.3895999628363168E-2</v>
      </c>
      <c r="BZ18" s="3">
        <f t="shared" si="35"/>
        <v>37.07201889020071</v>
      </c>
      <c r="CA18" s="1">
        <f t="shared" si="36"/>
        <v>-1.1075311199301573E-2</v>
      </c>
      <c r="CB18" s="3">
        <f>128+164</f>
        <v>292</v>
      </c>
      <c r="CC18" s="31">
        <v>819.19</v>
      </c>
      <c r="CD18" s="32">
        <f t="shared" si="37"/>
        <v>3.8526876267748644E-2</v>
      </c>
      <c r="CE18" s="31">
        <v>23.45</v>
      </c>
      <c r="CF18" s="11">
        <f t="shared" ref="CF18:CF33" si="53">LN(CE18/CE17)</f>
        <v>3.5594035246842445E-2</v>
      </c>
      <c r="CG18" s="3">
        <f t="shared" si="32"/>
        <v>1245.2025586353946</v>
      </c>
      <c r="CH18" s="1">
        <f t="shared" si="38"/>
        <v>3.5357700725442164E-2</v>
      </c>
      <c r="CI18" s="6">
        <v>3102401.75</v>
      </c>
      <c r="CJ18" s="1">
        <f t="shared" si="39"/>
        <v>2.0493767893849751E-2</v>
      </c>
      <c r="CK18" s="3">
        <f t="shared" si="40"/>
        <v>103.51742870391756</v>
      </c>
      <c r="CL18" s="1">
        <f t="shared" si="39"/>
        <v>2.1425797823544951E-2</v>
      </c>
      <c r="CM18" s="1">
        <f t="shared" si="41"/>
        <v>-9.3202992969520018E-4</v>
      </c>
      <c r="CN18" s="3">
        <f t="shared" si="49"/>
        <v>355.43480782572965</v>
      </c>
      <c r="CO18" s="1">
        <f t="shared" ref="CO18:CO33" si="54">LN(CN18/CN17)</f>
        <v>2.4364235239608813E-2</v>
      </c>
      <c r="CP18" s="33">
        <f t="shared" si="50"/>
        <v>195.33253551059272</v>
      </c>
      <c r="CQ18" s="3"/>
      <c r="CR18" s="3">
        <f t="shared" ref="CR18:CR33" si="55">+CR17*EXP((((AM18+AM17)/2)*AA18)+(((AK18+AK17)/2)*CF18)+(((AL18+AL17)/2)*BY18))</f>
        <v>102.37084870300215</v>
      </c>
      <c r="CS18" s="3" t="e">
        <f>+#REF!/CN18</f>
        <v>#REF!</v>
      </c>
      <c r="CT18" s="1">
        <f>LN(CR18/CR17)</f>
        <v>2.3431805453347394E-2</v>
      </c>
      <c r="CU18" s="12">
        <f t="shared" ref="CU18:CU33" si="56">+CR18/CN18</f>
        <v>0.28801582301189471</v>
      </c>
      <c r="CV18" s="1"/>
      <c r="CW18" s="3"/>
      <c r="CY18" s="6"/>
      <c r="CZ18" s="1"/>
      <c r="DC18" s="1"/>
      <c r="DD18" s="1"/>
      <c r="DE18" s="1"/>
      <c r="DF18" s="1"/>
      <c r="DI18" s="5"/>
      <c r="DJ18" s="1"/>
    </row>
    <row r="19" spans="1:114" x14ac:dyDescent="0.3">
      <c r="A19" s="2" t="s">
        <v>75</v>
      </c>
      <c r="B19" s="2"/>
      <c r="D19" s="12">
        <v>0.76200000000000001</v>
      </c>
      <c r="E19" s="2"/>
      <c r="G19" s="37"/>
      <c r="H19" s="22">
        <f t="shared" si="13"/>
        <v>10</v>
      </c>
      <c r="I19" s="22">
        <f t="shared" si="3"/>
        <v>2008</v>
      </c>
      <c r="J19" s="22">
        <v>51</v>
      </c>
      <c r="K19" s="22">
        <v>0.75</v>
      </c>
      <c r="L19" s="25">
        <f t="shared" si="1"/>
        <v>0.94252873563218387</v>
      </c>
      <c r="M19" s="26">
        <f t="shared" si="14"/>
        <v>-6.978653530377737E-3</v>
      </c>
      <c r="N19" s="26">
        <f t="shared" si="15"/>
        <v>6.5894682630007013E-3</v>
      </c>
      <c r="O19" s="26">
        <v>3.1E-2</v>
      </c>
      <c r="P19" s="10">
        <v>86.8</v>
      </c>
      <c r="Q19" s="9">
        <f t="shared" si="16"/>
        <v>2.4491020008295696E-2</v>
      </c>
      <c r="R19" s="9">
        <f t="shared" si="34"/>
        <v>2.3876552046418309E-2</v>
      </c>
      <c r="S19" s="31"/>
      <c r="T19" s="32"/>
      <c r="U19" s="11"/>
      <c r="V19" s="28">
        <v>0.33500000000000002</v>
      </c>
      <c r="W19" s="28">
        <v>0.375</v>
      </c>
      <c r="X19" s="28">
        <f t="shared" si="42"/>
        <v>0.87437500000000001</v>
      </c>
      <c r="Y19" s="28">
        <f t="shared" si="51"/>
        <v>0.66500000000000004</v>
      </c>
      <c r="Z19" s="28">
        <f t="shared" si="43"/>
        <v>2.7545542163650785</v>
      </c>
      <c r="AA19" s="9">
        <f t="shared" ref="AA19:AA33" si="57">LN(Z19/Z18)</f>
        <v>-1.2785747436637808E-2</v>
      </c>
      <c r="AB19" s="3">
        <f>+AB9*L19+AG10*L18+AG11*L17+AG12*L16+AG13*L15+AG14*L14+AG15*L13+AG16*L12+AG17*L11+AG18*L10+AG19</f>
        <v>184.91425799706403</v>
      </c>
      <c r="AC19" s="1">
        <f t="shared" si="17"/>
        <v>3.7944232777394872E-2</v>
      </c>
      <c r="AD19" s="40">
        <v>489.65552596588003</v>
      </c>
      <c r="AE19" s="40">
        <v>209.78748611411993</v>
      </c>
      <c r="AF19" s="51">
        <v>86.8</v>
      </c>
      <c r="AG19" s="40">
        <f t="shared" si="18"/>
        <v>8.058099217511522</v>
      </c>
      <c r="AH19" s="2">
        <f t="shared" si="44"/>
        <v>509.35634903183262</v>
      </c>
      <c r="AI19" s="2">
        <f t="shared" si="45"/>
        <v>1119.3563490318327</v>
      </c>
      <c r="AJ19" s="29">
        <f t="shared" si="52"/>
        <v>1.4990690359230488E-2</v>
      </c>
      <c r="AK19" s="29">
        <f t="shared" si="46"/>
        <v>0.26801116575564132</v>
      </c>
      <c r="AL19" s="29">
        <f t="shared" si="47"/>
        <v>0.27694487128082934</v>
      </c>
      <c r="AM19" s="29">
        <f t="shared" si="48"/>
        <v>0.45504396296352928</v>
      </c>
      <c r="AO19" s="22">
        <f t="shared" si="19"/>
        <v>10</v>
      </c>
      <c r="AP19" s="22">
        <f t="shared" si="4"/>
        <v>2008</v>
      </c>
      <c r="AQ19" s="22">
        <v>51</v>
      </c>
      <c r="AR19" s="22">
        <v>1</v>
      </c>
      <c r="AS19" s="25">
        <f t="shared" si="5"/>
        <v>1</v>
      </c>
      <c r="AT19" s="26">
        <f t="shared" si="20"/>
        <v>0</v>
      </c>
      <c r="AU19" s="3">
        <f t="shared" si="6"/>
        <v>50.003128191798467</v>
      </c>
      <c r="AV19" s="3">
        <v>1.6427268485131294</v>
      </c>
      <c r="AW19" s="1">
        <f t="shared" si="21"/>
        <v>1.3201535202026644E-2</v>
      </c>
      <c r="AX19" s="3">
        <f t="shared" si="7"/>
        <v>0.98694696618949684</v>
      </c>
      <c r="AY19" s="3"/>
      <c r="AZ19" s="22">
        <f t="shared" si="22"/>
        <v>10</v>
      </c>
      <c r="BA19" s="22">
        <f t="shared" si="8"/>
        <v>2008</v>
      </c>
      <c r="BB19" s="22">
        <v>51</v>
      </c>
      <c r="BC19" s="22">
        <v>0</v>
      </c>
      <c r="BD19" s="25">
        <f t="shared" si="9"/>
        <v>0.80392156862745101</v>
      </c>
      <c r="BE19" s="26">
        <f t="shared" si="23"/>
        <v>-2.3809523809523725E-2</v>
      </c>
      <c r="BF19" s="3">
        <f>+BF9*BD19+BG10*BD18+BG11*BD17+BG12*BD16+BG13*BD15+BG14*BD14+BG15*BD13+BG16*BD12+BG17*BD11+BG18*BD10+BG19</f>
        <v>40.240010624986184</v>
      </c>
      <c r="BG19" s="3">
        <v>1.6427268485131294</v>
      </c>
      <c r="BH19" s="1">
        <f t="shared" si="24"/>
        <v>1.854754169983561E-2</v>
      </c>
      <c r="BK19" s="22">
        <f t="shared" si="25"/>
        <v>10</v>
      </c>
      <c r="BL19" s="22">
        <f t="shared" si="10"/>
        <v>2008</v>
      </c>
      <c r="BM19" s="11">
        <v>3.5000000000000003E-2</v>
      </c>
      <c r="BN19" s="3">
        <f t="shared" si="26"/>
        <v>36.141030041276892</v>
      </c>
      <c r="BO19" s="3">
        <v>1.6427268485131294</v>
      </c>
      <c r="BP19" s="1">
        <f t="shared" si="27"/>
        <v>1.089146852425606E-2</v>
      </c>
      <c r="BQ19" s="1">
        <v>4.5900000000000003E-2</v>
      </c>
      <c r="BR19" s="3">
        <f t="shared" si="11"/>
        <v>33.178716507563074</v>
      </c>
      <c r="BS19" s="3">
        <v>1.6427268485131294</v>
      </c>
      <c r="BT19" s="1">
        <f t="shared" si="28"/>
        <v>3.7923875752403978E-3</v>
      </c>
      <c r="BU19" s="22">
        <f t="shared" si="29"/>
        <v>2008</v>
      </c>
      <c r="BV19" s="10">
        <f t="shared" si="31"/>
        <v>192.87281207927643</v>
      </c>
      <c r="BW19" s="27">
        <f>181+129</f>
        <v>310</v>
      </c>
      <c r="BX19" s="10">
        <v>86.8</v>
      </c>
      <c r="BY19" s="11">
        <f t="shared" ref="BY19:BY33" si="58">LN(BX19/BX18)</f>
        <v>2.4491020008295696E-2</v>
      </c>
      <c r="BZ19" s="3">
        <f t="shared" si="35"/>
        <v>35.714285714285715</v>
      </c>
      <c r="CA19" s="1">
        <f t="shared" si="36"/>
        <v>-3.7311708437357261E-2</v>
      </c>
      <c r="CB19">
        <f>128+172</f>
        <v>300</v>
      </c>
      <c r="CC19" s="31">
        <v>838.34</v>
      </c>
      <c r="CD19" s="32">
        <f t="shared" si="37"/>
        <v>2.3376750204470165E-2</v>
      </c>
      <c r="CE19" s="31">
        <v>24.35</v>
      </c>
      <c r="CF19" s="11">
        <f t="shared" si="53"/>
        <v>3.7661354636310505E-2</v>
      </c>
      <c r="CG19" s="3">
        <f t="shared" si="32"/>
        <v>1232.0328542094455</v>
      </c>
      <c r="CH19" s="1">
        <f t="shared" si="38"/>
        <v>-1.0632682248391208E-2</v>
      </c>
      <c r="CI19" s="6">
        <v>3162706</v>
      </c>
      <c r="CJ19" s="1">
        <f t="shared" si="39"/>
        <v>1.9251420686636329E-2</v>
      </c>
      <c r="CK19" s="3">
        <f t="shared" si="40"/>
        <v>103.91854049896931</v>
      </c>
      <c r="CL19" s="1">
        <f t="shared" si="39"/>
        <v>3.8673359930931138E-3</v>
      </c>
      <c r="CM19" s="1">
        <f t="shared" si="41"/>
        <v>1.5384084693543215E-2</v>
      </c>
      <c r="CN19" s="3">
        <f t="shared" si="49"/>
        <v>353.92361763370758</v>
      </c>
      <c r="CO19" s="1">
        <f t="shared" si="54"/>
        <v>-4.260730327405966E-3</v>
      </c>
      <c r="CP19" s="33">
        <f t="shared" si="50"/>
        <v>192.87281207927643</v>
      </c>
      <c r="CQ19" s="3"/>
      <c r="CR19" s="3">
        <f t="shared" si="55"/>
        <v>103.51586860190254</v>
      </c>
      <c r="CS19" s="3" t="e">
        <f>+#REF!/CN19</f>
        <v>#REF!</v>
      </c>
      <c r="CT19" s="1">
        <f t="shared" ref="CT19:CT33" si="59">LN(CR19/CR18)</f>
        <v>1.1122929336847094E-2</v>
      </c>
      <c r="CU19" s="12">
        <f t="shared" si="56"/>
        <v>0.29248081632414835</v>
      </c>
      <c r="CV19" s="1"/>
      <c r="CW19" s="3"/>
      <c r="CY19" s="6"/>
      <c r="CZ19" s="1"/>
      <c r="DI19" s="5"/>
      <c r="DJ19" s="1"/>
    </row>
    <row r="20" spans="1:114" x14ac:dyDescent="0.3">
      <c r="A20" s="2"/>
      <c r="B20" s="2"/>
      <c r="C20" s="2"/>
      <c r="D20" s="2"/>
      <c r="F20" s="2"/>
      <c r="G20" s="37"/>
      <c r="H20" s="22">
        <f t="shared" si="13"/>
        <v>11</v>
      </c>
      <c r="I20" s="22">
        <f t="shared" si="3"/>
        <v>2009</v>
      </c>
      <c r="J20" s="22">
        <v>51</v>
      </c>
      <c r="K20" s="22">
        <v>0.75</v>
      </c>
      <c r="L20" s="25">
        <f t="shared" si="1"/>
        <v>0.93567251461988299</v>
      </c>
      <c r="M20" s="26">
        <f t="shared" si="14"/>
        <v>-7.2742832691484929E-3</v>
      </c>
      <c r="N20" s="26">
        <f t="shared" si="15"/>
        <v>6.7787686626996418E-3</v>
      </c>
      <c r="O20" s="26">
        <v>3.1E-2</v>
      </c>
      <c r="P20" s="10">
        <v>87.8</v>
      </c>
      <c r="Q20" s="9">
        <f t="shared" si="16"/>
        <v>1.1454878974766386E-2</v>
      </c>
      <c r="R20" s="9">
        <f t="shared" si="34"/>
        <v>1.9947299537141749E-2</v>
      </c>
      <c r="S20" s="31"/>
      <c r="T20" s="32"/>
      <c r="U20" s="11"/>
      <c r="V20" s="28">
        <v>0.33</v>
      </c>
      <c r="W20" s="28">
        <v>0.375</v>
      </c>
      <c r="X20" s="28">
        <f t="shared" si="42"/>
        <v>0.87624999999999997</v>
      </c>
      <c r="Y20" s="28">
        <f t="shared" si="51"/>
        <v>0.66999999999999993</v>
      </c>
      <c r="Z20" s="28">
        <f t="shared" si="43"/>
        <v>2.755187397623803</v>
      </c>
      <c r="AA20" s="9">
        <f t="shared" si="57"/>
        <v>2.2984063713772738E-4</v>
      </c>
      <c r="AB20" s="3">
        <f>+AB9*L20+AG10*L19+AG11*L18+AG12*L17+AG13*L16+AG14*L15+AG15*L14+AG16*L13+AG17*L12+AG18*L11+AG19*L10+AG20</f>
        <v>191.47812519859656</v>
      </c>
      <c r="AC20" s="1">
        <f t="shared" si="17"/>
        <v>3.4881326011512684E-2</v>
      </c>
      <c r="AD20" s="40">
        <v>566.98426503704002</v>
      </c>
      <c r="AE20" s="40">
        <v>119.37978307296001</v>
      </c>
      <c r="AF20" s="51">
        <v>87.8</v>
      </c>
      <c r="AG20" s="40">
        <f t="shared" si="18"/>
        <v>7.8173581789293856</v>
      </c>
      <c r="AH20" s="2">
        <f t="shared" si="44"/>
        <v>527.55811746780603</v>
      </c>
      <c r="AI20" s="2">
        <f t="shared" si="45"/>
        <v>1120.5581174678059</v>
      </c>
      <c r="AJ20" s="29">
        <f t="shared" si="52"/>
        <v>1.0730486090072813E-3</v>
      </c>
      <c r="AK20" s="29">
        <f t="shared" si="46"/>
        <v>0.27307820561015345</v>
      </c>
      <c r="AL20" s="29">
        <f t="shared" si="47"/>
        <v>0.25612236931409821</v>
      </c>
      <c r="AM20" s="29">
        <f t="shared" si="48"/>
        <v>0.47079942507574846</v>
      </c>
      <c r="AO20" s="22">
        <f t="shared" si="19"/>
        <v>11</v>
      </c>
      <c r="AP20" s="22">
        <f t="shared" si="4"/>
        <v>2009</v>
      </c>
      <c r="AQ20" s="22">
        <v>51</v>
      </c>
      <c r="AR20" s="22">
        <v>1</v>
      </c>
      <c r="AS20" s="25">
        <f t="shared" si="5"/>
        <v>1</v>
      </c>
      <c r="AT20" s="26">
        <f t="shared" si="20"/>
        <v>0</v>
      </c>
      <c r="AU20" s="3">
        <f t="shared" si="6"/>
        <v>51.273450192519128</v>
      </c>
      <c r="AV20" s="3">
        <v>2.2703845645566272</v>
      </c>
      <c r="AW20" s="1">
        <f t="shared" si="21"/>
        <v>2.5087510792697675E-2</v>
      </c>
      <c r="AX20" s="3">
        <f t="shared" si="7"/>
        <v>1.0000625638359693</v>
      </c>
      <c r="AY20" s="3"/>
      <c r="AZ20" s="22">
        <f t="shared" si="22"/>
        <v>11</v>
      </c>
      <c r="BA20" s="22">
        <f t="shared" si="8"/>
        <v>2009</v>
      </c>
      <c r="BB20" s="22">
        <v>51</v>
      </c>
      <c r="BC20" s="22">
        <v>0</v>
      </c>
      <c r="BD20" s="25">
        <f t="shared" si="9"/>
        <v>0.78431372549019607</v>
      </c>
      <c r="BE20" s="26">
        <f t="shared" si="23"/>
        <v>-2.4390243902439074E-2</v>
      </c>
      <c r="BF20" s="3">
        <f>+BF9*BD20+BG10*BD19+BG11*BD18+BG12*BD17+BG13*BD16+BG14*BD15+BG15*BD14+BG16*BD13+BG17*BD12+BG18*BD11+BG19*BD10+BG20</f>
        <v>41.574932371127154</v>
      </c>
      <c r="BG20" s="3">
        <v>2.2703845645566272</v>
      </c>
      <c r="BH20" s="1">
        <f t="shared" si="24"/>
        <v>3.26356085741814E-2</v>
      </c>
      <c r="BK20" s="22">
        <f t="shared" si="25"/>
        <v>11</v>
      </c>
      <c r="BL20" s="22">
        <f t="shared" si="10"/>
        <v>2009</v>
      </c>
      <c r="BM20" s="11">
        <v>3.5000000000000003E-2</v>
      </c>
      <c r="BN20" s="3">
        <f t="shared" si="26"/>
        <v>37.146478554388828</v>
      </c>
      <c r="BO20" s="3">
        <v>2.2703845645566272</v>
      </c>
      <c r="BP20" s="1">
        <f t="shared" si="27"/>
        <v>2.7440190571915643E-2</v>
      </c>
      <c r="BQ20" s="1">
        <v>4.5900000000000003E-2</v>
      </c>
      <c r="BR20" s="3">
        <f t="shared" si="11"/>
        <v>33.926197984422551</v>
      </c>
      <c r="BS20" s="3">
        <v>2.2703845645566272</v>
      </c>
      <c r="BT20" s="1">
        <f t="shared" si="28"/>
        <v>2.2278916528629268E-2</v>
      </c>
      <c r="BU20" s="22">
        <f t="shared" si="29"/>
        <v>2009</v>
      </c>
      <c r="BV20" s="10">
        <f t="shared" si="31"/>
        <v>185.14171159245467</v>
      </c>
      <c r="BW20" s="27">
        <f>167+120</f>
        <v>287</v>
      </c>
      <c r="BX20" s="10">
        <v>87.8</v>
      </c>
      <c r="BY20" s="11">
        <f t="shared" si="58"/>
        <v>1.1454878974766386E-2</v>
      </c>
      <c r="BZ20" s="3">
        <f t="shared" si="35"/>
        <v>32.687927107061505</v>
      </c>
      <c r="CA20" s="1">
        <f t="shared" si="36"/>
        <v>-8.8544960694337288E-2</v>
      </c>
      <c r="CB20" s="3">
        <f>131+175</f>
        <v>306</v>
      </c>
      <c r="CC20" s="31">
        <v>848.77</v>
      </c>
      <c r="CD20" s="32">
        <f t="shared" si="37"/>
        <v>1.2441252952262838E-2</v>
      </c>
      <c r="CE20" s="31">
        <v>25.15</v>
      </c>
      <c r="CF20" s="11">
        <f t="shared" si="53"/>
        <v>3.2326047017149244E-2</v>
      </c>
      <c r="CG20" s="3">
        <f t="shared" si="32"/>
        <v>1216.6998011928431</v>
      </c>
      <c r="CH20" s="1">
        <f t="shared" si="38"/>
        <v>-1.2523419720969533E-2</v>
      </c>
      <c r="CI20" s="6">
        <v>3202951.916666667</v>
      </c>
      <c r="CJ20" s="1">
        <f t="shared" si="39"/>
        <v>1.2644868274243808E-2</v>
      </c>
      <c r="CK20" s="3">
        <f t="shared" si="40"/>
        <v>102.79804103280583</v>
      </c>
      <c r="CL20" s="1">
        <f t="shared" si="39"/>
        <v>-1.0841031058142429E-2</v>
      </c>
      <c r="CM20" s="1">
        <f t="shared" si="41"/>
        <v>2.3485899332386238E-2</v>
      </c>
      <c r="CN20" s="3">
        <f t="shared" si="49"/>
        <v>349.85168264217282</v>
      </c>
      <c r="CO20" s="1">
        <f t="shared" si="54"/>
        <v>-1.1571819665236608E-2</v>
      </c>
      <c r="CP20" s="33">
        <f t="shared" si="50"/>
        <v>185.14171159245467</v>
      </c>
      <c r="CQ20" s="3"/>
      <c r="CR20" s="3">
        <f t="shared" si="55"/>
        <v>104.75560540480447</v>
      </c>
      <c r="CS20" s="3" t="e">
        <f>+#REF!/CN20</f>
        <v>#REF!</v>
      </c>
      <c r="CT20" s="1">
        <f t="shared" si="59"/>
        <v>1.1905148809937304E-2</v>
      </c>
      <c r="CU20" s="12">
        <f t="shared" si="56"/>
        <v>0.29942861676028631</v>
      </c>
      <c r="CV20" s="1"/>
      <c r="CW20" s="3"/>
      <c r="CY20" s="6"/>
      <c r="CZ20" s="1"/>
      <c r="DC20" s="1"/>
      <c r="DI20" s="5"/>
      <c r="DJ20" s="1"/>
    </row>
    <row r="21" spans="1:114" x14ac:dyDescent="0.3">
      <c r="A21" s="2" t="s">
        <v>76</v>
      </c>
      <c r="B21" s="2"/>
      <c r="C21" s="2"/>
      <c r="D21" s="2"/>
      <c r="F21" s="2">
        <f>+F7+0.762*(F16+F17)</f>
        <v>4762.7992000000013</v>
      </c>
      <c r="G21" s="37"/>
      <c r="H21" s="22">
        <f t="shared" si="13"/>
        <v>12</v>
      </c>
      <c r="I21" s="22">
        <f t="shared" si="3"/>
        <v>2010</v>
      </c>
      <c r="J21" s="22">
        <v>51</v>
      </c>
      <c r="K21" s="22">
        <v>0.75</v>
      </c>
      <c r="L21" s="25">
        <f t="shared" si="1"/>
        <v>0.9285714285714286</v>
      </c>
      <c r="M21" s="26">
        <f t="shared" si="14"/>
        <v>-7.5892857142856249E-3</v>
      </c>
      <c r="N21" s="26">
        <f t="shared" si="15"/>
        <v>6.9772756184957848E-3</v>
      </c>
      <c r="O21" s="26">
        <v>3.1E-2</v>
      </c>
      <c r="P21" s="10">
        <v>88.7</v>
      </c>
      <c r="Q21" s="9">
        <f t="shared" si="16"/>
        <v>1.0198388674462986E-2</v>
      </c>
      <c r="R21" s="9">
        <f t="shared" si="34"/>
        <v>1.5381429219175022E-2</v>
      </c>
      <c r="S21" s="31"/>
      <c r="T21" s="32"/>
      <c r="U21" s="11"/>
      <c r="V21" s="28">
        <v>0.31</v>
      </c>
      <c r="W21" s="28">
        <v>0.375</v>
      </c>
      <c r="X21" s="28">
        <f t="shared" si="42"/>
        <v>0.88375000000000004</v>
      </c>
      <c r="Y21" s="28">
        <f t="shared" si="51"/>
        <v>0.69</v>
      </c>
      <c r="Z21" s="28">
        <f t="shared" si="43"/>
        <v>2.7094420216632544</v>
      </c>
      <c r="AA21" s="9">
        <f t="shared" si="57"/>
        <v>-1.6742743580756208E-2</v>
      </c>
      <c r="AB21" s="3">
        <f>+AB9*L21+AG10*L20+AG11*L19+AG12*L18+AG13*L17+AG14*L16+AG15*L15+AG16*L14+AG17*L13+AG18*L12+AG19*L11+AG20*L10+AG21</f>
        <v>196.25061820832192</v>
      </c>
      <c r="AC21" s="1">
        <f t="shared" si="17"/>
        <v>2.46189333955079E-2</v>
      </c>
      <c r="AD21" s="40">
        <v>469.58033984884003</v>
      </c>
      <c r="AE21" s="40">
        <v>72.242604661160016</v>
      </c>
      <c r="AF21" s="51">
        <v>88.7</v>
      </c>
      <c r="AG21" s="40">
        <f t="shared" si="18"/>
        <v>6.1084886641488172</v>
      </c>
      <c r="AH21" s="2">
        <f t="shared" si="44"/>
        <v>531.72967175101928</v>
      </c>
      <c r="AI21" s="2">
        <f t="shared" si="45"/>
        <v>1172.7296717510194</v>
      </c>
      <c r="AJ21" s="29">
        <f t="shared" si="52"/>
        <v>4.5507203891404328E-2</v>
      </c>
      <c r="AK21" s="29">
        <f t="shared" si="46"/>
        <v>0.2762785045902616</v>
      </c>
      <c r="AL21" s="29">
        <f t="shared" si="47"/>
        <v>0.2703095245528177</v>
      </c>
      <c r="AM21" s="29">
        <f t="shared" si="48"/>
        <v>0.45341197085692059</v>
      </c>
      <c r="AO21" s="22">
        <f t="shared" si="19"/>
        <v>12</v>
      </c>
      <c r="AP21" s="22">
        <f t="shared" si="4"/>
        <v>2010</v>
      </c>
      <c r="AQ21" s="22">
        <v>51</v>
      </c>
      <c r="AR21" s="22">
        <v>1</v>
      </c>
      <c r="AS21" s="25">
        <f t="shared" si="5"/>
        <v>1</v>
      </c>
      <c r="AT21" s="26">
        <f t="shared" si="20"/>
        <v>0</v>
      </c>
      <c r="AU21" s="3">
        <f t="shared" si="6"/>
        <v>51.916875790211165</v>
      </c>
      <c r="AV21" s="3">
        <v>1.6688946015424166</v>
      </c>
      <c r="AW21" s="1">
        <f t="shared" si="21"/>
        <v>1.2470818953414592E-2</v>
      </c>
      <c r="AX21" s="3">
        <f t="shared" si="7"/>
        <v>1.0254690038503826</v>
      </c>
      <c r="AY21" s="3"/>
      <c r="AZ21" s="22">
        <f t="shared" si="22"/>
        <v>12</v>
      </c>
      <c r="BA21" s="22">
        <f t="shared" si="8"/>
        <v>2010</v>
      </c>
      <c r="BB21" s="22">
        <v>51</v>
      </c>
      <c r="BC21" s="22">
        <v>0</v>
      </c>
      <c r="BD21" s="25">
        <f t="shared" si="9"/>
        <v>0.76470588235294112</v>
      </c>
      <c r="BE21" s="26">
        <f t="shared" si="23"/>
        <v>-2.5000000000000053E-2</v>
      </c>
      <c r="BF21" s="3">
        <f>+BF9*BD21+BG10*BD20+BG11*BD19+BG12*BD18+BG13*BD17+BG14*BD16+BG15*BD15+BG16*BD14+BG17*BD13+BG18*BD12+BG19*BD11+BG20*BD10+BG21</f>
        <v>42.263846809850847</v>
      </c>
      <c r="BG21" s="3">
        <v>1.6688946015424166</v>
      </c>
      <c r="BH21" s="1">
        <f t="shared" si="24"/>
        <v>1.6434636848107878E-2</v>
      </c>
      <c r="BK21" s="22">
        <f t="shared" si="25"/>
        <v>12</v>
      </c>
      <c r="BL21" s="22">
        <f t="shared" si="10"/>
        <v>2010</v>
      </c>
      <c r="BM21" s="11">
        <v>3.5000000000000003E-2</v>
      </c>
      <c r="BN21" s="3">
        <f t="shared" si="26"/>
        <v>37.515246406527638</v>
      </c>
      <c r="BO21" s="3">
        <v>1.6688946015424166</v>
      </c>
      <c r="BP21" s="1">
        <f t="shared" si="27"/>
        <v>9.8784444408922031E-3</v>
      </c>
      <c r="BQ21" s="1">
        <v>4.5900000000000003E-2</v>
      </c>
      <c r="BR21" s="3">
        <f t="shared" si="11"/>
        <v>34.037880098479974</v>
      </c>
      <c r="BS21" s="3">
        <v>1.6688946015424166</v>
      </c>
      <c r="BT21" s="1">
        <f t="shared" si="28"/>
        <v>3.2865071588431497E-3</v>
      </c>
      <c r="BU21" s="22">
        <f t="shared" si="29"/>
        <v>2010</v>
      </c>
      <c r="BV21" s="10">
        <f t="shared" si="31"/>
        <v>196.71353369164251</v>
      </c>
      <c r="BW21" s="27">
        <f>172+145</f>
        <v>317</v>
      </c>
      <c r="BX21" s="10">
        <v>88.7</v>
      </c>
      <c r="BY21" s="11">
        <f t="shared" si="58"/>
        <v>1.0198388674462986E-2</v>
      </c>
      <c r="BZ21" s="3">
        <f t="shared" si="35"/>
        <v>35.738444193912059</v>
      </c>
      <c r="CA21" s="1">
        <f t="shared" si="36"/>
        <v>8.9221169443196621E-2</v>
      </c>
      <c r="CB21" s="3">
        <f>141+183</f>
        <v>324</v>
      </c>
      <c r="CC21" s="31">
        <v>881.36</v>
      </c>
      <c r="CD21" s="32">
        <f t="shared" si="37"/>
        <v>3.8396738810278386E-2</v>
      </c>
      <c r="CE21" s="31">
        <v>25.56</v>
      </c>
      <c r="CF21" s="11">
        <f t="shared" si="53"/>
        <v>1.617073296358585E-2</v>
      </c>
      <c r="CG21" s="3">
        <f t="shared" si="32"/>
        <v>1267.605633802817</v>
      </c>
      <c r="CH21" s="1">
        <f t="shared" si="38"/>
        <v>4.0987680876362668E-2</v>
      </c>
      <c r="CI21" s="6">
        <v>3258545.4999999995</v>
      </c>
      <c r="CJ21" s="1">
        <f t="shared" si="39"/>
        <v>1.7208071626544436E-2</v>
      </c>
      <c r="CK21" s="3">
        <f t="shared" si="40"/>
        <v>107.65005228474823</v>
      </c>
      <c r="CL21" s="1">
        <f t="shared" si="39"/>
        <v>4.6119412763910954E-2</v>
      </c>
      <c r="CM21" s="1">
        <f t="shared" si="41"/>
        <v>-2.8911341137366518E-2</v>
      </c>
      <c r="CN21" s="3">
        <f t="shared" si="49"/>
        <v>359.89360030449774</v>
      </c>
      <c r="CO21" s="1">
        <f t="shared" si="54"/>
        <v>2.8299132264859927E-2</v>
      </c>
      <c r="CP21" s="33">
        <f t="shared" si="50"/>
        <v>196.71353369164251</v>
      </c>
      <c r="CQ21" s="3"/>
      <c r="CR21" s="3">
        <f t="shared" si="55"/>
        <v>104.69164143817042</v>
      </c>
      <c r="CS21" s="3" t="e">
        <f>+#REF!/CN21</f>
        <v>#REF!</v>
      </c>
      <c r="CT21" s="1">
        <f t="shared" si="59"/>
        <v>-6.1078834491006863E-4</v>
      </c>
      <c r="CU21" s="12">
        <f t="shared" si="56"/>
        <v>0.29089609081571116</v>
      </c>
      <c r="CV21" s="1"/>
      <c r="CW21" s="3"/>
      <c r="CY21" s="47"/>
      <c r="CZ21" s="48"/>
      <c r="DI21" s="5"/>
      <c r="DJ21" s="1"/>
    </row>
    <row r="22" spans="1:114" x14ac:dyDescent="0.3">
      <c r="A22" s="2" t="s">
        <v>77</v>
      </c>
      <c r="B22" s="2"/>
      <c r="C22" s="2"/>
      <c r="D22" s="2"/>
      <c r="F22" s="2">
        <f>+F21/G6</f>
        <v>97.498448311156622</v>
      </c>
      <c r="G22" s="37">
        <f>+F21/48.85</f>
        <v>97.498448311156622</v>
      </c>
      <c r="H22" s="22">
        <f t="shared" si="13"/>
        <v>13</v>
      </c>
      <c r="I22" s="22">
        <f t="shared" si="3"/>
        <v>2011</v>
      </c>
      <c r="J22" s="22">
        <v>51</v>
      </c>
      <c r="K22" s="22">
        <v>0.75</v>
      </c>
      <c r="L22" s="25">
        <f t="shared" si="1"/>
        <v>0.92121212121212126</v>
      </c>
      <c r="M22" s="26">
        <f t="shared" si="14"/>
        <v>-7.9254079254079072E-3</v>
      </c>
      <c r="N22" s="26">
        <f t="shared" si="15"/>
        <v>7.2025194063555431E-3</v>
      </c>
      <c r="O22" s="26">
        <v>3.1E-2</v>
      </c>
      <c r="P22" s="10">
        <v>90.8</v>
      </c>
      <c r="Q22" s="9">
        <f t="shared" si="16"/>
        <v>2.3399396291713771E-2</v>
      </c>
      <c r="R22" s="9">
        <f t="shared" si="34"/>
        <v>1.5017554646981048E-2</v>
      </c>
      <c r="S22" s="31"/>
      <c r="T22" s="32"/>
      <c r="U22" s="11"/>
      <c r="V22" s="28">
        <v>0.28249999999999997</v>
      </c>
      <c r="W22" s="28">
        <v>0.375</v>
      </c>
      <c r="X22" s="28">
        <f t="shared" si="42"/>
        <v>0.89406249999999998</v>
      </c>
      <c r="Y22" s="28">
        <f t="shared" si="51"/>
        <v>0.71750000000000003</v>
      </c>
      <c r="Z22" s="28">
        <f t="shared" si="43"/>
        <v>2.6738308918968778</v>
      </c>
      <c r="AA22" s="9">
        <f t="shared" si="57"/>
        <v>-1.3230482571173641E-2</v>
      </c>
      <c r="AB22" s="3">
        <f>+AB9*L22+AG10*L21+AG11*L20+AG12*L19+AG13*L18+AG14*L17+AG15*L16+AG16*L15+AG17*L14+AG18*L13+AG19*L12+AG20*L11+AG21*L10+AG22</f>
        <v>201.83840771633021</v>
      </c>
      <c r="AC22" s="1">
        <f>LN(AB22/AB21)</f>
        <v>2.8074908697018411E-2</v>
      </c>
      <c r="AD22" s="40">
        <v>486.76424833276008</v>
      </c>
      <c r="AE22" s="40">
        <v>148.95273785724001</v>
      </c>
      <c r="AF22" s="51">
        <v>90.8</v>
      </c>
      <c r="AG22" s="40">
        <f t="shared" si="18"/>
        <v>7.0012883941629962</v>
      </c>
      <c r="AH22" s="2">
        <f t="shared" si="44"/>
        <v>539.68176972320089</v>
      </c>
      <c r="AI22" s="2">
        <f t="shared" si="45"/>
        <v>1205.6817697232009</v>
      </c>
      <c r="AJ22" s="29">
        <f t="shared" si="52"/>
        <v>2.7711106703524259E-2</v>
      </c>
      <c r="AK22" s="29">
        <f t="shared" si="46"/>
        <v>0.28614515758930709</v>
      </c>
      <c r="AL22" s="29">
        <f t="shared" si="47"/>
        <v>0.26623940749613789</v>
      </c>
      <c r="AM22" s="29">
        <f t="shared" si="48"/>
        <v>0.44761543491455497</v>
      </c>
      <c r="AO22" s="22">
        <f t="shared" si="19"/>
        <v>13</v>
      </c>
      <c r="AP22" s="22">
        <f t="shared" si="4"/>
        <v>2011</v>
      </c>
      <c r="AQ22" s="22">
        <v>51</v>
      </c>
      <c r="AR22" s="22">
        <v>1</v>
      </c>
      <c r="AS22" s="25">
        <f t="shared" si="5"/>
        <v>1</v>
      </c>
      <c r="AT22" s="26">
        <f t="shared" si="20"/>
        <v>0</v>
      </c>
      <c r="AU22" s="3">
        <f t="shared" si="6"/>
        <v>52.528755800820868</v>
      </c>
      <c r="AV22" s="3">
        <v>1.6502175264139218</v>
      </c>
      <c r="AW22" s="1">
        <f t="shared" si="21"/>
        <v>1.1716852134758357E-2</v>
      </c>
      <c r="AX22" s="3">
        <f t="shared" si="7"/>
        <v>1.0383375158042234</v>
      </c>
      <c r="AY22" s="3"/>
      <c r="AZ22" s="22">
        <f t="shared" si="22"/>
        <v>13</v>
      </c>
      <c r="BA22" s="22">
        <f t="shared" si="8"/>
        <v>2011</v>
      </c>
      <c r="BB22" s="22">
        <v>51</v>
      </c>
      <c r="BC22" s="22">
        <v>0</v>
      </c>
      <c r="BD22" s="25">
        <f t="shared" si="9"/>
        <v>0.74509803921568629</v>
      </c>
      <c r="BE22" s="26">
        <f t="shared" si="23"/>
        <v>-2.5641025641025553E-2</v>
      </c>
      <c r="BF22" s="3">
        <f>+BF9*BD22+BG10*BD21+BG11*BD20+BG12*BD19+BG13*BD18+BG14*BD17+BG15*BD16+BG16*BD15+BG17*BD14+BG18*BD13+BG19*BD12+BG20*BD11+BG21*BD10+BG22</f>
        <v>42.901360749886379</v>
      </c>
      <c r="BG22" s="3">
        <v>1.6502175264139218</v>
      </c>
      <c r="BH22" s="1">
        <f t="shared" si="24"/>
        <v>1.4971509288351191E-2</v>
      </c>
      <c r="BK22" s="22">
        <f t="shared" si="25"/>
        <v>13</v>
      </c>
      <c r="BL22" s="22">
        <f t="shared" si="10"/>
        <v>2011</v>
      </c>
      <c r="BM22" s="11">
        <v>3.5000000000000003E-2</v>
      </c>
      <c r="BN22" s="3">
        <f t="shared" si="26"/>
        <v>37.852430308713096</v>
      </c>
      <c r="BO22" s="3">
        <v>1.6502175264139218</v>
      </c>
      <c r="BP22" s="1">
        <f t="shared" si="27"/>
        <v>8.9477655814052381E-3</v>
      </c>
      <c r="BQ22" s="1">
        <v>4.5900000000000003E-2</v>
      </c>
      <c r="BR22" s="3">
        <f t="shared" si="11"/>
        <v>34.125758928373656</v>
      </c>
      <c r="BS22" s="3">
        <v>1.6502175264139218</v>
      </c>
      <c r="BT22" s="1">
        <f t="shared" si="28"/>
        <v>2.5784679291423361E-3</v>
      </c>
      <c r="BU22" s="22">
        <f t="shared" si="29"/>
        <v>2011</v>
      </c>
      <c r="BV22" s="10">
        <f t="shared" si="31"/>
        <v>201.20521217167669</v>
      </c>
      <c r="BW22" s="27">
        <f>166+155</f>
        <v>321</v>
      </c>
      <c r="BX22" s="10">
        <v>90.8</v>
      </c>
      <c r="BY22" s="11">
        <f t="shared" si="58"/>
        <v>2.3399396291713771E-2</v>
      </c>
      <c r="BZ22" s="3">
        <f t="shared" si="35"/>
        <v>35.352422907488986</v>
      </c>
      <c r="CA22" s="1">
        <f t="shared" si="36"/>
        <v>-1.0860047038978412E-2</v>
      </c>
      <c r="CB22" s="3">
        <f>153+192</f>
        <v>345</v>
      </c>
      <c r="CC22" s="31">
        <v>893.4</v>
      </c>
      <c r="CD22" s="32">
        <f t="shared" si="37"/>
        <v>1.3660706181356064E-2</v>
      </c>
      <c r="CE22" s="31">
        <v>26.13</v>
      </c>
      <c r="CF22" s="11">
        <f t="shared" si="53"/>
        <v>2.2055450023186998E-2</v>
      </c>
      <c r="CG22" s="3">
        <f t="shared" si="32"/>
        <v>1320.321469575201</v>
      </c>
      <c r="CH22" s="1">
        <f t="shared" si="38"/>
        <v>4.074545121584329E-2</v>
      </c>
      <c r="CI22" s="6">
        <v>3310053.4166666665</v>
      </c>
      <c r="CJ22" s="1">
        <f t="shared" si="39"/>
        <v>1.5683397051577855E-2</v>
      </c>
      <c r="CK22" s="3">
        <f t="shared" si="40"/>
        <v>109.95580036748679</v>
      </c>
      <c r="CL22" s="1">
        <f t="shared" si="39"/>
        <v>2.1192760699876977E-2</v>
      </c>
      <c r="CM22" s="1">
        <f t="shared" si="41"/>
        <v>-5.5093636482991225E-3</v>
      </c>
      <c r="CN22" s="3">
        <f t="shared" si="49"/>
        <v>364.24843286588475</v>
      </c>
      <c r="CO22" s="1">
        <f t="shared" si="54"/>
        <v>1.202770965194609E-2</v>
      </c>
      <c r="CP22" s="33">
        <f t="shared" si="50"/>
        <v>201.20521217167669</v>
      </c>
      <c r="CQ22" s="3"/>
      <c r="CR22" s="3">
        <f t="shared" si="55"/>
        <v>105.37637676067924</v>
      </c>
      <c r="CS22" s="3" t="e">
        <f>+#REF!/CN22</f>
        <v>#REF!</v>
      </c>
      <c r="CT22" s="1">
        <f t="shared" si="59"/>
        <v>6.5192003378797114E-3</v>
      </c>
      <c r="CU22" s="12">
        <f t="shared" si="56"/>
        <v>0.28929809232557091</v>
      </c>
      <c r="CV22" s="1"/>
      <c r="CW22" s="3"/>
      <c r="CY22" s="47"/>
      <c r="CZ22" s="1"/>
      <c r="DA22" s="1"/>
      <c r="DI22" s="5"/>
      <c r="DJ22" s="1"/>
    </row>
    <row r="23" spans="1:114" x14ac:dyDescent="0.3">
      <c r="A23" s="40" t="s">
        <v>89</v>
      </c>
      <c r="B23" s="2"/>
      <c r="C23" s="2"/>
      <c r="D23" s="2"/>
      <c r="F23" s="2">
        <f>+F7+F12+F16+F17</f>
        <v>6253.6000000000013</v>
      </c>
      <c r="G23" s="37"/>
      <c r="H23" s="22">
        <f t="shared" si="13"/>
        <v>14</v>
      </c>
      <c r="I23" s="22">
        <f t="shared" si="3"/>
        <v>2012</v>
      </c>
      <c r="J23" s="22">
        <v>51</v>
      </c>
      <c r="K23" s="22">
        <v>0.75</v>
      </c>
      <c r="L23" s="25">
        <f t="shared" si="1"/>
        <v>0.9135802469135802</v>
      </c>
      <c r="M23" s="26">
        <f t="shared" si="14"/>
        <v>-8.2846003898636549E-3</v>
      </c>
      <c r="N23" s="26">
        <f t="shared" si="15"/>
        <v>7.426283464642333E-3</v>
      </c>
      <c r="O23" s="26">
        <v>3.1E-2</v>
      </c>
      <c r="P23" s="10">
        <v>92.3</v>
      </c>
      <c r="Q23" s="9">
        <f t="shared" si="16"/>
        <v>1.6384855901558824E-2</v>
      </c>
      <c r="R23" s="9">
        <f t="shared" si="34"/>
        <v>1.6660880289245197E-2</v>
      </c>
      <c r="S23" s="31"/>
      <c r="T23" s="32"/>
      <c r="U23" s="11"/>
      <c r="V23" s="28">
        <v>0.26500000000000001</v>
      </c>
      <c r="W23" s="28">
        <v>0.375</v>
      </c>
      <c r="X23" s="28">
        <f t="shared" si="42"/>
        <v>0.90062500000000001</v>
      </c>
      <c r="Y23" s="28">
        <f t="shared" si="51"/>
        <v>0.73499999999999999</v>
      </c>
      <c r="Z23" s="28">
        <f t="shared" si="43"/>
        <v>2.6457460354480178</v>
      </c>
      <c r="AA23" s="9">
        <f t="shared" si="57"/>
        <v>-1.055915452568041E-2</v>
      </c>
      <c r="AB23" s="3">
        <f>+AB9*L23+AG10*L22+AG11*L21+AG12*L20+AG13*L19+AG14*L18+AG15*L17+AG16*L16+AG17*L15+AG18*L14+AG19*L13+AG20*L12+AG21*L11+AG22*L10+AG23</f>
        <v>207.58047380846185</v>
      </c>
      <c r="AC23" s="1">
        <f t="shared" si="17"/>
        <v>2.8051674608125157E-2</v>
      </c>
      <c r="AD23" s="40">
        <v>593.30422305629997</v>
      </c>
      <c r="AE23" s="40">
        <v>75.037799153700007</v>
      </c>
      <c r="AF23" s="51">
        <v>92.3</v>
      </c>
      <c r="AG23" s="40">
        <f t="shared" si="18"/>
        <v>7.2409753218851574</v>
      </c>
      <c r="AH23" s="2">
        <f t="shared" si="44"/>
        <v>549.20521561515898</v>
      </c>
      <c r="AI23" s="2">
        <f t="shared" si="45"/>
        <v>1243.205215615159</v>
      </c>
      <c r="AJ23" s="29">
        <f t="shared" si="52"/>
        <v>3.0647704987232998E-2</v>
      </c>
      <c r="AK23" s="29">
        <f t="shared" si="46"/>
        <v>0.28153035042313113</v>
      </c>
      <c r="AL23" s="29">
        <f t="shared" si="47"/>
        <v>0.27670411584444887</v>
      </c>
      <c r="AM23" s="29">
        <f t="shared" si="48"/>
        <v>0.44176553373242</v>
      </c>
      <c r="AO23" s="22">
        <f t="shared" si="19"/>
        <v>14</v>
      </c>
      <c r="AP23" s="22">
        <f t="shared" si="4"/>
        <v>2012</v>
      </c>
      <c r="AQ23" s="22">
        <v>51</v>
      </c>
      <c r="AR23" s="22">
        <v>1</v>
      </c>
      <c r="AS23" s="25">
        <f t="shared" si="5"/>
        <v>1</v>
      </c>
      <c r="AT23" s="26">
        <f t="shared" si="20"/>
        <v>0</v>
      </c>
      <c r="AU23" s="3">
        <f t="shared" si="6"/>
        <v>53.475022662212439</v>
      </c>
      <c r="AV23" s="3">
        <v>1.9968419774079924</v>
      </c>
      <c r="AW23" s="1">
        <f t="shared" si="21"/>
        <v>1.7853929571217543E-2</v>
      </c>
      <c r="AX23" s="3">
        <f t="shared" si="7"/>
        <v>1.0505751160164174</v>
      </c>
      <c r="AY23" s="3"/>
      <c r="AZ23" s="22">
        <f t="shared" si="22"/>
        <v>14</v>
      </c>
      <c r="BA23" s="22">
        <f t="shared" si="8"/>
        <v>2012</v>
      </c>
      <c r="BB23" s="22">
        <v>51</v>
      </c>
      <c r="BC23" s="22">
        <v>0</v>
      </c>
      <c r="BD23" s="25">
        <f t="shared" si="9"/>
        <v>0.72549019607843135</v>
      </c>
      <c r="BE23" s="26">
        <f t="shared" si="23"/>
        <v>-2.6315789473684265E-2</v>
      </c>
      <c r="BF23" s="3">
        <f>+BF9*BD23+BG10*BD22+BG11*BD21+BG12*BD20+BG13*BD19+BG14*BD18+BG15*BD17+BG16*BD16+BG17*BD15+BG18*BD14+BG19*BD13+BG20*BD12+BG21*BD11+BG22*BD10+BG23</f>
        <v>43.853141934515719</v>
      </c>
      <c r="BG23" s="3">
        <v>1.9968419774079924</v>
      </c>
      <c r="BH23" s="1">
        <f t="shared" si="24"/>
        <v>2.1942823579187788E-2</v>
      </c>
      <c r="BK23" s="22">
        <f t="shared" si="25"/>
        <v>14</v>
      </c>
      <c r="BL23" s="22">
        <f t="shared" si="10"/>
        <v>2012</v>
      </c>
      <c r="BM23" s="11">
        <v>3.5000000000000003E-2</v>
      </c>
      <c r="BN23" s="3">
        <f t="shared" si="26"/>
        <v>38.524437225316127</v>
      </c>
      <c r="BO23" s="3">
        <v>1.9968419774079924</v>
      </c>
      <c r="BP23" s="1">
        <f t="shared" si="27"/>
        <v>1.7597586289985492E-2</v>
      </c>
      <c r="BQ23" s="1">
        <v>4.5900000000000003E-2</v>
      </c>
      <c r="BR23" s="3">
        <f t="shared" si="11"/>
        <v>34.556228570969296</v>
      </c>
      <c r="BS23" s="3">
        <v>1.9968419774079924</v>
      </c>
      <c r="BT23" s="1">
        <f t="shared" si="28"/>
        <v>1.2535318066527204E-2</v>
      </c>
      <c r="BU23" s="22">
        <f t="shared" si="29"/>
        <v>2012</v>
      </c>
      <c r="BV23" s="10">
        <f t="shared" si="31"/>
        <v>206.37632976499043</v>
      </c>
      <c r="BW23" s="27">
        <f>191+153</f>
        <v>344</v>
      </c>
      <c r="BX23" s="10">
        <v>92.3</v>
      </c>
      <c r="BY23" s="11">
        <f t="shared" si="58"/>
        <v>1.6384855901558824E-2</v>
      </c>
      <c r="BZ23" s="3">
        <f t="shared" si="35"/>
        <v>37.269772481040086</v>
      </c>
      <c r="CA23" s="1">
        <f t="shared" si="36"/>
        <v>5.2815678341823699E-2</v>
      </c>
      <c r="CB23" s="3">
        <f>167+183</f>
        <v>350</v>
      </c>
      <c r="CC23" s="31">
        <v>906.1</v>
      </c>
      <c r="CD23" s="32">
        <f t="shared" si="37"/>
        <v>1.4215357062905776E-2</v>
      </c>
      <c r="CE23" s="31">
        <v>26.57</v>
      </c>
      <c r="CF23" s="11">
        <f t="shared" si="53"/>
        <v>1.6698680239201059E-2</v>
      </c>
      <c r="CG23" s="3">
        <f t="shared" si="32"/>
        <v>1317.2751223184041</v>
      </c>
      <c r="CH23" s="1">
        <f t="shared" si="38"/>
        <v>-2.3099427871015334E-3</v>
      </c>
      <c r="CI23" s="6">
        <v>3362788.75</v>
      </c>
      <c r="CJ23" s="1">
        <f t="shared" si="39"/>
        <v>1.5806287622462195E-2</v>
      </c>
      <c r="CK23" s="3">
        <f t="shared" si="40"/>
        <v>112.86981774589961</v>
      </c>
      <c r="CL23" s="1">
        <f t="shared" si="39"/>
        <v>2.6156629038264784E-2</v>
      </c>
      <c r="CM23" s="1">
        <f t="shared" si="41"/>
        <v>-1.0350341415802589E-2</v>
      </c>
      <c r="CN23" s="3">
        <f t="shared" si="49"/>
        <v>369.694711157565</v>
      </c>
      <c r="CO23" s="1">
        <f t="shared" si="54"/>
        <v>1.4841417364770975E-2</v>
      </c>
      <c r="CP23" s="33">
        <f t="shared" si="50"/>
        <v>206.37632976499043</v>
      </c>
      <c r="CQ23" s="3"/>
      <c r="CR23" s="3">
        <f t="shared" si="55"/>
        <v>105.85081187796114</v>
      </c>
      <c r="CS23" s="3" t="e">
        <f>+#REF!/CN23</f>
        <v>#REF!</v>
      </c>
      <c r="CT23" s="1">
        <f t="shared" si="59"/>
        <v>4.4921860502015283E-3</v>
      </c>
      <c r="CU23" s="12">
        <f t="shared" si="56"/>
        <v>0.28631951900671687</v>
      </c>
      <c r="CV23" s="1"/>
      <c r="CW23" s="3"/>
      <c r="CY23" s="47"/>
      <c r="CZ23" s="1"/>
      <c r="DA23" s="1"/>
      <c r="DI23" s="5"/>
      <c r="DJ23" s="1"/>
    </row>
    <row r="24" spans="1:114" x14ac:dyDescent="0.3">
      <c r="A24" s="2" t="s">
        <v>78</v>
      </c>
      <c r="B24" s="2"/>
      <c r="C24" s="2"/>
      <c r="D24" s="2"/>
      <c r="F24" s="2">
        <f>+F23/G6</f>
        <v>128.01637666325487</v>
      </c>
      <c r="G24" s="37">
        <f>+F23/48.85</f>
        <v>128.01637666325487</v>
      </c>
      <c r="H24" s="22">
        <f t="shared" si="13"/>
        <v>15</v>
      </c>
      <c r="I24" s="22">
        <f t="shared" si="3"/>
        <v>2013</v>
      </c>
      <c r="J24" s="22">
        <v>51</v>
      </c>
      <c r="K24" s="22">
        <v>0.75</v>
      </c>
      <c r="L24" s="25">
        <f t="shared" si="1"/>
        <v>0.90566037735849059</v>
      </c>
      <c r="M24" s="26">
        <f t="shared" si="14"/>
        <v>-8.6690464048953843E-3</v>
      </c>
      <c r="N24" s="26">
        <f t="shared" si="15"/>
        <v>7.6565080816557206E-3</v>
      </c>
      <c r="O24" s="26">
        <v>3.1E-2</v>
      </c>
      <c r="P24" s="10">
        <v>93.9</v>
      </c>
      <c r="Q24" s="9">
        <f t="shared" si="16"/>
        <v>1.7186244705410861E-2</v>
      </c>
      <c r="R24" s="9">
        <f t="shared" si="34"/>
        <v>1.8990165632894487E-2</v>
      </c>
      <c r="S24" s="31"/>
      <c r="T24" s="32"/>
      <c r="U24" s="11"/>
      <c r="V24" s="28">
        <v>0.26500000000000001</v>
      </c>
      <c r="W24" s="28">
        <v>0.375</v>
      </c>
      <c r="X24" s="28">
        <f t="shared" si="42"/>
        <v>0.90062500000000001</v>
      </c>
      <c r="Y24" s="28">
        <f t="shared" si="51"/>
        <v>0.73499999999999999</v>
      </c>
      <c r="Z24" s="28">
        <f t="shared" si="43"/>
        <v>2.6626196670450444</v>
      </c>
      <c r="AA24" s="9">
        <f t="shared" si="57"/>
        <v>6.3573948645305198E-3</v>
      </c>
      <c r="AB24" s="3">
        <f>+AB9*L24+AG10*L23+AG11*L22+AG12*L21+AG13*L20+AG14*L19+AG15*L18+AG16*L17+AG17*L16+AG18*L15+AG19*L14+AG20*L13+AG21*L12+AG22*L11+AG23*L10+AG24</f>
        <v>214.40613165362655</v>
      </c>
      <c r="AC24" s="1">
        <f t="shared" si="17"/>
        <v>3.2352937849621642E-2</v>
      </c>
      <c r="AD24" s="40">
        <v>659.16238232304795</v>
      </c>
      <c r="AE24" s="40">
        <v>131.00606325937719</v>
      </c>
      <c r="AF24" s="51">
        <v>93.9</v>
      </c>
      <c r="AG24" s="40">
        <f t="shared" si="18"/>
        <v>8.4149994204731104</v>
      </c>
      <c r="AH24" s="2">
        <f t="shared" si="44"/>
        <v>570.88198287599505</v>
      </c>
      <c r="AI24" s="2">
        <f t="shared" si="45"/>
        <v>1300.8819828759952</v>
      </c>
      <c r="AJ24" s="29">
        <f t="shared" si="52"/>
        <v>4.5349586854505915E-2</v>
      </c>
      <c r="AK24" s="29">
        <f t="shared" si="46"/>
        <v>0.29364692956656441</v>
      </c>
      <c r="AL24" s="29">
        <f t="shared" si="47"/>
        <v>0.26751081541666077</v>
      </c>
      <c r="AM24" s="29">
        <f t="shared" si="48"/>
        <v>0.43884225501677471</v>
      </c>
      <c r="AO24" s="22">
        <f t="shared" si="19"/>
        <v>15</v>
      </c>
      <c r="AP24" s="22">
        <f t="shared" si="4"/>
        <v>2013</v>
      </c>
      <c r="AQ24" s="22">
        <v>51</v>
      </c>
      <c r="AR24" s="22">
        <v>1</v>
      </c>
      <c r="AS24" s="25">
        <f t="shared" si="5"/>
        <v>1</v>
      </c>
      <c r="AT24" s="26">
        <f t="shared" si="20"/>
        <v>0</v>
      </c>
      <c r="AU24" s="3">
        <f t="shared" si="6"/>
        <v>54.463579788707769</v>
      </c>
      <c r="AV24" s="3">
        <v>2.0580575797395775</v>
      </c>
      <c r="AW24" s="1">
        <f t="shared" si="21"/>
        <v>1.8317538766628731E-2</v>
      </c>
      <c r="AX24" s="3">
        <f t="shared" si="7"/>
        <v>1.0695004532442487</v>
      </c>
      <c r="AY24" s="3"/>
      <c r="AZ24" s="22">
        <f t="shared" si="22"/>
        <v>15</v>
      </c>
      <c r="BA24" s="22">
        <f t="shared" si="8"/>
        <v>2013</v>
      </c>
      <c r="BB24" s="22">
        <v>51</v>
      </c>
      <c r="BC24" s="22">
        <v>0</v>
      </c>
      <c r="BD24" s="25">
        <f t="shared" si="9"/>
        <v>0.70588235294117652</v>
      </c>
      <c r="BE24" s="26">
        <f t="shared" si="23"/>
        <v>-2.7027027027026931E-2</v>
      </c>
      <c r="BF24" s="3">
        <f>+BF9*BD24+BG10*BD23+BG11*BD22+BG12*BD21+BG13*BD20+BG14*BD19+BG15*BD18+BG16*BD17+BG17*BD16+BG18*BD15+BG19*BD14+BG20*BD13+BG21*BD12+BG22*BD11+BG23*BD10+BG24</f>
        <v>44.826984957213739</v>
      </c>
      <c r="BG24" s="3">
        <v>2.0580575797395775</v>
      </c>
      <c r="BH24" s="1">
        <f t="shared" si="24"/>
        <v>2.1963932758592337E-2</v>
      </c>
      <c r="BK24" s="22">
        <f t="shared" si="25"/>
        <v>15</v>
      </c>
      <c r="BL24" s="22">
        <f t="shared" si="10"/>
        <v>2013</v>
      </c>
      <c r="BM24" s="11">
        <v>3.5000000000000003E-2</v>
      </c>
      <c r="BN24" s="3">
        <f t="shared" si="26"/>
        <v>39.23413950216964</v>
      </c>
      <c r="BO24" s="3">
        <v>2.0580575797395775</v>
      </c>
      <c r="BP24" s="1">
        <f t="shared" si="27"/>
        <v>1.825450038474849E-2</v>
      </c>
      <c r="BQ24" s="1">
        <v>4.5900000000000003E-2</v>
      </c>
      <c r="BR24" s="3">
        <f t="shared" si="11"/>
        <v>35.028155259301379</v>
      </c>
      <c r="BS24" s="3">
        <v>2.0580575797395775</v>
      </c>
      <c r="BT24" s="1">
        <f t="shared" si="28"/>
        <v>1.3564363100592234E-2</v>
      </c>
      <c r="BU24" s="22">
        <f t="shared" si="29"/>
        <v>2013</v>
      </c>
      <c r="BV24" s="10">
        <f t="shared" si="31"/>
        <v>213.61222441310224</v>
      </c>
      <c r="BW24" s="27">
        <f>199+149</f>
        <v>348</v>
      </c>
      <c r="BX24" s="10">
        <v>93.9</v>
      </c>
      <c r="BY24" s="11">
        <f t="shared" si="58"/>
        <v>1.7186244705410861E-2</v>
      </c>
      <c r="BZ24" s="3">
        <f t="shared" si="35"/>
        <v>37.060702875399357</v>
      </c>
      <c r="CA24" s="1">
        <f t="shared" si="36"/>
        <v>-5.625422304334886E-3</v>
      </c>
      <c r="CB24" s="3">
        <f>180+202</f>
        <v>382</v>
      </c>
      <c r="CC24" s="31">
        <v>920.09</v>
      </c>
      <c r="CD24" s="32">
        <f t="shared" si="37"/>
        <v>1.5439796931906002E-2</v>
      </c>
      <c r="CE24" s="31">
        <v>27.03</v>
      </c>
      <c r="CF24" s="11">
        <f t="shared" si="53"/>
        <v>1.7164600516634092E-2</v>
      </c>
      <c r="CG24" s="3">
        <f t="shared" si="32"/>
        <v>1413.2445431002589</v>
      </c>
      <c r="CH24" s="1">
        <f t="shared" si="38"/>
        <v>7.0322853606481814E-2</v>
      </c>
      <c r="CI24" s="6">
        <v>3417407.4166666665</v>
      </c>
      <c r="CJ24" s="1">
        <f t="shared" si="39"/>
        <v>1.6111583448596544E-2</v>
      </c>
      <c r="CK24" s="3">
        <f t="shared" si="40"/>
        <v>116.64948204313612</v>
      </c>
      <c r="CL24" s="1">
        <f t="shared" si="39"/>
        <v>3.2938458952558494E-2</v>
      </c>
      <c r="CM24" s="1">
        <f t="shared" si="41"/>
        <v>-1.682687550396195E-2</v>
      </c>
      <c r="CN24" s="3">
        <f t="shared" si="49"/>
        <v>380.66341652201169</v>
      </c>
      <c r="CO24" s="1">
        <f t="shared" si="54"/>
        <v>2.9238003405909291E-2</v>
      </c>
      <c r="CP24" s="33">
        <f t="shared" si="50"/>
        <v>213.61222441310224</v>
      </c>
      <c r="CQ24" s="3"/>
      <c r="CR24" s="3">
        <f t="shared" si="55"/>
        <v>107.17282334859149</v>
      </c>
      <c r="CS24" s="3" t="e">
        <f>+#REF!/CN24</f>
        <v>#REF!</v>
      </c>
      <c r="CT24" s="1">
        <f t="shared" si="59"/>
        <v>1.2412035326059449E-2</v>
      </c>
      <c r="CU24" s="12">
        <f t="shared" si="56"/>
        <v>0.28154221996900053</v>
      </c>
      <c r="CV24" s="1"/>
      <c r="CW24" s="3"/>
      <c r="CY24" s="49"/>
      <c r="CZ24" s="12"/>
      <c r="DA24" s="1"/>
      <c r="DI24" s="5"/>
      <c r="DJ24" s="1"/>
    </row>
    <row r="25" spans="1:114" x14ac:dyDescent="0.3">
      <c r="A25" s="2"/>
      <c r="B25" s="2"/>
      <c r="C25" s="2"/>
      <c r="D25" s="2"/>
      <c r="G25" s="37"/>
      <c r="H25" s="22">
        <f t="shared" si="13"/>
        <v>16</v>
      </c>
      <c r="I25" s="22">
        <f t="shared" si="3"/>
        <v>2014</v>
      </c>
      <c r="J25" s="22">
        <v>51</v>
      </c>
      <c r="K25" s="22">
        <v>0.75</v>
      </c>
      <c r="L25" s="25">
        <f t="shared" si="1"/>
        <v>0.89743589743589747</v>
      </c>
      <c r="M25" s="26">
        <f t="shared" si="14"/>
        <v>-9.0811965811965698E-3</v>
      </c>
      <c r="N25" s="26">
        <f t="shared" si="15"/>
        <v>7.881008497540953E-3</v>
      </c>
      <c r="O25" s="26">
        <v>3.1E-2</v>
      </c>
      <c r="P25" s="10">
        <v>96.1</v>
      </c>
      <c r="Q25" s="9">
        <f t="shared" si="16"/>
        <v>2.3158929762029375E-2</v>
      </c>
      <c r="R25" s="9">
        <f t="shared" si="34"/>
        <v>1.8910010122999688E-2</v>
      </c>
      <c r="S25" s="31"/>
      <c r="T25" s="32"/>
      <c r="U25" s="11"/>
      <c r="V25" s="28">
        <v>0.26500000000000001</v>
      </c>
      <c r="W25" s="28">
        <v>0.375</v>
      </c>
      <c r="X25" s="28">
        <f t="shared" si="42"/>
        <v>0.90062500000000001</v>
      </c>
      <c r="Y25" s="28">
        <f t="shared" si="51"/>
        <v>0.73499999999999999</v>
      </c>
      <c r="Z25" s="28">
        <f t="shared" si="43"/>
        <v>2.6992099749765615</v>
      </c>
      <c r="AA25" s="9">
        <f t="shared" si="57"/>
        <v>1.3648652938912417E-2</v>
      </c>
      <c r="AB25" s="3">
        <f>+AB9*L25+AG10*L24+AG11*L23+AG12*L22+AG13*L21+AG14*L20+AG15*L19+AG16*L18+AG17*L17+AG18*L16+AG19*L15+AG20*L14+AG21*L13+AG22*L12+AG23*L11+AG24*L10+AG25</f>
        <v>221.94062614780603</v>
      </c>
      <c r="AC25" s="1">
        <f t="shared" si="17"/>
        <v>3.4537868398129806E-2</v>
      </c>
      <c r="AD25" s="40">
        <v>702.35798392611355</v>
      </c>
      <c r="AE25" s="40">
        <v>184.09061898584648</v>
      </c>
      <c r="AF25" s="51">
        <v>96.1</v>
      </c>
      <c r="AG25" s="40">
        <f t="shared" si="18"/>
        <v>9.2242310396665985</v>
      </c>
      <c r="AH25" s="2">
        <f t="shared" si="44"/>
        <v>599.06435195070185</v>
      </c>
      <c r="AI25" s="2">
        <f t="shared" si="45"/>
        <v>1317.0643519507018</v>
      </c>
      <c r="AJ25" s="29">
        <f t="shared" si="52"/>
        <v>1.2362801304825921E-2</v>
      </c>
      <c r="AK25" s="29">
        <f t="shared" si="46"/>
        <v>0.29763162249392705</v>
      </c>
      <c r="AL25" s="29">
        <f t="shared" si="47"/>
        <v>0.24752017584954139</v>
      </c>
      <c r="AM25" s="29">
        <f t="shared" si="48"/>
        <v>0.4548482016565315</v>
      </c>
      <c r="AO25" s="22">
        <f t="shared" si="19"/>
        <v>16</v>
      </c>
      <c r="AP25" s="22">
        <f t="shared" si="4"/>
        <v>2014</v>
      </c>
      <c r="AQ25" s="22">
        <v>51</v>
      </c>
      <c r="AR25" s="22">
        <v>1</v>
      </c>
      <c r="AS25" s="25">
        <f t="shared" si="5"/>
        <v>1</v>
      </c>
      <c r="AT25" s="26">
        <f t="shared" si="20"/>
        <v>0</v>
      </c>
      <c r="AU25" s="3">
        <f t="shared" si="6"/>
        <v>55.701657225342096</v>
      </c>
      <c r="AV25" s="3">
        <v>2.3273490324084869</v>
      </c>
      <c r="AW25" s="1">
        <f t="shared" si="21"/>
        <v>2.2477681663978313E-2</v>
      </c>
      <c r="AX25" s="3">
        <f t="shared" si="7"/>
        <v>1.0892715957741554</v>
      </c>
      <c r="AY25" s="3"/>
      <c r="AZ25" s="22">
        <f t="shared" si="22"/>
        <v>16</v>
      </c>
      <c r="BA25" s="22">
        <f t="shared" si="8"/>
        <v>2014</v>
      </c>
      <c r="BB25" s="22">
        <v>51</v>
      </c>
      <c r="BC25" s="22">
        <v>0</v>
      </c>
      <c r="BD25" s="25">
        <f t="shared" si="9"/>
        <v>0.68627450980392157</v>
      </c>
      <c r="BE25" s="26">
        <f t="shared" si="23"/>
        <v>-2.7777777777777835E-2</v>
      </c>
      <c r="BF25" s="3">
        <f>+BF9*BD25+BG10*BD24+BG11*BD23+BG12*BD22+BG13*BD21+BG14*BD20+BG15*BD19+BG16*BD18+BG17*BD17+BG18*BD16+BG19*BD15+BG20*BD14+BG21*BD13+BG22*BD12+BG23*BD11+BG24*BD10+BG25</f>
        <v>46.029765362389689</v>
      </c>
      <c r="BG25" s="3">
        <v>2.3273490324084869</v>
      </c>
      <c r="BH25" s="1">
        <f t="shared" si="24"/>
        <v>2.6477959442712813E-2</v>
      </c>
      <c r="BK25" s="22">
        <f t="shared" si="25"/>
        <v>16</v>
      </c>
      <c r="BL25" s="22">
        <f t="shared" si="10"/>
        <v>2014</v>
      </c>
      <c r="BM25" s="11">
        <v>3.5000000000000003E-2</v>
      </c>
      <c r="BN25" s="3">
        <f t="shared" si="26"/>
        <v>40.188293652002187</v>
      </c>
      <c r="BO25" s="3">
        <v>2.3273490324084869</v>
      </c>
      <c r="BP25" s="1">
        <f t="shared" si="27"/>
        <v>2.4028477085015043E-2</v>
      </c>
      <c r="BQ25" s="1">
        <v>4.5900000000000003E-2</v>
      </c>
      <c r="BR25" s="3">
        <f t="shared" si="11"/>
        <v>35.747711965307928</v>
      </c>
      <c r="BS25" s="3">
        <v>2.3273490324084869</v>
      </c>
      <c r="BT25" s="1">
        <f t="shared" si="28"/>
        <v>2.0334092037212759E-2</v>
      </c>
      <c r="BU25" s="22">
        <f t="shared" si="29"/>
        <v>2014</v>
      </c>
      <c r="BV25" s="10">
        <f t="shared" si="31"/>
        <v>206.85520452592274</v>
      </c>
      <c r="BW25" s="27">
        <f>187+139</f>
        <v>326</v>
      </c>
      <c r="BX25" s="10">
        <v>96.1</v>
      </c>
      <c r="BY25" s="11">
        <f t="shared" si="58"/>
        <v>2.3158929762029375E-2</v>
      </c>
      <c r="BZ25" s="3">
        <f t="shared" si="35"/>
        <v>33.922996878251823</v>
      </c>
      <c r="CA25" s="1">
        <f t="shared" si="36"/>
        <v>-8.8464028169796149E-2</v>
      </c>
      <c r="CB25" s="3">
        <f>181+211</f>
        <v>392</v>
      </c>
      <c r="CC25" s="31">
        <v>938.5</v>
      </c>
      <c r="CD25" s="32">
        <f t="shared" si="37"/>
        <v>2.0008912171635362E-2</v>
      </c>
      <c r="CE25" s="31">
        <v>27.39</v>
      </c>
      <c r="CF25" s="11">
        <f t="shared" si="53"/>
        <v>1.3230622986630487E-2</v>
      </c>
      <c r="CG25" s="3">
        <f t="shared" si="32"/>
        <v>1431.1792625045637</v>
      </c>
      <c r="CH25" s="1">
        <f t="shared" si="38"/>
        <v>1.2610608197256942E-2</v>
      </c>
      <c r="CI25" s="6">
        <v>3471027</v>
      </c>
      <c r="CJ25" s="1">
        <f t="shared" si="39"/>
        <v>1.556831729193583E-2</v>
      </c>
      <c r="CK25" s="3">
        <f t="shared" si="40"/>
        <v>116.2280225081827</v>
      </c>
      <c r="CL25" s="1">
        <f t="shared" si="39"/>
        <v>-3.6195852914839778E-3</v>
      </c>
      <c r="CM25" s="1">
        <f t="shared" si="41"/>
        <v>1.9187902583419809E-2</v>
      </c>
      <c r="CN25" s="3">
        <f t="shared" si="49"/>
        <v>379.44514748825117</v>
      </c>
      <c r="CO25" s="1">
        <f t="shared" si="54"/>
        <v>-3.2055159871097957E-3</v>
      </c>
      <c r="CP25" s="33">
        <f t="shared" si="50"/>
        <v>206.85520452592274</v>
      </c>
      <c r="CQ25" s="3"/>
      <c r="CR25" s="3">
        <f t="shared" si="55"/>
        <v>108.89856073644123</v>
      </c>
      <c r="CS25" s="3" t="e">
        <f>+#REF!/CN25</f>
        <v>#REF!</v>
      </c>
      <c r="CT25" s="1">
        <f t="shared" si="59"/>
        <v>1.5974110516173767E-2</v>
      </c>
      <c r="CU25" s="12">
        <f t="shared" si="56"/>
        <v>0.28699421104024814</v>
      </c>
      <c r="CV25" s="1"/>
      <c r="CW25" s="3"/>
      <c r="CY25" s="49"/>
      <c r="CZ25" s="12"/>
      <c r="DA25" s="12"/>
      <c r="DI25" s="5"/>
      <c r="DJ25" s="1"/>
    </row>
    <row r="26" spans="1:114" x14ac:dyDescent="0.3">
      <c r="A26" s="2"/>
      <c r="B26" s="2"/>
      <c r="C26" s="2"/>
      <c r="D26" s="2"/>
      <c r="E26">
        <f>+F21/F22</f>
        <v>48.85</v>
      </c>
      <c r="F26">
        <f>+F24*E26</f>
        <v>6253.6</v>
      </c>
      <c r="G26" s="37"/>
      <c r="H26" s="22">
        <f t="shared" si="13"/>
        <v>17</v>
      </c>
      <c r="I26" s="22">
        <f t="shared" si="3"/>
        <v>2015</v>
      </c>
      <c r="J26" s="22">
        <v>51</v>
      </c>
      <c r="K26" s="22">
        <v>0.75</v>
      </c>
      <c r="L26" s="25">
        <f t="shared" si="1"/>
        <v>0.88888888888888884</v>
      </c>
      <c r="M26" s="26">
        <f t="shared" si="14"/>
        <v>-9.5238095238096131E-3</v>
      </c>
      <c r="N26" s="26">
        <f t="shared" si="15"/>
        <v>8.1045856130439551E-3</v>
      </c>
      <c r="O26" s="26">
        <v>3.1E-2</v>
      </c>
      <c r="P26" s="10">
        <v>97.6</v>
      </c>
      <c r="Q26" s="9">
        <f t="shared" si="16"/>
        <v>1.5488177442799903E-2</v>
      </c>
      <c r="R26" s="9">
        <f t="shared" si="34"/>
        <v>1.8611117303413378E-2</v>
      </c>
      <c r="S26" s="31"/>
      <c r="T26" s="32"/>
      <c r="U26" s="11"/>
      <c r="V26" s="28">
        <v>0.26500000000000001</v>
      </c>
      <c r="W26" s="28">
        <v>0.375</v>
      </c>
      <c r="X26" s="28">
        <f t="shared" si="42"/>
        <v>0.90062500000000001</v>
      </c>
      <c r="Y26" s="28">
        <f t="shared" si="51"/>
        <v>0.73499999999999999</v>
      </c>
      <c r="Z26" s="28">
        <f t="shared" si="43"/>
        <v>2.7153308605529749</v>
      </c>
      <c r="AA26" s="9">
        <f t="shared" si="57"/>
        <v>5.9546815513678341E-3</v>
      </c>
      <c r="AB26" s="3">
        <f>+AB9*L26+AG10*L25+AG11*L24+AG12*L23+AG13*L22+AG14*L21+AG15*L20+AG16*L19+AG17*L18+AG18*L17+AG19*L16+AG20*L15+AG21*L14+AG22*L13+AG23*L12+AG24*L11+AG25*L10+AG26</f>
        <v>230.54810306488224</v>
      </c>
      <c r="AC26" s="1">
        <f t="shared" si="17"/>
        <v>3.8049634433663132E-2</v>
      </c>
      <c r="AD26" s="40">
        <v>580.5730859116004</v>
      </c>
      <c r="AE26" s="40">
        <v>435.0733734242794</v>
      </c>
      <c r="AF26" s="51">
        <v>97.6</v>
      </c>
      <c r="AG26" s="40">
        <f t="shared" si="18"/>
        <v>10.406213722703688</v>
      </c>
      <c r="AH26" s="2">
        <f t="shared" si="44"/>
        <v>626.01437909402262</v>
      </c>
      <c r="AI26" s="2">
        <f t="shared" si="45"/>
        <v>1371.0143790940226</v>
      </c>
      <c r="AJ26" s="29">
        <f t="shared" si="52"/>
        <v>4.0145604462330627E-2</v>
      </c>
      <c r="AK26" s="29">
        <f t="shared" si="46"/>
        <v>0.28373152457894302</v>
      </c>
      <c r="AL26" s="29">
        <f t="shared" si="47"/>
        <v>0.25966175514165479</v>
      </c>
      <c r="AM26" s="29">
        <f t="shared" si="48"/>
        <v>0.45660672027940213</v>
      </c>
      <c r="AO26" s="22">
        <f t="shared" si="19"/>
        <v>17</v>
      </c>
      <c r="AP26" s="22">
        <f t="shared" si="4"/>
        <v>2015</v>
      </c>
      <c r="AQ26" s="22">
        <v>51</v>
      </c>
      <c r="AR26" s="22">
        <v>1</v>
      </c>
      <c r="AS26" s="25">
        <f t="shared" si="5"/>
        <v>1</v>
      </c>
      <c r="AT26" s="26">
        <f t="shared" si="20"/>
        <v>0</v>
      </c>
      <c r="AU26" s="3">
        <f t="shared" si="6"/>
        <v>56.204170422298667</v>
      </c>
      <c r="AV26" s="3">
        <v>1.6165463414634147</v>
      </c>
      <c r="AW26" s="1">
        <f t="shared" si="21"/>
        <v>8.9810617591486383E-3</v>
      </c>
      <c r="AX26" s="3">
        <f t="shared" si="7"/>
        <v>1.1140331445068419</v>
      </c>
      <c r="AY26" s="3"/>
      <c r="AZ26" s="22">
        <f t="shared" si="22"/>
        <v>17</v>
      </c>
      <c r="BA26" s="22">
        <f t="shared" si="8"/>
        <v>2015</v>
      </c>
      <c r="BB26" s="22">
        <v>51</v>
      </c>
      <c r="BC26" s="22">
        <v>0</v>
      </c>
      <c r="BD26" s="25">
        <f t="shared" si="9"/>
        <v>0.66666666666666663</v>
      </c>
      <c r="BE26" s="26">
        <f t="shared" si="23"/>
        <v>-2.8571428571428633E-2</v>
      </c>
      <c r="BF26" s="3">
        <f>+BF9*BD26+BG10*BD25+BG11*BD24+BG12*BD23+BG13*BD22+BG14*BD21+BG15*BD20+BG16*BD19+BG17*BD18+BG18*BD17+BG19*BD16+BG20*BD15+BG21*BD14+BG22*BD13+BG23*BD12+BG24*BD11+BG25*BD10+BG26</f>
        <v>46.47610878186746</v>
      </c>
      <c r="BG26" s="3">
        <v>1.6165463414634147</v>
      </c>
      <c r="BH26" s="1">
        <f t="shared" si="24"/>
        <v>9.6501305979341135E-3</v>
      </c>
      <c r="BK26" s="22">
        <f t="shared" si="25"/>
        <v>17</v>
      </c>
      <c r="BL26" s="22">
        <f t="shared" si="10"/>
        <v>2015</v>
      </c>
      <c r="BM26" s="11">
        <v>3.5000000000000003E-2</v>
      </c>
      <c r="BN26" s="3">
        <f t="shared" si="26"/>
        <v>40.39824971564552</v>
      </c>
      <c r="BO26" s="3">
        <v>1.6165463414634147</v>
      </c>
      <c r="BP26" s="1">
        <f t="shared" si="27"/>
        <v>5.2107096277107115E-3</v>
      </c>
      <c r="BQ26" s="1">
        <v>4.5900000000000003E-2</v>
      </c>
      <c r="BR26" s="3">
        <f t="shared" si="11"/>
        <v>35.723438327563706</v>
      </c>
      <c r="BS26" s="3">
        <v>1.6165463414634147</v>
      </c>
      <c r="BT26" s="1">
        <f t="shared" si="28"/>
        <v>-6.7925697510267801E-4</v>
      </c>
      <c r="BU26" s="22">
        <f t="shared" si="29"/>
        <v>2015</v>
      </c>
      <c r="BV26" s="10">
        <f t="shared" si="31"/>
        <v>211.55502670479927</v>
      </c>
      <c r="BW26" s="27">
        <f>214+142</f>
        <v>356</v>
      </c>
      <c r="BX26" s="10">
        <v>97.6</v>
      </c>
      <c r="BY26" s="11">
        <f t="shared" si="58"/>
        <v>1.5488177442799903E-2</v>
      </c>
      <c r="BZ26" s="3">
        <f t="shared" si="35"/>
        <v>36.475409836065573</v>
      </c>
      <c r="CA26" s="1">
        <f t="shared" si="36"/>
        <v>7.2545172042522671E-2</v>
      </c>
      <c r="CB26" s="3">
        <f>179+210</f>
        <v>389</v>
      </c>
      <c r="CC26" s="31">
        <v>963.37</v>
      </c>
      <c r="CD26" s="32">
        <f t="shared" si="37"/>
        <v>2.6499733617474597E-2</v>
      </c>
      <c r="CE26" s="31">
        <v>28.13</v>
      </c>
      <c r="CF26" s="11">
        <f t="shared" si="53"/>
        <v>2.6658639226778566E-2</v>
      </c>
      <c r="CG26" s="3">
        <f t="shared" si="32"/>
        <v>1382.8652683967296</v>
      </c>
      <c r="CH26" s="1">
        <f t="shared" si="38"/>
        <v>-3.4341135398794818E-2</v>
      </c>
      <c r="CI26" s="6">
        <v>3521542.4166666665</v>
      </c>
      <c r="CJ26" s="1">
        <f t="shared" si="39"/>
        <v>1.4448564599833303E-2</v>
      </c>
      <c r="CK26" s="3">
        <f t="shared" si="40"/>
        <v>119.26032408273097</v>
      </c>
      <c r="CL26" s="1">
        <f t="shared" si="39"/>
        <v>2.5754728236770677E-2</v>
      </c>
      <c r="CM26" s="1">
        <f t="shared" si="41"/>
        <v>-1.1306163636937374E-2</v>
      </c>
      <c r="CN26" s="3">
        <f t="shared" si="49"/>
        <v>389.32212561328822</v>
      </c>
      <c r="CO26" s="1">
        <f t="shared" si="54"/>
        <v>2.5697039862497256E-2</v>
      </c>
      <c r="CP26" s="33">
        <f t="shared" si="50"/>
        <v>211.55502670479927</v>
      </c>
      <c r="CQ26" s="3"/>
      <c r="CR26" s="3">
        <f t="shared" si="55"/>
        <v>110.47700087849977</v>
      </c>
      <c r="CS26" s="3" t="e">
        <f>+#REF!/CN26</f>
        <v>#REF!</v>
      </c>
      <c r="CT26" s="1">
        <f t="shared" si="59"/>
        <v>1.4390548974544563E-2</v>
      </c>
      <c r="CU26" s="12">
        <f t="shared" si="56"/>
        <v>0.28376758886864817</v>
      </c>
      <c r="CV26" s="1"/>
      <c r="CW26" s="3"/>
      <c r="CY26" s="49"/>
      <c r="CZ26" s="12"/>
      <c r="DA26" s="12"/>
      <c r="DI26" s="5"/>
      <c r="DJ26" s="1"/>
    </row>
    <row r="27" spans="1:114" x14ac:dyDescent="0.3">
      <c r="A27" s="2"/>
      <c r="B27" s="2"/>
      <c r="C27" s="2"/>
      <c r="D27" s="2"/>
      <c r="H27" s="22">
        <f t="shared" si="13"/>
        <v>18</v>
      </c>
      <c r="I27" s="22">
        <f t="shared" si="3"/>
        <v>2016</v>
      </c>
      <c r="J27" s="22">
        <v>51</v>
      </c>
      <c r="K27" s="22">
        <v>0.75</v>
      </c>
      <c r="L27" s="25">
        <f t="shared" si="1"/>
        <v>0.88</v>
      </c>
      <c r="M27" s="26">
        <f t="shared" si="14"/>
        <v>-9.9999999999999395E-3</v>
      </c>
      <c r="N27" s="26">
        <f t="shared" si="15"/>
        <v>8.3220510136660254E-3</v>
      </c>
      <c r="O27" s="26">
        <v>3.1E-2</v>
      </c>
      <c r="P27" s="10">
        <v>98.6</v>
      </c>
      <c r="Q27" s="9">
        <f t="shared" si="16"/>
        <v>1.0193768189543024E-2</v>
      </c>
      <c r="R27" s="9">
        <f t="shared" si="34"/>
        <v>1.62802917981241E-2</v>
      </c>
      <c r="S27" s="31"/>
      <c r="T27" s="32"/>
      <c r="U27" s="11"/>
      <c r="V27" s="28">
        <v>0.26500000000000001</v>
      </c>
      <c r="W27" s="28">
        <v>0.375</v>
      </c>
      <c r="X27" s="28">
        <f t="shared" si="42"/>
        <v>0.90062500000000001</v>
      </c>
      <c r="Y27" s="28">
        <f t="shared" si="51"/>
        <v>0.73499999999999999</v>
      </c>
      <c r="Z27" s="28">
        <f t="shared" si="43"/>
        <v>2.7199677331331626</v>
      </c>
      <c r="AA27" s="9">
        <f t="shared" si="57"/>
        <v>1.7062075340103229E-3</v>
      </c>
      <c r="AB27" s="3">
        <f>+AB9*L27+AG10*L26+AG11*L25+AG12*L24+AG13*L23+AG14*L22+AG15*L21+AG16*L20+AG17*L19+AG18*L18+AG19*L17+AG20*L16+AG21*L15+AG22*L14+AG23*L13+AG24*L12+AG25*L11+AG26*L10+AG27</f>
        <v>251.53223746211214</v>
      </c>
      <c r="AC27" s="1">
        <f t="shared" si="17"/>
        <v>8.7111631338993897E-2</v>
      </c>
      <c r="AD27" s="40">
        <v>1594.4415263468388</v>
      </c>
      <c r="AE27" s="40">
        <v>663.77134639628321</v>
      </c>
      <c r="AF27" s="51">
        <v>98.6</v>
      </c>
      <c r="AG27" s="40">
        <f t="shared" si="18"/>
        <v>22.902767472039777</v>
      </c>
      <c r="AH27" s="2">
        <f t="shared" si="44"/>
        <v>684.15956973973357</v>
      </c>
      <c r="AI27" s="2">
        <f t="shared" si="45"/>
        <v>1422.1595697397336</v>
      </c>
      <c r="AJ27" s="29">
        <f t="shared" si="52"/>
        <v>3.6625651533514249E-2</v>
      </c>
      <c r="AK27" s="29">
        <f t="shared" si="46"/>
        <v>0.27071505068201174</v>
      </c>
      <c r="AL27" s="29">
        <f t="shared" si="47"/>
        <v>0.24821405945649389</v>
      </c>
      <c r="AM27" s="29">
        <f t="shared" si="48"/>
        <v>0.48107088986149438</v>
      </c>
      <c r="AO27" s="22">
        <f t="shared" si="19"/>
        <v>18</v>
      </c>
      <c r="AP27" s="22">
        <f t="shared" si="4"/>
        <v>2016</v>
      </c>
      <c r="AQ27" s="22">
        <v>51</v>
      </c>
      <c r="AR27" s="22">
        <v>1</v>
      </c>
      <c r="AS27" s="25">
        <f t="shared" si="5"/>
        <v>1</v>
      </c>
      <c r="AT27" s="26">
        <f t="shared" si="20"/>
        <v>0</v>
      </c>
      <c r="AU27" s="3">
        <f t="shared" si="6"/>
        <v>61.492679058111854</v>
      </c>
      <c r="AV27" s="3">
        <v>6.4125920442591644</v>
      </c>
      <c r="AW27" s="1">
        <f t="shared" si="21"/>
        <v>8.9927167072261685E-2</v>
      </c>
      <c r="AX27" s="3">
        <f t="shared" si="7"/>
        <v>1.1240834084459734</v>
      </c>
      <c r="AY27" s="3"/>
      <c r="AZ27" s="22">
        <f t="shared" si="22"/>
        <v>18</v>
      </c>
      <c r="BA27" s="22">
        <f t="shared" si="8"/>
        <v>2016</v>
      </c>
      <c r="BB27" s="22">
        <v>51</v>
      </c>
      <c r="BC27" s="22">
        <v>0</v>
      </c>
      <c r="BD27" s="25">
        <f t="shared" si="9"/>
        <v>0.6470588235294118</v>
      </c>
      <c r="BE27" s="26">
        <f t="shared" si="23"/>
        <v>-2.9411764705882248E-2</v>
      </c>
      <c r="BF27" s="3">
        <f>+BF9*BD27+BG10*BD26+BG11*BD25+BG12*BD24+BG13*BD23+BG14*BD22+BG15*BD21+BG16*BD20+BG17*BD19+BG18*BD18+BG19*BD17+BG20*BD16+BG21*BD15+BG22*BD14+BG23*BD13+BG24*BD12+BG25*BD11+BG26*BD10+BG27</f>
        <v>51.686800917053489</v>
      </c>
      <c r="BG27" s="3">
        <v>6.4125920442591644</v>
      </c>
      <c r="BH27" s="1">
        <f t="shared" si="24"/>
        <v>0.10626405658754409</v>
      </c>
      <c r="BK27" s="22">
        <f t="shared" si="25"/>
        <v>18</v>
      </c>
      <c r="BL27" s="22">
        <f t="shared" si="10"/>
        <v>2016</v>
      </c>
      <c r="BM27" s="11">
        <v>3.5000000000000003E-2</v>
      </c>
      <c r="BN27" s="3">
        <f t="shared" si="26"/>
        <v>45.396903019857092</v>
      </c>
      <c r="BO27" s="3">
        <v>6.4125920442591644</v>
      </c>
      <c r="BP27" s="1">
        <f t="shared" si="27"/>
        <v>0.11665742714043661</v>
      </c>
      <c r="BQ27" s="1">
        <v>4.5900000000000003E-2</v>
      </c>
      <c r="BR27" s="3">
        <f t="shared" si="11"/>
        <v>40.496324552587694</v>
      </c>
      <c r="BS27" s="3">
        <v>6.4125920442591644</v>
      </c>
      <c r="BT27" s="1">
        <f t="shared" si="28"/>
        <v>0.12540420905998581</v>
      </c>
      <c r="BU27" s="22">
        <f t="shared" si="29"/>
        <v>2016</v>
      </c>
      <c r="BV27" s="10">
        <f t="shared" si="31"/>
        <v>206.63809479676598</v>
      </c>
      <c r="BW27" s="27">
        <f>217+136</f>
        <v>353</v>
      </c>
      <c r="BX27" s="10">
        <v>98.6</v>
      </c>
      <c r="BY27" s="11">
        <f t="shared" si="58"/>
        <v>1.0193768189543024E-2</v>
      </c>
      <c r="BZ27" s="3">
        <f t="shared" si="35"/>
        <v>35.801217038539555</v>
      </c>
      <c r="CA27" s="1">
        <f t="shared" si="36"/>
        <v>-1.8656442108276612E-2</v>
      </c>
      <c r="CB27" s="3">
        <f>175+210</f>
        <v>385</v>
      </c>
      <c r="CC27" s="31">
        <v>974.41</v>
      </c>
      <c r="CD27" s="32">
        <f t="shared" si="37"/>
        <v>1.1459771427384968E-2</v>
      </c>
      <c r="CE27" s="31">
        <v>28.84</v>
      </c>
      <c r="CF27" s="11">
        <f t="shared" si="53"/>
        <v>2.4926689914982893E-2</v>
      </c>
      <c r="CG27" s="3">
        <f t="shared" si="32"/>
        <v>1334.9514563106795</v>
      </c>
      <c r="CH27" s="1">
        <f t="shared" si="38"/>
        <v>-3.5262699245645006E-2</v>
      </c>
      <c r="CI27" s="6">
        <v>3571461.5</v>
      </c>
      <c r="CJ27" s="1">
        <f t="shared" si="39"/>
        <v>1.4075815583039279E-2</v>
      </c>
      <c r="CK27" s="3">
        <f t="shared" si="40"/>
        <v>122.4419199873339</v>
      </c>
      <c r="CL27" s="1">
        <f t="shared" si="39"/>
        <v>2.6328093862486756E-2</v>
      </c>
      <c r="CM27" s="1">
        <f t="shared" si="41"/>
        <v>-1.2252278279447477E-2</v>
      </c>
      <c r="CN27" s="3">
        <f t="shared" si="49"/>
        <v>398.20100811383054</v>
      </c>
      <c r="CO27" s="1">
        <f t="shared" si="54"/>
        <v>2.2549835950474859E-2</v>
      </c>
      <c r="CP27" s="33">
        <f t="shared" si="50"/>
        <v>206.63809479676598</v>
      </c>
      <c r="CQ27" s="3"/>
      <c r="CR27" s="3">
        <f t="shared" si="55"/>
        <v>111.62065816691008</v>
      </c>
      <c r="CS27" s="3" t="e">
        <f>+#REF!/CN27</f>
        <v>#REF!</v>
      </c>
      <c r="CT27" s="1">
        <f t="shared" si="59"/>
        <v>1.0298779390969038E-2</v>
      </c>
      <c r="CU27" s="12">
        <f t="shared" si="56"/>
        <v>0.28031234450064973</v>
      </c>
      <c r="CV27" s="1"/>
      <c r="CW27" s="3"/>
      <c r="CY27" s="6"/>
      <c r="DI27" s="5"/>
      <c r="DJ27" s="1"/>
    </row>
    <row r="28" spans="1:114" x14ac:dyDescent="0.3">
      <c r="A28" s="2"/>
      <c r="B28" s="2"/>
      <c r="C28" s="2"/>
      <c r="D28" s="2"/>
      <c r="H28" s="22">
        <f t="shared" si="13"/>
        <v>19</v>
      </c>
      <c r="I28" s="22">
        <f t="shared" si="3"/>
        <v>2017</v>
      </c>
      <c r="J28" s="22">
        <v>51</v>
      </c>
      <c r="K28" s="22">
        <v>0.75</v>
      </c>
      <c r="L28" s="25">
        <f t="shared" si="1"/>
        <v>0.87074829931972786</v>
      </c>
      <c r="M28" s="26">
        <f t="shared" si="14"/>
        <v>-1.0513296227581985E-2</v>
      </c>
      <c r="N28" s="26">
        <f t="shared" si="15"/>
        <v>8.3736533120643535E-3</v>
      </c>
      <c r="O28" s="26">
        <v>3.1E-2</v>
      </c>
      <c r="P28" s="10">
        <v>100</v>
      </c>
      <c r="Q28" s="9">
        <f t="shared" si="16"/>
        <v>1.4098924379501675E-2</v>
      </c>
      <c r="R28" s="9">
        <f t="shared" si="34"/>
        <v>1.3260290003948202E-2</v>
      </c>
      <c r="S28" s="31"/>
      <c r="T28" s="32"/>
      <c r="U28" s="11"/>
      <c r="V28" s="28">
        <v>0.26500000000000001</v>
      </c>
      <c r="W28" s="28">
        <v>0.375</v>
      </c>
      <c r="X28" s="28">
        <f t="shared" si="42"/>
        <v>0.90062500000000001</v>
      </c>
      <c r="Y28" s="28">
        <f t="shared" si="51"/>
        <v>0.73499999999999999</v>
      </c>
      <c r="Z28" s="28">
        <f t="shared" si="43"/>
        <v>2.7562487073433988</v>
      </c>
      <c r="AA28" s="9">
        <f t="shared" si="57"/>
        <v>1.3250573802999908E-2</v>
      </c>
      <c r="AB28" s="3">
        <f>+AB9*L28+AG10*L27+AG11*L26+AG12*L25+AG13*L24+AG14*L23+AG15*L22+AG16*L21+AG17*L20+AG18*L19+AG19*L18+AG20*L17+AG21*L16+AG22*L15+AG23*L14+AG24*L13+AG25*L12+AG26*L11+AG27*L10+AG28</f>
        <v>264.51103806296737</v>
      </c>
      <c r="AC28" s="1">
        <f t="shared" si="17"/>
        <v>5.0311820145459436E-2</v>
      </c>
      <c r="AD28" s="40">
        <v>710.05626756741572</v>
      </c>
      <c r="AE28" s="40">
        <v>798.4481678496652</v>
      </c>
      <c r="AF28" s="51">
        <v>100</v>
      </c>
      <c r="AG28" s="40">
        <f t="shared" si="18"/>
        <v>15.08504435417081</v>
      </c>
      <c r="AH28" s="2">
        <f t="shared" si="44"/>
        <v>729.05820673911433</v>
      </c>
      <c r="AI28" s="2">
        <f t="shared" si="45"/>
        <v>1462.0582067391142</v>
      </c>
      <c r="AJ28" s="29">
        <f t="shared" si="52"/>
        <v>2.7668633533854799E-2</v>
      </c>
      <c r="AK28" s="29">
        <f t="shared" si="46"/>
        <v>0.26811518049906713</v>
      </c>
      <c r="AL28" s="29">
        <f t="shared" si="47"/>
        <v>0.23323284834230074</v>
      </c>
      <c r="AM28" s="29">
        <f t="shared" si="48"/>
        <v>0.49865197115863225</v>
      </c>
      <c r="AO28" s="22">
        <f t="shared" si="19"/>
        <v>19</v>
      </c>
      <c r="AP28" s="22">
        <f t="shared" si="4"/>
        <v>2017</v>
      </c>
      <c r="AQ28" s="22">
        <v>51</v>
      </c>
      <c r="AR28" s="22">
        <v>1</v>
      </c>
      <c r="AS28" s="25">
        <f t="shared" si="5"/>
        <v>1</v>
      </c>
      <c r="AT28" s="26">
        <f t="shared" si="20"/>
        <v>0</v>
      </c>
      <c r="AU28" s="3">
        <f t="shared" si="6"/>
        <v>62.257035350243598</v>
      </c>
      <c r="AV28" s="3">
        <v>1.9942098732939804</v>
      </c>
      <c r="AW28" s="1">
        <f t="shared" si="21"/>
        <v>1.2353418612210851E-2</v>
      </c>
      <c r="AX28" s="3">
        <f t="shared" si="7"/>
        <v>1.2298535811622371</v>
      </c>
      <c r="AY28" s="3"/>
      <c r="AZ28" s="22">
        <f t="shared" si="22"/>
        <v>19</v>
      </c>
      <c r="BA28" s="22">
        <f t="shared" si="8"/>
        <v>2017</v>
      </c>
      <c r="BB28" s="22">
        <v>51</v>
      </c>
      <c r="BC28" s="22">
        <v>0</v>
      </c>
      <c r="BD28" s="25">
        <f t="shared" si="9"/>
        <v>0.62745098039215685</v>
      </c>
      <c r="BE28" s="26">
        <f t="shared" si="23"/>
        <v>-3.0303030303030366E-2</v>
      </c>
      <c r="BF28" s="3">
        <f>+BF9*BD28+BG10*BD27+BG11*BD26+BG12*BD25+BG13*BD24+BG14*BD23+BG15*BD22+BG16*BD21+BG17*BD20+BG18*BD19+BG19*BD18+BG20*BD17+BG21*BD16+BG22*BD15+BG23*BD14+BG24*BD13+BG25*BD12+BG26*BD11+BG27*BD10+BG28</f>
        <v>52.353373782367257</v>
      </c>
      <c r="BG28" s="3">
        <v>1.9942098732939804</v>
      </c>
      <c r="BH28" s="1">
        <f t="shared" si="24"/>
        <v>1.2813934386056583E-2</v>
      </c>
      <c r="BK28" s="22">
        <f t="shared" si="25"/>
        <v>19</v>
      </c>
      <c r="BL28" s="22">
        <f t="shared" si="10"/>
        <v>2017</v>
      </c>
      <c r="BM28" s="11">
        <v>3.5000000000000003E-2</v>
      </c>
      <c r="BN28" s="3">
        <f t="shared" si="26"/>
        <v>45.802221287456078</v>
      </c>
      <c r="BO28" s="3">
        <v>1.9942098732939804</v>
      </c>
      <c r="BP28" s="1">
        <f t="shared" si="27"/>
        <v>8.8887023713062393E-3</v>
      </c>
      <c r="BQ28" s="1">
        <v>4.5900000000000003E-2</v>
      </c>
      <c r="BR28" s="3">
        <f t="shared" si="11"/>
        <v>40.6317531289179</v>
      </c>
      <c r="BS28" s="3">
        <v>1.9942098732939804</v>
      </c>
      <c r="BT28" s="1">
        <f t="shared" si="28"/>
        <v>3.3386394944108374E-3</v>
      </c>
      <c r="BU28" s="22">
        <f t="shared" si="29"/>
        <v>2017</v>
      </c>
      <c r="BV28" s="10">
        <f t="shared" si="31"/>
        <v>202.32464949773185</v>
      </c>
      <c r="BW28" s="27">
        <f>201+140</f>
        <v>341</v>
      </c>
      <c r="BX28" s="10">
        <v>100</v>
      </c>
      <c r="BY28" s="11">
        <f t="shared" si="58"/>
        <v>1.4098924379501675E-2</v>
      </c>
      <c r="BZ28" s="3">
        <f t="shared" si="35"/>
        <v>34.1</v>
      </c>
      <c r="CA28" s="1">
        <f t="shared" si="36"/>
        <v>-4.8684504029281581E-2</v>
      </c>
      <c r="CB28" s="3">
        <f>170+222</f>
        <v>392</v>
      </c>
      <c r="CC28" s="31">
        <v>993.23</v>
      </c>
      <c r="CD28" s="32">
        <f t="shared" si="37"/>
        <v>1.9314251701029406E-2</v>
      </c>
      <c r="CE28" s="31">
        <v>29.11</v>
      </c>
      <c r="CF28" s="11">
        <f t="shared" si="53"/>
        <v>9.318445340783417E-3</v>
      </c>
      <c r="CG28" s="3">
        <f t="shared" si="32"/>
        <v>1346.616283064239</v>
      </c>
      <c r="CH28" s="1">
        <f t="shared" si="38"/>
        <v>8.7000601618948403E-3</v>
      </c>
      <c r="CI28" s="6">
        <v>3622890.2499999995</v>
      </c>
      <c r="CJ28" s="1">
        <f t="shared" si="39"/>
        <v>1.4297223108513234E-2</v>
      </c>
      <c r="CK28" s="3">
        <f t="shared" si="40"/>
        <v>124.32598668949032</v>
      </c>
      <c r="CL28" s="1">
        <f t="shared" si="39"/>
        <v>1.5270245940873478E-2</v>
      </c>
      <c r="CM28" s="1">
        <f t="shared" si="41"/>
        <v>-9.730228323602437E-4</v>
      </c>
      <c r="CN28" s="3">
        <f t="shared" si="49"/>
        <v>403.56127452083717</v>
      </c>
      <c r="CO28" s="1">
        <f t="shared" si="54"/>
        <v>1.3371410425341597E-2</v>
      </c>
      <c r="CP28" s="33">
        <f t="shared" si="50"/>
        <v>202.32464949773185</v>
      </c>
      <c r="CQ28" s="3"/>
      <c r="CR28" s="3">
        <f t="shared" si="55"/>
        <v>113.01285334717352</v>
      </c>
      <c r="CS28" s="3" t="e">
        <f>+#REF!/CN28</f>
        <v>#REF!</v>
      </c>
      <c r="CT28" s="1">
        <f t="shared" si="59"/>
        <v>1.2395416839728009E-2</v>
      </c>
      <c r="CU28" s="12">
        <f t="shared" si="56"/>
        <v>0.28003889491467621</v>
      </c>
      <c r="CV28" s="1"/>
      <c r="CW28" s="3"/>
      <c r="CY28" s="6"/>
      <c r="DB28" s="1"/>
      <c r="DI28" s="5"/>
      <c r="DJ28" s="1"/>
    </row>
    <row r="29" spans="1:114" x14ac:dyDescent="0.3">
      <c r="A29" s="2"/>
      <c r="B29" s="2"/>
      <c r="C29" s="2"/>
      <c r="D29" s="2"/>
      <c r="H29" s="22">
        <f t="shared" si="13"/>
        <v>20</v>
      </c>
      <c r="I29" s="22">
        <f t="shared" si="3"/>
        <v>2018</v>
      </c>
      <c r="J29" s="22">
        <v>51</v>
      </c>
      <c r="K29" s="22">
        <v>0.75</v>
      </c>
      <c r="L29" s="25">
        <f t="shared" si="1"/>
        <v>0.86111111111111116</v>
      </c>
      <c r="M29" s="26">
        <f t="shared" si="14"/>
        <v>-1.106770833333324E-2</v>
      </c>
      <c r="N29" s="26">
        <f t="shared" si="15"/>
        <v>8.5545634795989711E-3</v>
      </c>
      <c r="O29" s="26">
        <v>3.1E-2</v>
      </c>
      <c r="P29" s="10">
        <v>101.6</v>
      </c>
      <c r="Q29" s="9">
        <f t="shared" si="16"/>
        <v>1.5873349156290163E-2</v>
      </c>
      <c r="R29" s="9">
        <f t="shared" si="34"/>
        <v>1.338868057511162E-2</v>
      </c>
      <c r="S29" s="31"/>
      <c r="T29" s="32"/>
      <c r="U29" s="11"/>
      <c r="V29" s="28">
        <v>0.26500000000000001</v>
      </c>
      <c r="W29" s="28">
        <v>0.375</v>
      </c>
      <c r="X29" s="28">
        <f t="shared" si="42"/>
        <v>0.90062500000000001</v>
      </c>
      <c r="Y29" s="28">
        <f t="shared" si="51"/>
        <v>0.73499999999999999</v>
      </c>
      <c r="Z29" s="28">
        <f t="shared" si="43"/>
        <v>2.777929007076946</v>
      </c>
      <c r="AA29" s="9">
        <f t="shared" si="57"/>
        <v>7.8350973758882746E-3</v>
      </c>
      <c r="AB29" s="3">
        <f>+AB9*L29+AG10*L28+AG11*L27+AG12*L26+AG13*L25+AG14*L24+AG15*L23+AG16*L22+AG17*L21+AG18*L20+AG19*L19+AG20*L18+AG21*L17+AG22*L16+AG23*L15+AG24*L14+AG25*L13+AG26*L12+AG27*L11+AG28*L10+AG29</f>
        <v>270.85588170492309</v>
      </c>
      <c r="AC29" s="1">
        <f t="shared" si="17"/>
        <v>2.3703895361437244E-2</v>
      </c>
      <c r="AD29" s="40">
        <v>708.77005788108329</v>
      </c>
      <c r="AE29" s="40">
        <v>165.76414510390788</v>
      </c>
      <c r="AF29" s="51">
        <v>101.6</v>
      </c>
      <c r="AG29" s="40">
        <f t="shared" si="18"/>
        <v>8.6076201081199937</v>
      </c>
      <c r="AH29" s="2">
        <f t="shared" si="44"/>
        <v>752.41841052550774</v>
      </c>
      <c r="AI29" s="2">
        <f t="shared" si="45"/>
        <v>1515.4184105255076</v>
      </c>
      <c r="AJ29" s="29">
        <f t="shared" si="52"/>
        <v>3.5846405769628484E-2</v>
      </c>
      <c r="AK29" s="29">
        <f t="shared" si="46"/>
        <v>0.2738517607530509</v>
      </c>
      <c r="AL29" s="29">
        <f t="shared" si="47"/>
        <v>0.22963954877605233</v>
      </c>
      <c r="AM29" s="29">
        <f t="shared" si="48"/>
        <v>0.49650869047089685</v>
      </c>
      <c r="AO29" s="22">
        <f t="shared" si="19"/>
        <v>20</v>
      </c>
      <c r="AP29" s="22">
        <f t="shared" si="4"/>
        <v>2018</v>
      </c>
      <c r="AQ29" s="22">
        <v>51</v>
      </c>
      <c r="AR29" s="22">
        <v>1</v>
      </c>
      <c r="AS29" s="25">
        <f t="shared" si="5"/>
        <v>1</v>
      </c>
      <c r="AT29" s="26">
        <f t="shared" si="20"/>
        <v>0</v>
      </c>
      <c r="AU29" s="3">
        <f t="shared" si="6"/>
        <v>62.609349574309775</v>
      </c>
      <c r="AV29" s="3">
        <v>1.59745493107105</v>
      </c>
      <c r="AW29" s="1">
        <f t="shared" si="21"/>
        <v>5.6430745426255162E-3</v>
      </c>
      <c r="AX29" s="3">
        <f t="shared" si="7"/>
        <v>1.2451407070048719</v>
      </c>
      <c r="AY29" s="3"/>
      <c r="AZ29" s="22">
        <f t="shared" si="22"/>
        <v>20</v>
      </c>
      <c r="BA29" s="22">
        <f t="shared" si="8"/>
        <v>2018</v>
      </c>
      <c r="BB29" s="22">
        <v>51</v>
      </c>
      <c r="BC29" s="22">
        <v>0</v>
      </c>
      <c r="BD29" s="25">
        <f t="shared" si="9"/>
        <v>0.60784313725490191</v>
      </c>
      <c r="BE29" s="26">
        <f t="shared" si="23"/>
        <v>-3.1250000000000069E-2</v>
      </c>
      <c r="BF29" s="3">
        <f>+BF9*BD29+BG10*BD28+BG11*BD27+BG12*BD26+BG13*BD25+BG14*BD24+BG15*BD23+BG16*BD22+BG17*BD21+BG18*BD20+BG19*BD19+BG20*BD18+BG21*BD17+BG22*BD16+BG23*BD15+BG24*BD14+BG25*BD13+BG26*BD12+BG27*BD11+BG28*BD10+BG28</f>
        <v>52.98084449330274</v>
      </c>
      <c r="BG29" s="3">
        <v>1.59745493107105</v>
      </c>
      <c r="BH29" s="1">
        <f t="shared" si="24"/>
        <v>1.1914041673295168E-2</v>
      </c>
      <c r="BK29" s="22">
        <f t="shared" si="25"/>
        <v>20</v>
      </c>
      <c r="BL29" s="22">
        <f t="shared" si="10"/>
        <v>2018</v>
      </c>
      <c r="BM29" s="11">
        <v>3.5000000000000003E-2</v>
      </c>
      <c r="BN29" s="3">
        <f t="shared" si="26"/>
        <v>45.796598473466162</v>
      </c>
      <c r="BO29" s="3">
        <v>1.59745493107105</v>
      </c>
      <c r="BP29" s="1">
        <f t="shared" si="27"/>
        <v>-1.2277044642396563E-4</v>
      </c>
      <c r="BQ29" s="1">
        <v>4.5900000000000003E-2</v>
      </c>
      <c r="BR29" s="3">
        <f t="shared" si="11"/>
        <v>40.364210591371616</v>
      </c>
      <c r="BS29" s="3">
        <v>1.59745493107105</v>
      </c>
      <c r="BT29" s="1">
        <f t="shared" si="28"/>
        <v>-6.6063418052827848E-3</v>
      </c>
      <c r="BU29" s="22">
        <f t="shared" si="29"/>
        <v>2018</v>
      </c>
      <c r="BV29" s="10">
        <f t="shared" si="31"/>
        <v>207.8153270749053</v>
      </c>
      <c r="BW29" s="27">
        <f>201+147</f>
        <v>348</v>
      </c>
      <c r="BX29" s="10">
        <v>101.6</v>
      </c>
      <c r="BY29" s="11">
        <f t="shared" si="58"/>
        <v>1.5873349156290163E-2</v>
      </c>
      <c r="BZ29" s="3">
        <f t="shared" si="35"/>
        <v>34.251968503937007</v>
      </c>
      <c r="CA29" s="1">
        <f t="shared" si="36"/>
        <v>4.4466533346674501E-3</v>
      </c>
      <c r="CB29" s="3">
        <f>171+244</f>
        <v>415</v>
      </c>
      <c r="CC29" s="31">
        <v>1022</v>
      </c>
      <c r="CD29" s="32">
        <f t="shared" si="37"/>
        <v>2.8966100500387615E-2</v>
      </c>
      <c r="CE29" s="31">
        <v>30.05</v>
      </c>
      <c r="CF29" s="11">
        <f t="shared" si="53"/>
        <v>3.1780903223684709E-2</v>
      </c>
      <c r="CG29" s="3">
        <f t="shared" si="32"/>
        <v>1381.0316139767056</v>
      </c>
      <c r="CH29" s="1">
        <f t="shared" si="38"/>
        <v>2.5235777216551077E-2</v>
      </c>
      <c r="CI29" s="6">
        <v>3671529</v>
      </c>
      <c r="CJ29" s="1">
        <f t="shared" si="39"/>
        <v>1.3336077678450848E-2</v>
      </c>
      <c r="CK29" s="3">
        <f t="shared" si="40"/>
        <v>126.79469810480639</v>
      </c>
      <c r="CL29" s="1">
        <f t="shared" si="39"/>
        <v>1.9662187133715436E-2</v>
      </c>
      <c r="CM29" s="1">
        <f t="shared" si="41"/>
        <v>-6.3261094552645881E-3</v>
      </c>
      <c r="CN29" s="3">
        <f t="shared" si="49"/>
        <v>412.74858799304258</v>
      </c>
      <c r="CO29" s="1">
        <f t="shared" si="54"/>
        <v>2.2510328091177433E-2</v>
      </c>
      <c r="CP29" s="33">
        <f t="shared" si="50"/>
        <v>207.8153270749053</v>
      </c>
      <c r="CQ29" s="3"/>
      <c r="CR29" s="3">
        <f t="shared" si="55"/>
        <v>114.85677484876155</v>
      </c>
      <c r="CS29" s="3" t="e">
        <f>+#REF!/CN29</f>
        <v>#REF!</v>
      </c>
      <c r="CT29" s="1">
        <f t="shared" si="59"/>
        <v>1.6184357386579699E-2</v>
      </c>
      <c r="CU29" s="12">
        <f t="shared" si="56"/>
        <v>0.27827296855755107</v>
      </c>
      <c r="CV29" s="1"/>
      <c r="CW29" s="3"/>
      <c r="CY29" s="6"/>
      <c r="CZ29" s="1"/>
      <c r="DB29" s="1"/>
      <c r="DI29" s="5"/>
      <c r="DJ29" s="1"/>
    </row>
    <row r="30" spans="1:114" x14ac:dyDescent="0.3">
      <c r="A30" s="2"/>
      <c r="B30" s="2"/>
      <c r="C30" s="2"/>
      <c r="D30" s="2"/>
      <c r="H30" s="22">
        <f t="shared" si="13"/>
        <v>21</v>
      </c>
      <c r="I30" s="22">
        <f t="shared" si="3"/>
        <v>2019</v>
      </c>
      <c r="J30" s="22">
        <v>51</v>
      </c>
      <c r="K30" s="22">
        <v>0.75</v>
      </c>
      <c r="L30" s="25">
        <f t="shared" si="1"/>
        <v>0.85106382978723405</v>
      </c>
      <c r="M30" s="26">
        <f t="shared" si="14"/>
        <v>-1.166781056966374E-2</v>
      </c>
      <c r="N30" s="26">
        <f t="shared" si="15"/>
        <v>8.9068282592729767E-3</v>
      </c>
      <c r="O30" s="26">
        <v>3.1E-2</v>
      </c>
      <c r="P30" s="10">
        <v>103.5</v>
      </c>
      <c r="Q30" s="9">
        <f t="shared" si="16"/>
        <v>1.8528077561042213E-2</v>
      </c>
      <c r="R30" s="9">
        <f t="shared" si="34"/>
        <v>1.6166783698944684E-2</v>
      </c>
      <c r="S30" s="31"/>
      <c r="T30" s="32"/>
      <c r="U30" s="11"/>
      <c r="V30" s="28">
        <v>0.26500000000000001</v>
      </c>
      <c r="W30" s="28">
        <v>0.375</v>
      </c>
      <c r="X30" s="28">
        <f t="shared" si="42"/>
        <v>0.90062500000000001</v>
      </c>
      <c r="Y30" s="28">
        <f t="shared" si="51"/>
        <v>0.73499999999999999</v>
      </c>
      <c r="Z30" s="28">
        <f t="shared" si="43"/>
        <v>2.782105972961685</v>
      </c>
      <c r="AA30" s="9">
        <f t="shared" si="57"/>
        <v>1.5024965438257835E-3</v>
      </c>
      <c r="AB30" s="3">
        <f>+AB9*L30+AG10*L29+AG11*L28+AG12*L27+AG13*L26+AG14*L25+AG15*L24+AG16*L23+AG17*L22+AG18*L21+AG19*L20+AG20*L19+AG21*L18+AG22*L17+AG23*L16+AG24+L15*AG25*L14+AG26*L13+AG27*L12+AG28*L11+AG29*L10+AG30</f>
        <v>278.64734525950541</v>
      </c>
      <c r="AC30" s="1">
        <f t="shared" si="17"/>
        <v>2.8360109223530185E-2</v>
      </c>
      <c r="AD30" s="40">
        <v>853.8918000000001</v>
      </c>
      <c r="AE30" s="40">
        <v>202.21499391000003</v>
      </c>
      <c r="AF30" s="51">
        <v>103.5</v>
      </c>
      <c r="AG30" s="40">
        <f t="shared" si="18"/>
        <v>10.203930375942029</v>
      </c>
      <c r="AH30" s="2">
        <f t="shared" si="44"/>
        <v>775.22644359638684</v>
      </c>
      <c r="AI30" s="2">
        <f t="shared" si="45"/>
        <v>1564.2264435963868</v>
      </c>
      <c r="AJ30" s="29">
        <f t="shared" si="52"/>
        <v>3.1699837155227298E-2</v>
      </c>
      <c r="AK30" s="29">
        <f t="shared" si="46"/>
        <v>0.219277714811797</v>
      </c>
      <c r="AL30" s="29">
        <f t="shared" si="47"/>
        <v>0.28512495861825499</v>
      </c>
      <c r="AM30" s="29">
        <f t="shared" si="48"/>
        <v>0.49559732656994798</v>
      </c>
      <c r="AO30" s="22">
        <f t="shared" si="19"/>
        <v>21</v>
      </c>
      <c r="AP30" s="22">
        <f t="shared" si="4"/>
        <v>2019</v>
      </c>
      <c r="AQ30" s="22">
        <v>51</v>
      </c>
      <c r="AR30" s="22">
        <v>1</v>
      </c>
      <c r="AS30" s="25">
        <f t="shared" si="5"/>
        <v>1</v>
      </c>
      <c r="AT30" s="26">
        <f t="shared" si="20"/>
        <v>0</v>
      </c>
      <c r="AU30" s="3">
        <f t="shared" si="6"/>
        <v>63.622938380893359</v>
      </c>
      <c r="AV30" s="3">
        <v>2.265775798069785</v>
      </c>
      <c r="AW30" s="1">
        <f t="shared" si="21"/>
        <v>1.6059450511822289E-2</v>
      </c>
      <c r="AX30" s="3">
        <f t="shared" si="7"/>
        <v>1.2521869914861956</v>
      </c>
      <c r="AY30" s="3"/>
      <c r="AZ30" s="22">
        <f t="shared" si="22"/>
        <v>21</v>
      </c>
      <c r="BA30" s="22">
        <f t="shared" si="8"/>
        <v>2019</v>
      </c>
      <c r="BB30" s="22">
        <v>51</v>
      </c>
      <c r="BC30" s="22">
        <v>0</v>
      </c>
      <c r="BD30" s="25">
        <f t="shared" si="9"/>
        <v>0.58823529411764708</v>
      </c>
      <c r="BE30" s="26">
        <f t="shared" si="23"/>
        <v>-3.225806451612892E-2</v>
      </c>
      <c r="BF30" s="3">
        <f>+BF9*BD30+BG10*BD29+BG11*BD28+BG12*BD27+BG13*BD26+BG14*BD25+BG15*BD24+BG16*BD23+BG17*BD22+BG18*BD21+BG19*BD20+BG20*BD19+BG21*BD18+BG22*BD17+BG23*BD16+BG24+BD15*BG25*BD14+BG26*BD13+BG27*BD12+BG28*BD11+BG29*BD10+BG29</f>
        <v>52.778645029508198</v>
      </c>
      <c r="BG30" s="3">
        <v>2.265775798069785</v>
      </c>
      <c r="BH30" s="1">
        <f t="shared" si="24"/>
        <v>-3.8237648663586713E-3</v>
      </c>
      <c r="BK30" s="22">
        <f t="shared" si="25"/>
        <v>21</v>
      </c>
      <c r="BL30" s="22">
        <f t="shared" si="10"/>
        <v>2019</v>
      </c>
      <c r="BM30" s="11">
        <v>3.5000000000000003E-2</v>
      </c>
      <c r="BN30" s="3">
        <f t="shared" si="26"/>
        <v>46.459493324964626</v>
      </c>
      <c r="BO30" s="3">
        <v>2.265775798069785</v>
      </c>
      <c r="BP30" s="1">
        <f t="shared" si="27"/>
        <v>1.4371002440542402E-2</v>
      </c>
      <c r="BQ30" s="1">
        <v>4.5900000000000003E-2</v>
      </c>
      <c r="BR30" s="3">
        <f t="shared" si="11"/>
        <v>40.777269123297437</v>
      </c>
      <c r="BS30" s="3">
        <v>2.265775798069785</v>
      </c>
      <c r="BT30" s="1">
        <f t="shared" si="28"/>
        <v>1.0181280929487307E-2</v>
      </c>
      <c r="BU30" s="22">
        <f t="shared" si="29"/>
        <v>2019</v>
      </c>
      <c r="BV30" s="10">
        <f t="shared" si="31"/>
        <v>212.32094782510961</v>
      </c>
      <c r="BW30" s="3">
        <v>446</v>
      </c>
      <c r="BX30" s="10">
        <v>103.5</v>
      </c>
      <c r="BY30" s="11">
        <f t="shared" si="58"/>
        <v>1.8528077561042213E-2</v>
      </c>
      <c r="BZ30" s="3">
        <f t="shared" si="35"/>
        <v>43.091787439613526</v>
      </c>
      <c r="CA30" s="1">
        <f t="shared" si="36"/>
        <v>0.2295883946845475</v>
      </c>
      <c r="CB30" s="3">
        <v>343</v>
      </c>
      <c r="CC30" s="31">
        <v>1049.73</v>
      </c>
      <c r="CD30" s="32">
        <f t="shared" si="37"/>
        <v>2.71330724070451E-2</v>
      </c>
      <c r="CE30" s="31">
        <v>30.85</v>
      </c>
      <c r="CF30" s="11">
        <f t="shared" si="53"/>
        <v>2.6274089370180213E-2</v>
      </c>
      <c r="CG30" s="3">
        <f t="shared" si="32"/>
        <v>1111.8314424635332</v>
      </c>
      <c r="CH30" s="1">
        <f t="shared" si="38"/>
        <v>-0.21682216243493865</v>
      </c>
      <c r="CI30" s="6">
        <v>3716072.3333333335</v>
      </c>
      <c r="CJ30" s="1">
        <f t="shared" si="39"/>
        <v>1.2059089579751677E-2</v>
      </c>
      <c r="CK30" s="3">
        <f t="shared" si="40"/>
        <v>129.3172418330775</v>
      </c>
      <c r="CL30" s="1">
        <f t="shared" si="39"/>
        <v>1.969939632273162E-2</v>
      </c>
      <c r="CM30" s="1">
        <f t="shared" si="41"/>
        <v>-7.6403067429799427E-3</v>
      </c>
      <c r="CN30" s="3">
        <f t="shared" si="49"/>
        <v>420.93541333014605</v>
      </c>
      <c r="CO30" s="1">
        <f t="shared" si="54"/>
        <v>1.9640747575475827E-2</v>
      </c>
      <c r="CP30" s="33">
        <f t="shared" si="50"/>
        <v>212.32094782510961</v>
      </c>
      <c r="CQ30" s="3"/>
      <c r="CR30" s="3">
        <f t="shared" si="55"/>
        <v>116.24247327056258</v>
      </c>
      <c r="CS30" s="3" t="e">
        <f>+#REF!/CN30</f>
        <v>#REF!</v>
      </c>
      <c r="CT30" s="1">
        <f t="shared" si="59"/>
        <v>1.1992380246223473E-2</v>
      </c>
      <c r="CU30" s="12">
        <f t="shared" si="56"/>
        <v>0.27615275310512266</v>
      </c>
      <c r="CV30" s="1"/>
      <c r="CW30" s="3"/>
      <c r="CY30" s="6"/>
      <c r="CZ30" s="1"/>
      <c r="DB30" s="1"/>
    </row>
    <row r="31" spans="1:114" x14ac:dyDescent="0.3">
      <c r="A31" s="2"/>
      <c r="B31" s="2"/>
      <c r="C31" s="2"/>
      <c r="D31" s="2"/>
      <c r="H31" s="22">
        <f t="shared" si="13"/>
        <v>22</v>
      </c>
      <c r="I31" s="22">
        <f t="shared" si="3"/>
        <v>2020</v>
      </c>
      <c r="J31" s="22">
        <v>51</v>
      </c>
      <c r="K31" s="22">
        <v>0.75</v>
      </c>
      <c r="L31" s="25">
        <f t="shared" si="1"/>
        <v>0.84057971014492749</v>
      </c>
      <c r="M31" s="26">
        <f t="shared" si="14"/>
        <v>-1.2318840579710203E-2</v>
      </c>
      <c r="N31" s="26">
        <f t="shared" si="15"/>
        <v>9.0511636074181254E-3</v>
      </c>
      <c r="O31" s="26">
        <v>3.1E-2</v>
      </c>
      <c r="P31" s="10">
        <v>105.4</v>
      </c>
      <c r="Q31" s="9">
        <f t="shared" si="16"/>
        <v>1.8191023401838181E-2</v>
      </c>
      <c r="R31" s="9">
        <f t="shared" si="34"/>
        <v>1.7530816706390184E-2</v>
      </c>
      <c r="S31" s="31"/>
      <c r="T31" s="32"/>
      <c r="U31" s="11"/>
      <c r="V31" s="28">
        <v>0.26500000000000001</v>
      </c>
      <c r="W31" s="28">
        <v>0.375</v>
      </c>
      <c r="X31" s="28">
        <f t="shared" si="42"/>
        <v>0.90062500000000001</v>
      </c>
      <c r="Y31" s="28">
        <f t="shared" si="51"/>
        <v>0.73499999999999999</v>
      </c>
      <c r="Z31" s="28">
        <f t="shared" si="43"/>
        <v>2.8132296707503204</v>
      </c>
      <c r="AA31" s="9">
        <f t="shared" si="57"/>
        <v>1.1124987229630163E-2</v>
      </c>
      <c r="AB31" s="3">
        <f>+AB9*L31+AG10*L30+AG11*L29+AG12*L28+AG13*L27+AG14*L26+AG15*L25+AG16*L24+AG17*L23+AG18*L22+AG19*L21+AG20*L20+AG21*L19+AG22*L18+AG23*L17+AG24*L16+AG25*L15+AG26*L14+AG27*L13+AG28*L12+AG29*L11+AG30*L10+AG31</f>
        <v>285.83426601396917</v>
      </c>
      <c r="AC31" s="1">
        <f t="shared" si="17"/>
        <v>2.5465166569660299E-2</v>
      </c>
      <c r="AD31" s="40">
        <v>812.7944</v>
      </c>
      <c r="AE31" s="40">
        <v>210.53456523000006</v>
      </c>
      <c r="AF31" s="51">
        <v>105.4</v>
      </c>
      <c r="AG31" s="40">
        <f t="shared" si="18"/>
        <v>9.709003465180265</v>
      </c>
      <c r="AH31" s="2">
        <f t="shared" si="44"/>
        <v>804.11743806763798</v>
      </c>
      <c r="AI31" s="2">
        <f t="shared" si="45"/>
        <v>1620.117438067638</v>
      </c>
      <c r="AJ31" s="29">
        <f t="shared" si="52"/>
        <v>3.5107222700201224E-2</v>
      </c>
      <c r="AK31" s="29">
        <f t="shared" si="46"/>
        <v>0.19319587126555737</v>
      </c>
      <c r="AL31" s="29">
        <f t="shared" si="47"/>
        <v>0.31047132027659857</v>
      </c>
      <c r="AM31" s="29">
        <f t="shared" si="48"/>
        <v>0.49633280845784405</v>
      </c>
      <c r="AO31" s="22">
        <f t="shared" si="19"/>
        <v>22</v>
      </c>
      <c r="AP31" s="22">
        <f t="shared" si="4"/>
        <v>2020</v>
      </c>
      <c r="AQ31" s="22">
        <v>51</v>
      </c>
      <c r="AR31" s="22">
        <v>1</v>
      </c>
      <c r="AS31" s="25">
        <f t="shared" si="5"/>
        <v>1</v>
      </c>
      <c r="AT31" s="26">
        <f t="shared" si="20"/>
        <v>0</v>
      </c>
      <c r="AU31" s="3">
        <f t="shared" si="6"/>
        <v>64.555482748945479</v>
      </c>
      <c r="AV31" s="3">
        <v>2.2050031356699882</v>
      </c>
      <c r="AW31" s="1">
        <f t="shared" si="21"/>
        <v>1.4550980013974257E-2</v>
      </c>
      <c r="AX31" s="3">
        <f t="shared" si="7"/>
        <v>1.2724587676178671</v>
      </c>
      <c r="AY31" s="3"/>
      <c r="AZ31" s="22">
        <f t="shared" si="22"/>
        <v>22</v>
      </c>
      <c r="BA31" s="22">
        <f t="shared" si="8"/>
        <v>2020</v>
      </c>
      <c r="BB31" s="22">
        <v>51</v>
      </c>
      <c r="BC31" s="22">
        <v>0</v>
      </c>
      <c r="BD31" s="25">
        <f t="shared" si="9"/>
        <v>0.56862745098039214</v>
      </c>
      <c r="BE31" s="26">
        <f t="shared" si="23"/>
        <v>-3.3333333333333402E-2</v>
      </c>
      <c r="BF31" s="3">
        <f>+BF9*BD31+BG10*BD30+BG11*BD29+BG12*BD28+BG13*BD27+BG14*BD26+BG15*BD25+BG16*BD24+BG17*BD23+BG18*BD22+BG19*BD21+BG20*BD20+BG21*BD19+BG22*BD18+BG23*BD17+BG24*BD16+BG25*BD15+BG26*BD14+BG27*BD13+BG28*BD12+BG29*BD11+BG30*BD10+BG31</f>
        <v>54.214317892255259</v>
      </c>
      <c r="BG31" s="3">
        <v>2.2050031356699882</v>
      </c>
      <c r="BH31" s="1">
        <f t="shared" si="24"/>
        <v>2.6838382611764383E-2</v>
      </c>
      <c r="BK31" s="22">
        <f t="shared" si="25"/>
        <v>22</v>
      </c>
      <c r="BL31" s="22">
        <f t="shared" si="10"/>
        <v>2020</v>
      </c>
      <c r="BM31" s="11">
        <v>3.5000000000000003E-2</v>
      </c>
      <c r="BN31" s="3">
        <f t="shared" si="26"/>
        <v>47.038414194260852</v>
      </c>
      <c r="BO31" s="3">
        <v>2.2050031356699882</v>
      </c>
      <c r="BP31" s="1">
        <f t="shared" si="27"/>
        <v>1.2383769501115144E-2</v>
      </c>
      <c r="BQ31" s="1">
        <v>4.5900000000000003E-2</v>
      </c>
      <c r="BR31" s="3">
        <f t="shared" si="11"/>
        <v>41.110595606208072</v>
      </c>
      <c r="BS31" s="3">
        <v>2.2050031356699882</v>
      </c>
      <c r="BT31" s="1">
        <f t="shared" si="28"/>
        <v>8.141092090022577E-3</v>
      </c>
      <c r="BU31" s="22">
        <f t="shared" si="29"/>
        <v>2020</v>
      </c>
      <c r="BV31" s="10">
        <f t="shared" si="31"/>
        <v>217.18072055337615</v>
      </c>
      <c r="BW31" s="3">
        <v>503</v>
      </c>
      <c r="BX31" s="10">
        <v>105.4</v>
      </c>
      <c r="BY31" s="11">
        <f t="shared" si="58"/>
        <v>1.8191023401838181E-2</v>
      </c>
      <c r="BZ31" s="3">
        <f t="shared" si="35"/>
        <v>47.722960151802653</v>
      </c>
      <c r="CA31" s="1">
        <f t="shared" si="36"/>
        <v>0.10208019467783694</v>
      </c>
      <c r="CB31">
        <v>313</v>
      </c>
      <c r="CC31" s="31">
        <v>1126.3</v>
      </c>
      <c r="CD31" s="32">
        <f t="shared" si="37"/>
        <v>7.2942566183685331E-2</v>
      </c>
      <c r="CE31" s="31">
        <v>32.69</v>
      </c>
      <c r="CF31" s="11">
        <f t="shared" si="53"/>
        <v>5.7932470384722268E-2</v>
      </c>
      <c r="CG31" s="3">
        <f t="shared" si="32"/>
        <v>957.47935148363422</v>
      </c>
      <c r="CH31" s="1">
        <f t="shared" si="38"/>
        <v>-0.14945972701050897</v>
      </c>
      <c r="CI31" s="6">
        <v>3757239.583333333</v>
      </c>
      <c r="CJ31" s="1">
        <f t="shared" si="39"/>
        <v>1.1017248273353989E-2</v>
      </c>
      <c r="CK31" s="3">
        <f t="shared" si="40"/>
        <v>130.90523372245781</v>
      </c>
      <c r="CL31" s="1">
        <f t="shared" si="39"/>
        <v>1.2205030319381626E-2</v>
      </c>
      <c r="CM31" s="1">
        <f t="shared" si="41"/>
        <v>-1.1877820460276366E-3</v>
      </c>
      <c r="CN31" s="3">
        <f t="shared" si="49"/>
        <v>431.19886345664133</v>
      </c>
      <c r="CO31" s="1">
        <f t="shared" si="54"/>
        <v>2.4089974426846992E-2</v>
      </c>
      <c r="CP31" s="33">
        <f t="shared" si="50"/>
        <v>217.18072055337615</v>
      </c>
      <c r="CQ31" s="3"/>
      <c r="CR31" s="3">
        <f t="shared" si="55"/>
        <v>118.93307752525708</v>
      </c>
      <c r="CS31" s="3" t="e">
        <f>+#REF!/CN31</f>
        <v>#REF!</v>
      </c>
      <c r="CT31" s="1">
        <f t="shared" si="59"/>
        <v>2.2882664871099974E-2</v>
      </c>
      <c r="CU31" s="12">
        <f t="shared" si="56"/>
        <v>0.27581955242610756</v>
      </c>
      <c r="CV31" s="1"/>
      <c r="CW31" s="3"/>
      <c r="CY31" s="6"/>
      <c r="CZ31" s="1"/>
      <c r="DB31" s="1"/>
      <c r="DJ31" s="1"/>
    </row>
    <row r="32" spans="1:114" x14ac:dyDescent="0.3">
      <c r="A32" s="2"/>
      <c r="B32" s="1"/>
      <c r="H32" s="22">
        <v>23</v>
      </c>
      <c r="I32" s="22">
        <v>2021</v>
      </c>
      <c r="J32" s="22">
        <v>51</v>
      </c>
      <c r="K32" s="22">
        <v>0.75</v>
      </c>
      <c r="L32" s="25">
        <f t="shared" si="1"/>
        <v>0.82962962962962961</v>
      </c>
      <c r="M32" s="26">
        <f t="shared" si="14"/>
        <v>-1.3026819923371626E-2</v>
      </c>
      <c r="N32" s="26">
        <f t="shared" si="15"/>
        <v>9.4158242702916412E-3</v>
      </c>
      <c r="O32" s="26">
        <v>3.1E-2</v>
      </c>
      <c r="P32" s="10">
        <v>109.4</v>
      </c>
      <c r="Q32" s="9">
        <f t="shared" si="16"/>
        <v>3.7248253880618781E-2</v>
      </c>
      <c r="R32" s="9">
        <f t="shared" si="34"/>
        <v>2.4655784947833059E-2</v>
      </c>
      <c r="S32" s="3"/>
      <c r="U32" s="11"/>
      <c r="V32" s="28">
        <v>0.26500000000000001</v>
      </c>
      <c r="W32" s="28">
        <v>0.375</v>
      </c>
      <c r="X32" s="28">
        <f t="shared" si="42"/>
        <v>0.90062500000000001</v>
      </c>
      <c r="Y32" s="28">
        <f t="shared" si="51"/>
        <v>0.73499999999999999</v>
      </c>
      <c r="Z32" s="28">
        <f t="shared" si="43"/>
        <v>2.8631947538013089</v>
      </c>
      <c r="AA32" s="9">
        <f t="shared" si="57"/>
        <v>1.760487581170667E-2</v>
      </c>
      <c r="AB32" s="3">
        <f>+AB9*L32+AG10*L31+AG11*L30+AG12*L29+AG13*L28+AG14*L27+AG15*L26+AG16*L25+AG17*L24+AG18*L23+AG19*L22+AG20*L21+AG21*L20+AG22*L19+AG23*L18+AG24*L17+AG25*L16+AG26*L15+AG27*L14+AG28*L13+AG29*L12+AG30*L11+AG31*L10+AG32</f>
        <v>294.22790993552167</v>
      </c>
      <c r="AC32" s="1">
        <f t="shared" si="17"/>
        <v>2.8942517496385427E-2</v>
      </c>
      <c r="AD32" s="40">
        <v>974.16419999999994</v>
      </c>
      <c r="AE32" s="40">
        <v>238.53580000000005</v>
      </c>
      <c r="AF32" s="51">
        <v>109.4</v>
      </c>
      <c r="AG32" s="40">
        <f t="shared" si="18"/>
        <v>11.085009140767824</v>
      </c>
      <c r="AH32" s="2">
        <f t="shared" si="44"/>
        <v>842.43180814930963</v>
      </c>
      <c r="AI32" s="2">
        <f t="shared" si="45"/>
        <v>1632.4318081493097</v>
      </c>
      <c r="AJ32" s="29">
        <f t="shared" ref="AJ32:AJ33" si="60">LN(AI32/AI31)</f>
        <v>7.57217062020698E-3</v>
      </c>
      <c r="AK32" s="29">
        <f t="shared" si="46"/>
        <v>0.20092722915749484</v>
      </c>
      <c r="AL32" s="29">
        <f t="shared" si="47"/>
        <v>0.28301335326452015</v>
      </c>
      <c r="AM32" s="29">
        <f t="shared" si="48"/>
        <v>0.5160594175779849</v>
      </c>
      <c r="AO32" s="22"/>
      <c r="AP32" s="22"/>
      <c r="AQ32" s="22"/>
      <c r="AR32" s="22"/>
      <c r="AS32" s="25"/>
      <c r="AT32" s="26"/>
      <c r="AU32" s="3"/>
      <c r="AV32" s="3"/>
      <c r="AW32" s="1"/>
      <c r="AZ32" s="22"/>
      <c r="BA32" s="22"/>
      <c r="BB32" s="22"/>
      <c r="BC32" s="22"/>
      <c r="BD32" s="25"/>
      <c r="BE32" s="26"/>
      <c r="BF32" s="34"/>
      <c r="BG32" s="1"/>
      <c r="BH32" s="1"/>
      <c r="BK32" s="22"/>
      <c r="BL32" s="22"/>
      <c r="BM32" s="11"/>
      <c r="BN32" s="34"/>
      <c r="BO32" s="34"/>
      <c r="BP32" s="1"/>
      <c r="BQ32" s="1"/>
      <c r="BR32" s="34"/>
      <c r="BS32" s="1"/>
      <c r="BT32" s="1"/>
      <c r="BU32" s="22">
        <v>2021</v>
      </c>
      <c r="BV32" s="10">
        <f t="shared" si="31"/>
        <v>208.08897146889478</v>
      </c>
      <c r="BW32" s="3">
        <v>462</v>
      </c>
      <c r="BX32" s="10">
        <v>109.4</v>
      </c>
      <c r="BY32" s="11">
        <f t="shared" si="58"/>
        <v>3.7248253880618781E-2</v>
      </c>
      <c r="BZ32" s="3">
        <f t="shared" si="35"/>
        <v>42.230347349177329</v>
      </c>
      <c r="CA32" s="1">
        <f t="shared" si="36"/>
        <v>-0.12227353289861927</v>
      </c>
      <c r="CB32" s="19">
        <v>328</v>
      </c>
      <c r="CC32" s="1"/>
      <c r="CD32" s="1">
        <f>AVERAGE(CD14:CD31)</f>
        <v>2.5959672219308987E-2</v>
      </c>
      <c r="CE32" s="31">
        <v>33.880000000000003</v>
      </c>
      <c r="CF32" s="11">
        <f t="shared" si="53"/>
        <v>3.5755649047734449E-2</v>
      </c>
      <c r="CG32" s="3">
        <f t="shared" si="32"/>
        <v>968.12278630460446</v>
      </c>
      <c r="CH32" s="1">
        <f t="shared" si="38"/>
        <v>1.1054768796256075E-2</v>
      </c>
      <c r="CI32" s="6">
        <v>3796453</v>
      </c>
      <c r="CJ32" s="1">
        <f t="shared" ref="CJ32" si="61">LN(CI32/CI31)</f>
        <v>1.038267536054565E-2</v>
      </c>
      <c r="CK32" s="3">
        <f t="shared" si="40"/>
        <v>128.38312797702798</v>
      </c>
      <c r="CL32" s="1">
        <f t="shared" ref="CL32" si="62">LN(CK32/CK31)</f>
        <v>-1.9454674143684722E-2</v>
      </c>
      <c r="CM32" s="1">
        <f t="shared" si="41"/>
        <v>2.9837349504230372E-2</v>
      </c>
      <c r="CN32" s="3">
        <f t="shared" si="49"/>
        <v>429.98867841885823</v>
      </c>
      <c r="CO32" s="1">
        <f t="shared" si="54"/>
        <v>-2.8105047403388858E-3</v>
      </c>
      <c r="CP32" s="33">
        <f t="shared" si="50"/>
        <v>208.08897146889478</v>
      </c>
      <c r="CQ32" s="3"/>
      <c r="CR32" s="3">
        <f t="shared" si="55"/>
        <v>122.18932405750742</v>
      </c>
      <c r="CS32" s="3">
        <f>+CY32-CJ32</f>
        <v>-1.038267536054565E-2</v>
      </c>
      <c r="CT32" s="1">
        <f t="shared" si="59"/>
        <v>2.7010717233372655E-2</v>
      </c>
      <c r="CU32" s="12">
        <f t="shared" si="56"/>
        <v>0.28416870068955868</v>
      </c>
      <c r="CV32" s="1"/>
      <c r="CW32" s="3"/>
      <c r="CZ32" s="1"/>
      <c r="DB32" s="1"/>
    </row>
    <row r="33" spans="1:125" x14ac:dyDescent="0.3">
      <c r="A33" s="2"/>
      <c r="B33" s="1"/>
      <c r="H33" s="22">
        <v>24</v>
      </c>
      <c r="I33" s="22">
        <v>2022</v>
      </c>
      <c r="J33" s="22">
        <v>51</v>
      </c>
      <c r="K33" s="22">
        <v>0.75</v>
      </c>
      <c r="L33" s="25">
        <f t="shared" si="1"/>
        <v>0.81818181818181823</v>
      </c>
      <c r="M33" s="26">
        <f t="shared" si="14"/>
        <v>-1.379870129870121E-2</v>
      </c>
      <c r="N33" s="26">
        <f t="shared" si="15"/>
        <v>9.710811978512408E-3</v>
      </c>
      <c r="O33" s="26">
        <v>3.1E-2</v>
      </c>
      <c r="P33" s="10">
        <v>116.5</v>
      </c>
      <c r="Q33" s="9">
        <f t="shared" si="16"/>
        <v>6.2880383017874408E-2</v>
      </c>
      <c r="R33" s="9">
        <f t="shared" si="34"/>
        <v>3.9439886766777121E-2</v>
      </c>
      <c r="V33" s="28">
        <v>0.26500000000000001</v>
      </c>
      <c r="W33" s="28">
        <v>0.375</v>
      </c>
      <c r="X33" s="28">
        <f t="shared" ref="X33" si="63">1-(V33*W33)</f>
        <v>0.90062500000000001</v>
      </c>
      <c r="Y33" s="28">
        <f t="shared" ref="Y33" si="64">+(1-V33)</f>
        <v>0.73499999999999999</v>
      </c>
      <c r="Z33" s="28">
        <f t="shared" si="43"/>
        <v>2.9907495714781764</v>
      </c>
      <c r="AA33" s="9">
        <f t="shared" si="57"/>
        <v>4.3586000603568119E-2</v>
      </c>
      <c r="AB33" s="3">
        <f>+AB9*L33+AG10*L32+AG11*L31+AG12*L30+AG13*L29+AG14*L28+AG15*L27+AG16*L26+AG17*L25+AG18*L24+AG19*L23+AG20*L22+AG21*L21+AG22*L20+AG23*L19+AG24*L18+AG25*L17+AG26*L16+AG27*L15+AG28*L14+AG29*L13+AG30*L12+AG31*L11+AG32*L10+AG33*L9</f>
        <v>303.30977381729855</v>
      </c>
      <c r="AC33" s="1">
        <f t="shared" si="17"/>
        <v>3.0399968206553295E-2</v>
      </c>
      <c r="AD33" s="40">
        <v>1136.5412000000001</v>
      </c>
      <c r="AE33" s="40">
        <v>254.35879999999997</v>
      </c>
      <c r="AF33" s="51">
        <v>116.5</v>
      </c>
      <c r="AG33" s="40">
        <f t="shared" si="18"/>
        <v>11.939055793991416</v>
      </c>
      <c r="AH33" s="2">
        <f t="shared" si="44"/>
        <v>907.12357606922831</v>
      </c>
      <c r="AI33" s="2">
        <f t="shared" si="45"/>
        <v>1776.1235760692284</v>
      </c>
      <c r="AJ33" s="29">
        <f t="shared" si="60"/>
        <v>8.4362413398005556E-2</v>
      </c>
      <c r="AK33" s="1">
        <f t="shared" si="46"/>
        <v>0.19649533664339858</v>
      </c>
      <c r="AL33" s="1">
        <f t="shared" si="47"/>
        <v>0.29277242135979159</v>
      </c>
      <c r="AM33" s="1">
        <f t="shared" si="48"/>
        <v>0.51073224199680978</v>
      </c>
      <c r="BU33" s="22">
        <v>2022</v>
      </c>
      <c r="BV33" s="10">
        <f t="shared" si="31"/>
        <v>226.70877171196298</v>
      </c>
      <c r="BW33" s="3">
        <v>520</v>
      </c>
      <c r="BX33" s="10">
        <v>116.5</v>
      </c>
      <c r="BY33" s="11">
        <f t="shared" si="58"/>
        <v>6.2880383017874408E-2</v>
      </c>
      <c r="BZ33" s="3">
        <f t="shared" si="35"/>
        <v>44.63519313304721</v>
      </c>
      <c r="CA33" s="1">
        <f t="shared" si="36"/>
        <v>5.5383537475859765E-2</v>
      </c>
      <c r="CB33" s="19">
        <v>349</v>
      </c>
      <c r="CE33" s="3">
        <v>34.93</v>
      </c>
      <c r="CF33" s="11">
        <f t="shared" si="53"/>
        <v>3.0521189034886913E-2</v>
      </c>
      <c r="CG33" s="3">
        <f t="shared" si="32"/>
        <v>999.14113942170059</v>
      </c>
      <c r="CH33" s="1">
        <f t="shared" si="38"/>
        <v>3.1537124783396563E-2</v>
      </c>
      <c r="CI33" s="35">
        <v>3833111.5</v>
      </c>
      <c r="CJ33" s="1">
        <f>LN(CI33/CI32)</f>
        <v>9.609665690370358E-3</v>
      </c>
      <c r="CK33" s="3">
        <f t="shared" si="40"/>
        <v>133.33136642450984</v>
      </c>
      <c r="CL33" s="1">
        <f t="shared" ref="CL33" si="65">LN(CK33/CK32)</f>
        <v>3.7818525941100405E-2</v>
      </c>
      <c r="CM33" s="1">
        <f t="shared" si="41"/>
        <v>-2.8208860250730047E-2</v>
      </c>
      <c r="CN33" s="3">
        <f t="shared" si="49"/>
        <v>463.36339970001615</v>
      </c>
      <c r="CO33" s="1">
        <f t="shared" si="54"/>
        <v>7.4752747707635264E-2</v>
      </c>
      <c r="CP33" s="33">
        <f t="shared" si="50"/>
        <v>226.70877171196298</v>
      </c>
      <c r="CQ33" s="1"/>
      <c r="CR33" s="3">
        <f t="shared" si="55"/>
        <v>128.01100912552121</v>
      </c>
      <c r="CS33" s="10"/>
      <c r="CT33" s="1">
        <f t="shared" si="59"/>
        <v>4.6544590598062457E-2</v>
      </c>
      <c r="CU33" s="12">
        <f t="shared" si="56"/>
        <v>0.27626482628622845</v>
      </c>
      <c r="CV33" s="1"/>
      <c r="CW33" s="3"/>
      <c r="CZ33" s="1"/>
      <c r="DB33" s="1"/>
    </row>
    <row r="34" spans="1:125" x14ac:dyDescent="0.3">
      <c r="A34" s="2"/>
      <c r="B34" s="1"/>
      <c r="H34" s="22">
        <v>25</v>
      </c>
      <c r="I34" s="22">
        <v>2023</v>
      </c>
      <c r="J34" s="22">
        <v>51</v>
      </c>
      <c r="K34" s="22">
        <v>0.75</v>
      </c>
      <c r="L34" s="25"/>
      <c r="M34" s="26"/>
      <c r="N34" s="26"/>
      <c r="O34" s="26"/>
      <c r="P34" s="10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9"/>
      <c r="AB34" s="3"/>
      <c r="AC34" s="1"/>
      <c r="AD34" s="2"/>
      <c r="AE34" s="2"/>
      <c r="AF34" s="10"/>
      <c r="AG34" s="2"/>
      <c r="AH34" s="3"/>
      <c r="AI34" s="3"/>
      <c r="AJ34" s="3"/>
      <c r="AK34" s="3"/>
      <c r="AL34" s="3"/>
      <c r="AM34" s="3"/>
      <c r="AO34" s="22"/>
      <c r="AP34" s="22"/>
      <c r="AQ34" s="22"/>
      <c r="AR34" s="22"/>
      <c r="AS34" s="25"/>
      <c r="AT34" s="26"/>
      <c r="AU34" s="3"/>
      <c r="AV34" s="3"/>
      <c r="AW34" s="1"/>
      <c r="AZ34" s="22"/>
      <c r="BA34" s="22"/>
      <c r="BB34" s="22"/>
      <c r="BC34" s="22"/>
      <c r="BD34" s="25"/>
      <c r="BE34" s="26"/>
      <c r="BF34" s="34"/>
      <c r="BG34" s="1"/>
      <c r="BH34" s="1"/>
      <c r="BK34" s="22"/>
      <c r="BL34" s="22"/>
      <c r="BM34" s="11"/>
      <c r="BN34" s="34"/>
      <c r="BO34" s="34"/>
      <c r="BP34" s="1"/>
      <c r="BQ34" s="1"/>
      <c r="BR34" s="34"/>
      <c r="BS34" s="1"/>
      <c r="BT34" s="1"/>
      <c r="BX34" s="10"/>
      <c r="BY34" s="1"/>
      <c r="BZ34" s="1"/>
      <c r="CA34" s="1"/>
      <c r="CB34" s="1"/>
      <c r="CC34" s="1"/>
      <c r="CD34" s="1"/>
      <c r="CE34" s="1"/>
      <c r="CF34" s="36">
        <f>AVERAGE(CF18:CF32)</f>
        <v>2.6903227342560478E-2</v>
      </c>
      <c r="CG34" s="1"/>
      <c r="CH34" s="1"/>
      <c r="CI34" s="6"/>
      <c r="CJ34" s="1"/>
      <c r="CK34" s="1"/>
      <c r="CL34" s="1"/>
      <c r="CM34" s="1"/>
      <c r="CN34" s="3"/>
      <c r="CO34" s="3"/>
      <c r="CP34" s="1"/>
      <c r="CQ34" s="1"/>
      <c r="CR34" s="3"/>
      <c r="CS34" s="10"/>
      <c r="CT34" s="1"/>
      <c r="CU34" s="12"/>
      <c r="CV34" s="1"/>
      <c r="CW34" s="1"/>
      <c r="CZ34" s="1"/>
      <c r="DB34" s="1"/>
    </row>
    <row r="35" spans="1:125" x14ac:dyDescent="0.3">
      <c r="A35" s="2"/>
      <c r="B35" s="1"/>
      <c r="H35" s="22"/>
      <c r="I35" s="22"/>
      <c r="J35" s="22"/>
      <c r="K35" s="22"/>
      <c r="L35" s="25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9"/>
      <c r="AB35" s="3"/>
      <c r="AC35" s="1"/>
      <c r="AD35" s="2"/>
      <c r="AE35" s="2"/>
      <c r="AF35" s="2"/>
      <c r="AG35" s="11"/>
      <c r="AH35" s="3"/>
      <c r="AI35" s="3"/>
      <c r="AJ35" s="3"/>
      <c r="AK35" s="3"/>
      <c r="AL35" s="3"/>
      <c r="AM35" s="3"/>
      <c r="AO35" s="22"/>
      <c r="AP35" s="22"/>
      <c r="AQ35" s="22"/>
      <c r="AR35" s="22"/>
      <c r="AS35" s="25"/>
      <c r="AT35" s="26"/>
      <c r="AU35" s="3"/>
      <c r="AV35" s="3"/>
      <c r="AW35" s="1"/>
      <c r="AZ35" s="22"/>
      <c r="BA35" s="22"/>
      <c r="BB35" s="22"/>
      <c r="BC35" s="22"/>
      <c r="BD35" s="25"/>
      <c r="BE35" s="26"/>
      <c r="BF35" s="34"/>
      <c r="BG35" s="1"/>
      <c r="BH35" s="1"/>
      <c r="BK35" s="22"/>
      <c r="BL35" s="22"/>
      <c r="BM35" s="11"/>
      <c r="BN35" s="34"/>
      <c r="BO35" s="34"/>
      <c r="BP35" s="1"/>
      <c r="BQ35" s="1"/>
      <c r="BR35" s="34"/>
      <c r="BS35" s="1"/>
      <c r="BT35" s="1"/>
      <c r="BX35" s="4"/>
      <c r="BY35" s="4"/>
      <c r="BZ35" s="1"/>
      <c r="CA35" s="1"/>
      <c r="CB35" s="1"/>
      <c r="CC35" s="1"/>
      <c r="CD35" s="1"/>
      <c r="CE35" s="1"/>
      <c r="CF35" s="4"/>
      <c r="CG35" s="1"/>
      <c r="CH35" s="1"/>
      <c r="CI35" s="6"/>
      <c r="CJ35" s="1"/>
      <c r="CK35" s="1"/>
      <c r="CL35" s="1"/>
      <c r="CM35" s="1"/>
      <c r="CN35" s="3"/>
      <c r="CO35" s="3"/>
      <c r="CP35" s="1"/>
      <c r="CQ35" s="1"/>
      <c r="CS35" s="3" t="e">
        <f>+(CS29+CS30+CS31)/3</f>
        <v>#REF!</v>
      </c>
      <c r="CT35" s="1">
        <f>AVERAGE(CT18:CT33)</f>
        <v>1.5434130189132252E-2</v>
      </c>
      <c r="CU35" s="12">
        <f>+(CU30+CU31+CU32)/3</f>
        <v>0.27871366874026299</v>
      </c>
      <c r="CV35" s="1"/>
      <c r="CW35" s="1"/>
      <c r="CZ35" s="1"/>
      <c r="DB35" s="1"/>
    </row>
    <row r="36" spans="1:125" x14ac:dyDescent="0.3">
      <c r="A36" s="2"/>
      <c r="B36" s="1"/>
      <c r="H36" s="22"/>
      <c r="I36" s="22"/>
      <c r="J36" s="22" t="s">
        <v>79</v>
      </c>
      <c r="K36" s="22"/>
      <c r="L36" s="25"/>
      <c r="M36" s="26"/>
      <c r="N36" s="26"/>
      <c r="O36" s="26"/>
      <c r="P36" s="26"/>
      <c r="Q36" s="11">
        <f>AVERAGE(Q18:Q33)</f>
        <v>2.1416979436006834E-2</v>
      </c>
      <c r="R36" s="11"/>
      <c r="S36" s="11"/>
      <c r="T36" s="11"/>
      <c r="U36" s="11"/>
      <c r="V36" s="11"/>
      <c r="W36" s="11"/>
      <c r="X36" s="11"/>
      <c r="Y36" s="11"/>
      <c r="Z36" s="11"/>
      <c r="AA36" s="11">
        <f>AVERAGE(AA18:AA33)</f>
        <v>5.3461479327578908E-3</v>
      </c>
      <c r="AB36" s="1"/>
      <c r="AC36" s="11">
        <f>AVERAGE(AC18:AC33)</f>
        <v>3.5441451339133886E-2</v>
      </c>
      <c r="AD36" s="1"/>
      <c r="AE36" s="1"/>
      <c r="AF36" s="11"/>
      <c r="AG36" s="1"/>
      <c r="AH36" s="1"/>
      <c r="AI36" s="1"/>
      <c r="AJ36" s="11">
        <f>AVERAGE(AJ18:AJ33)</f>
        <v>3.2595505313509937E-2</v>
      </c>
      <c r="AK36" s="11">
        <f>AVERAGE(AK18:AK33)</f>
        <v>0.25921473737769474</v>
      </c>
      <c r="AL36" s="11">
        <f>AVERAGE(AL18:AL33)</f>
        <v>0.26801479621890012</v>
      </c>
      <c r="AM36" s="11">
        <f>AVERAGE(AM18:AM33)</f>
        <v>0.4727704664034052</v>
      </c>
      <c r="AN36" s="1"/>
      <c r="AO36" s="11"/>
      <c r="AP36" s="11"/>
      <c r="AQ36" s="11"/>
      <c r="AR36" s="11"/>
      <c r="AS36" s="11"/>
      <c r="AT36" s="11"/>
      <c r="AU36" s="1"/>
      <c r="AV36" s="1"/>
      <c r="AW36" s="1"/>
      <c r="AX36" s="1"/>
      <c r="AY36" s="1"/>
      <c r="AZ36" s="11"/>
      <c r="BA36" s="11"/>
      <c r="BB36" s="11"/>
      <c r="BC36" s="11"/>
      <c r="BD36" s="11"/>
      <c r="BE36" s="11"/>
      <c r="BF36" s="1"/>
      <c r="BG36" s="1"/>
      <c r="BH36" s="1"/>
      <c r="BI36" s="1"/>
      <c r="BJ36" s="1"/>
      <c r="BK36" s="11"/>
      <c r="BL36" s="11"/>
      <c r="BM36" s="1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1"/>
      <c r="BY36" s="11">
        <f>AVERAGE(BY18:BY33)</f>
        <v>2.1416979436006834E-2</v>
      </c>
      <c r="BZ36" s="1"/>
      <c r="CA36" s="11">
        <f>AVERAGE(CA18:CA33)</f>
        <v>1.0911552695010726E-2</v>
      </c>
      <c r="CB36" s="1"/>
      <c r="CC36" s="1"/>
      <c r="CD36" s="1"/>
      <c r="CE36" s="1"/>
      <c r="CF36" s="1">
        <f>AVERAGE(CF18:CF32)</f>
        <v>2.6903227342560478E-2</v>
      </c>
      <c r="CG36" s="1"/>
      <c r="CH36" s="11">
        <f>AVERAGE(CH18:CH33)</f>
        <v>-1.1549983954179017E-2</v>
      </c>
      <c r="CI36" s="8"/>
      <c r="CJ36" s="11">
        <f>AVERAGE(CJ18:CJ33)</f>
        <v>1.4499629610606567E-2</v>
      </c>
      <c r="CK36" s="1"/>
      <c r="CL36" s="11">
        <f>AVERAGE(CL18:CL33)</f>
        <v>1.7157707033437383E-2</v>
      </c>
      <c r="CM36" s="11">
        <f>AVERAGE(CM18:CM33)</f>
        <v>-2.6580774228308164E-3</v>
      </c>
      <c r="CN36" s="37">
        <f>+(CN31+CN32+CN33)/3</f>
        <v>441.5169805251719</v>
      </c>
      <c r="CO36" s="11">
        <f>AVERAGE(CO18:CO33)</f>
        <v>1.8095875702903316E-2</v>
      </c>
      <c r="CP36" s="37">
        <f>+(CP31+CP32+CP33)/3</f>
        <v>217.32615457807796</v>
      </c>
      <c r="CQ36" t="s">
        <v>51</v>
      </c>
      <c r="CR36" s="3"/>
      <c r="CS36" s="3"/>
      <c r="CU36" s="1"/>
      <c r="CV36" s="1"/>
      <c r="CW36" s="1"/>
      <c r="CZ36" s="1"/>
      <c r="DB36" s="1"/>
    </row>
    <row r="37" spans="1:125" x14ac:dyDescent="0.3">
      <c r="A37" s="2"/>
      <c r="B37" s="1"/>
      <c r="D37" s="1"/>
      <c r="J37" s="22" t="s">
        <v>86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1">
        <f>AVERAGE(AC10:AC31)</f>
        <v>3.65115434078166E-2</v>
      </c>
      <c r="AO37" s="11">
        <f>LN(AB31/AB16)/15</f>
        <v>3.6855614036453127E-2</v>
      </c>
      <c r="AP37" s="11"/>
      <c r="AQ37" s="11"/>
      <c r="AR37" s="11"/>
      <c r="AS37" s="11"/>
      <c r="AT37" s="11"/>
      <c r="AU37" s="11"/>
      <c r="AV37" s="11"/>
      <c r="AW37" s="11">
        <f>AVERAGE(AW10:AW31)</f>
        <v>1.9864723768048296E-2</v>
      </c>
      <c r="AX37" s="11">
        <f>LN(AU31/AU16)/15</f>
        <v>2.0388995273624033E-2</v>
      </c>
      <c r="AY37" s="11"/>
      <c r="AZ37" s="11"/>
      <c r="BA37" s="11"/>
      <c r="BB37" s="11"/>
      <c r="BC37" s="11"/>
      <c r="BD37" s="11"/>
      <c r="BE37" s="11"/>
      <c r="BF37" s="11"/>
      <c r="BG37" s="11"/>
      <c r="BH37" s="11">
        <f>AVERAGE(BH10:BH31)</f>
        <v>2.6445333127177551E-2</v>
      </c>
      <c r="BI37" s="11">
        <f>LN(BF31/BF16)/15</f>
        <v>2.4616646773644311E-2</v>
      </c>
      <c r="BJ37" s="11"/>
      <c r="BK37" s="11"/>
      <c r="BL37" s="11"/>
      <c r="BM37" s="11"/>
      <c r="BN37" s="11"/>
      <c r="BO37" s="11"/>
      <c r="BP37" s="11">
        <f>AVERAGE(BP10:BP31)</f>
        <v>1.999167630227686E-2</v>
      </c>
      <c r="BQ37" s="11">
        <f>LN(BN31/BN16)/15</f>
        <v>2.0736991121598294E-2</v>
      </c>
      <c r="BR37" s="11"/>
      <c r="BS37" s="11"/>
      <c r="BT37" s="11">
        <f>AVERAGE(BT10:BT31)</f>
        <v>1.3869008018166236E-2</v>
      </c>
      <c r="BU37" s="1"/>
      <c r="BV37" s="11"/>
      <c r="BW37" s="1"/>
      <c r="BX37" s="36"/>
      <c r="BY37" s="36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37">
        <f>+CN36*0.84</f>
        <v>370.87426364114441</v>
      </c>
      <c r="CO37" s="37"/>
      <c r="CP37" s="37"/>
      <c r="CR37" s="10"/>
      <c r="CS37" s="13"/>
      <c r="CU37" s="11"/>
      <c r="CV37" s="11"/>
      <c r="CW37" s="11"/>
      <c r="CX37" s="22"/>
      <c r="CY37" s="22"/>
      <c r="DB37" s="1"/>
      <c r="DP37">
        <v>2015</v>
      </c>
      <c r="DQ37">
        <v>2016</v>
      </c>
      <c r="DR37">
        <v>2017</v>
      </c>
      <c r="DS37">
        <v>2018</v>
      </c>
      <c r="DT37">
        <v>2019</v>
      </c>
      <c r="DU37">
        <v>2020</v>
      </c>
    </row>
    <row r="38" spans="1:125" x14ac:dyDescent="0.3">
      <c r="A38" s="18"/>
      <c r="B38" s="1"/>
      <c r="D38" s="1"/>
      <c r="E38" s="11"/>
      <c r="F38" s="1"/>
      <c r="G38" s="1"/>
      <c r="H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S38" s="3"/>
      <c r="CT38" s="3"/>
      <c r="DP38">
        <v>105.7</v>
      </c>
      <c r="DQ38">
        <v>106.82499999999999</v>
      </c>
      <c r="DR38">
        <v>108.29999999999998</v>
      </c>
      <c r="DS38">
        <v>110</v>
      </c>
      <c r="DT38">
        <v>112</v>
      </c>
      <c r="DU38">
        <v>113.925</v>
      </c>
    </row>
    <row r="39" spans="1:125" x14ac:dyDescent="0.3">
      <c r="A39" s="2"/>
      <c r="B39" s="2"/>
      <c r="C39" s="2"/>
      <c r="D39" s="2"/>
      <c r="E39" s="11"/>
      <c r="F39" s="1"/>
      <c r="G39" s="1"/>
      <c r="H39" s="1"/>
      <c r="BV39" s="10"/>
      <c r="CS39" s="3"/>
      <c r="CT39" s="3"/>
      <c r="CY39" s="19"/>
    </row>
    <row r="40" spans="1:125" ht="25.8" x14ac:dyDescent="0.5">
      <c r="A40" s="2"/>
      <c r="B40" s="2"/>
      <c r="C40" s="2"/>
      <c r="D40" s="2"/>
      <c r="E40" s="11"/>
      <c r="F40" s="1"/>
      <c r="G40" s="1"/>
      <c r="H40" s="1"/>
      <c r="K40" s="16" t="s">
        <v>48</v>
      </c>
      <c r="L40" s="16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CY40" s="19"/>
    </row>
    <row r="41" spans="1:125" x14ac:dyDescent="0.3">
      <c r="B41" s="2"/>
      <c r="C41" s="2"/>
      <c r="D41" s="2"/>
      <c r="E41" s="11"/>
      <c r="F41" s="1"/>
      <c r="G41" s="1"/>
      <c r="H41" s="1"/>
      <c r="CY41" s="19"/>
    </row>
    <row r="42" spans="1:125" ht="43.2" x14ac:dyDescent="0.3">
      <c r="A42" s="2"/>
      <c r="B42" s="2"/>
      <c r="C42" s="2"/>
      <c r="D42" s="46" t="s">
        <v>94</v>
      </c>
      <c r="E42" s="46" t="s">
        <v>95</v>
      </c>
      <c r="F42" s="1"/>
      <c r="G42" s="1"/>
      <c r="H42" s="18" t="s">
        <v>0</v>
      </c>
      <c r="I42" s="18" t="s">
        <v>5</v>
      </c>
      <c r="J42" s="23" t="s">
        <v>1</v>
      </c>
      <c r="K42" s="23" t="s">
        <v>2</v>
      </c>
      <c r="L42" s="24" t="s">
        <v>3</v>
      </c>
      <c r="M42" s="24" t="s">
        <v>56</v>
      </c>
      <c r="N42" s="24" t="s">
        <v>88</v>
      </c>
      <c r="O42" s="24" t="s">
        <v>57</v>
      </c>
      <c r="P42" s="23" t="s">
        <v>91</v>
      </c>
      <c r="Q42" s="24" t="s">
        <v>92</v>
      </c>
      <c r="R42" s="24" t="s">
        <v>84</v>
      </c>
      <c r="S42" s="23"/>
      <c r="T42" s="23"/>
      <c r="U42" s="23"/>
      <c r="V42" s="24" t="s">
        <v>58</v>
      </c>
      <c r="W42" s="24" t="s">
        <v>59</v>
      </c>
      <c r="X42" s="24" t="s">
        <v>60</v>
      </c>
      <c r="Y42" s="24" t="s">
        <v>61</v>
      </c>
      <c r="Z42" s="24" t="s">
        <v>33</v>
      </c>
      <c r="AA42" s="24" t="s">
        <v>64</v>
      </c>
      <c r="AB42" s="23" t="s">
        <v>16</v>
      </c>
      <c r="AC42" s="23" t="s">
        <v>14</v>
      </c>
      <c r="AD42" s="24" t="s">
        <v>81</v>
      </c>
      <c r="AE42" s="24" t="s">
        <v>32</v>
      </c>
      <c r="AF42" s="23" t="s">
        <v>83</v>
      </c>
      <c r="AG42" s="24" t="s">
        <v>47</v>
      </c>
      <c r="AH42" s="24" t="s">
        <v>34</v>
      </c>
      <c r="AI42" s="24" t="s">
        <v>35</v>
      </c>
      <c r="AJ42" s="24" t="s">
        <v>45</v>
      </c>
      <c r="AK42" s="24" t="s">
        <v>36</v>
      </c>
      <c r="AL42" s="24" t="s">
        <v>37</v>
      </c>
      <c r="AM42" s="24" t="s">
        <v>38</v>
      </c>
      <c r="AO42" s="18" t="s">
        <v>0</v>
      </c>
      <c r="AP42" s="18" t="s">
        <v>5</v>
      </c>
      <c r="AQ42" s="23" t="s">
        <v>1</v>
      </c>
      <c r="AR42" s="23" t="s">
        <v>2</v>
      </c>
      <c r="AS42" s="24" t="s">
        <v>3</v>
      </c>
      <c r="AT42" s="23" t="s">
        <v>4</v>
      </c>
      <c r="AU42" s="23" t="s">
        <v>16</v>
      </c>
      <c r="AV42" s="23" t="s">
        <v>6</v>
      </c>
      <c r="AW42" s="23" t="s">
        <v>14</v>
      </c>
      <c r="AX42" s="24" t="s">
        <v>15</v>
      </c>
      <c r="AY42" s="24"/>
      <c r="AZ42" s="18" t="s">
        <v>0</v>
      </c>
      <c r="BA42" s="18" t="s">
        <v>5</v>
      </c>
      <c r="BB42" s="23" t="s">
        <v>1</v>
      </c>
      <c r="BC42" s="23" t="s">
        <v>2</v>
      </c>
      <c r="BD42" s="24" t="s">
        <v>3</v>
      </c>
      <c r="BE42" s="23" t="s">
        <v>4</v>
      </c>
      <c r="BF42" s="23" t="s">
        <v>16</v>
      </c>
      <c r="BG42" s="23" t="s">
        <v>6</v>
      </c>
      <c r="BH42" s="23" t="s">
        <v>14</v>
      </c>
      <c r="BK42" s="18" t="s">
        <v>0</v>
      </c>
      <c r="BL42" s="18" t="s">
        <v>5</v>
      </c>
      <c r="BM42" s="23" t="s">
        <v>11</v>
      </c>
      <c r="BN42" s="23" t="s">
        <v>16</v>
      </c>
      <c r="BO42" s="23" t="s">
        <v>6</v>
      </c>
      <c r="BP42" s="23" t="s">
        <v>14</v>
      </c>
      <c r="BQ42" s="23" t="s">
        <v>12</v>
      </c>
      <c r="BR42" s="23" t="s">
        <v>16</v>
      </c>
      <c r="BS42" s="23" t="s">
        <v>6</v>
      </c>
      <c r="BT42" s="23" t="s">
        <v>14</v>
      </c>
      <c r="BU42" s="18" t="s">
        <v>5</v>
      </c>
      <c r="BV42" s="18"/>
      <c r="BW42" s="23" t="s">
        <v>17</v>
      </c>
      <c r="BX42" s="23" t="s">
        <v>21</v>
      </c>
      <c r="BY42" s="23" t="s">
        <v>65</v>
      </c>
      <c r="BZ42" s="23" t="s">
        <v>18</v>
      </c>
      <c r="CA42" s="23" t="s">
        <v>19</v>
      </c>
      <c r="CB42" s="23" t="s">
        <v>24</v>
      </c>
      <c r="CC42" s="23" t="s">
        <v>22</v>
      </c>
      <c r="CD42" s="23"/>
      <c r="CE42" s="23" t="s">
        <v>54</v>
      </c>
      <c r="CF42" s="23" t="s">
        <v>66</v>
      </c>
      <c r="CG42" s="23" t="s">
        <v>23</v>
      </c>
      <c r="CH42" s="23" t="s">
        <v>20</v>
      </c>
      <c r="CI42" s="24" t="s">
        <v>43</v>
      </c>
      <c r="CJ42" s="24" t="s">
        <v>39</v>
      </c>
      <c r="CK42" s="24" t="s">
        <v>41</v>
      </c>
      <c r="CL42" s="24" t="s">
        <v>40</v>
      </c>
      <c r="CM42" s="24" t="s">
        <v>42</v>
      </c>
      <c r="CN42" s="24" t="s">
        <v>49</v>
      </c>
      <c r="CO42" s="24" t="s">
        <v>87</v>
      </c>
      <c r="CP42" s="24" t="s">
        <v>85</v>
      </c>
      <c r="CQ42" s="24"/>
      <c r="CR42" s="24" t="s">
        <v>46</v>
      </c>
      <c r="CS42" s="23" t="s">
        <v>50</v>
      </c>
      <c r="CT42" s="24" t="s">
        <v>62</v>
      </c>
      <c r="CU42" s="24" t="s">
        <v>63</v>
      </c>
      <c r="CW42" s="24"/>
      <c r="CY42" s="19"/>
      <c r="CZ42" s="11"/>
      <c r="DA42" s="11"/>
      <c r="DB42" s="11"/>
      <c r="DC42" s="22"/>
      <c r="DD42" s="22"/>
    </row>
    <row r="43" spans="1:125" x14ac:dyDescent="0.3">
      <c r="A43" s="2"/>
      <c r="B43" s="2"/>
      <c r="C43" s="2"/>
      <c r="D43" s="45">
        <v>1</v>
      </c>
      <c r="E43" s="45">
        <v>1</v>
      </c>
      <c r="F43" s="1"/>
      <c r="G43" s="1"/>
      <c r="H43" s="22">
        <v>0</v>
      </c>
      <c r="I43" s="22">
        <f>+H43+1998</f>
        <v>1998</v>
      </c>
      <c r="J43" s="22">
        <v>51</v>
      </c>
      <c r="K43" s="22">
        <v>0.75</v>
      </c>
      <c r="L43" s="25">
        <f t="shared" ref="L43:L67" si="66">+(J43-H43)/(J43-K43*H43)</f>
        <v>1</v>
      </c>
      <c r="M43" s="26"/>
      <c r="N43" s="26"/>
      <c r="O43" s="26"/>
      <c r="P43" s="44">
        <v>70.5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3">
        <f>+$F$22</f>
        <v>97.498448311156622</v>
      </c>
      <c r="AC43" s="1"/>
      <c r="AD43" s="40"/>
      <c r="AE43" s="40"/>
      <c r="AF43" s="50">
        <v>70.5</v>
      </c>
      <c r="AG43" s="42"/>
      <c r="AH43" s="3"/>
      <c r="AI43" s="3"/>
      <c r="AJ43" s="3"/>
      <c r="AK43" s="3"/>
      <c r="AL43" s="3"/>
      <c r="AM43" s="3"/>
      <c r="AO43" s="22">
        <v>0</v>
      </c>
      <c r="AP43" s="22">
        <f>+AO43+1998</f>
        <v>1998</v>
      </c>
      <c r="AQ43" s="22">
        <v>51</v>
      </c>
      <c r="AR43" s="22">
        <v>1</v>
      </c>
      <c r="AS43" s="25">
        <f>+(AQ43-AO43)/(AQ43-AR43*AO43)</f>
        <v>1</v>
      </c>
      <c r="AT43" s="26"/>
      <c r="AU43" s="3">
        <v>41.7</v>
      </c>
      <c r="AV43" s="3"/>
      <c r="AW43" s="1"/>
      <c r="AX43" s="3"/>
      <c r="AY43" s="3"/>
      <c r="AZ43" s="22">
        <v>0</v>
      </c>
      <c r="BA43" s="22">
        <f>+AZ43+1998</f>
        <v>1998</v>
      </c>
      <c r="BB43" s="22">
        <v>51</v>
      </c>
      <c r="BC43" s="22">
        <v>0</v>
      </c>
      <c r="BD43" s="25">
        <f>+(BB43-AZ43)/(BB43-BC43*AZ43)</f>
        <v>1</v>
      </c>
      <c r="BE43" s="26"/>
      <c r="BF43" s="3">
        <v>30.3</v>
      </c>
      <c r="BG43" s="3"/>
      <c r="BH43" s="1"/>
      <c r="BK43" s="22">
        <v>0</v>
      </c>
      <c r="BL43" s="22">
        <f>+BK43+1998</f>
        <v>1998</v>
      </c>
      <c r="BM43" s="11">
        <v>3.5000000000000003E-2</v>
      </c>
      <c r="BN43" s="3">
        <v>30.3</v>
      </c>
      <c r="BO43" s="19"/>
      <c r="BP43" s="1"/>
      <c r="BQ43" s="1">
        <v>4.5900000000000003E-2</v>
      </c>
      <c r="BR43" s="3">
        <v>30.3</v>
      </c>
      <c r="BS43" s="19"/>
      <c r="BT43" s="1"/>
      <c r="BU43" s="22">
        <f>+BT43+1998</f>
        <v>1998</v>
      </c>
      <c r="BV43" s="22"/>
      <c r="BW43" s="27">
        <v>188</v>
      </c>
      <c r="BX43" s="44">
        <v>70.5</v>
      </c>
      <c r="BZ43" s="3"/>
      <c r="CA43" s="1"/>
      <c r="CB43" s="3">
        <f>42+142</f>
        <v>184</v>
      </c>
      <c r="CG43" s="3"/>
      <c r="CH43" s="1"/>
      <c r="CI43" s="1"/>
      <c r="CJ43" s="1"/>
      <c r="CK43" s="1"/>
      <c r="CL43" s="1"/>
      <c r="CM43" s="1"/>
      <c r="CY43" s="19"/>
      <c r="CZ43" s="11"/>
      <c r="DA43" s="22"/>
      <c r="DB43" s="22"/>
    </row>
    <row r="44" spans="1:125" x14ac:dyDescent="0.3">
      <c r="A44" s="2"/>
      <c r="B44" s="2"/>
      <c r="C44" s="2"/>
      <c r="D44" s="45">
        <v>0.99009900990099009</v>
      </c>
      <c r="E44" s="45">
        <v>0.99403578528827041</v>
      </c>
      <c r="F44" s="1"/>
      <c r="G44" s="1"/>
      <c r="H44" s="22">
        <f>+H43+1</f>
        <v>1</v>
      </c>
      <c r="I44" s="22">
        <f t="shared" ref="I44:I65" si="67">+H44+1998</f>
        <v>1999</v>
      </c>
      <c r="J44" s="22">
        <v>51</v>
      </c>
      <c r="K44" s="22">
        <v>0.75</v>
      </c>
      <c r="L44" s="25">
        <f t="shared" si="66"/>
        <v>0.99502487562189057</v>
      </c>
      <c r="M44" s="26">
        <f>+(L44-L43)/L43</f>
        <v>-4.9751243781094301E-3</v>
      </c>
      <c r="N44" s="26"/>
      <c r="O44" s="26"/>
      <c r="P44" s="10">
        <v>71.5</v>
      </c>
      <c r="Q44" s="9">
        <f t="shared" ref="Q44:Q67" si="68">LN(P44/P43)</f>
        <v>1.4084739881739023E-2</v>
      </c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3">
        <f>+AB43*L44+AG44</f>
        <v>102.70018184115412</v>
      </c>
      <c r="AC44" s="1">
        <f>LN(AB44/AB43)</f>
        <v>5.1977424418353339E-2</v>
      </c>
      <c r="AD44" s="40">
        <v>406.60623124680001</v>
      </c>
      <c r="AE44" s="40">
        <v>124.40734163319996</v>
      </c>
      <c r="AF44" s="51">
        <v>71.5</v>
      </c>
      <c r="AG44" s="40">
        <f>+(AD44)/AF44</f>
        <v>5.6868004370181815</v>
      </c>
      <c r="AH44" s="2"/>
      <c r="AI44" s="2"/>
      <c r="AJ44" s="29"/>
      <c r="AK44" s="29"/>
      <c r="AL44" s="29"/>
      <c r="AM44" s="29"/>
      <c r="AO44" s="22">
        <f>+AO43+1</f>
        <v>1</v>
      </c>
      <c r="AP44" s="22">
        <f t="shared" ref="AP44:AP65" si="69">+AO44+1998</f>
        <v>1999</v>
      </c>
      <c r="AQ44" s="22">
        <v>51</v>
      </c>
      <c r="AR44" s="22">
        <v>1</v>
      </c>
      <c r="AS44" s="25">
        <f t="shared" ref="AS44:AS65" si="70">+(AQ44-AO44)/(AQ44-AR44*AO44)</f>
        <v>1</v>
      </c>
      <c r="AT44" s="26">
        <f>+(AS44-AS43)/AS43</f>
        <v>0</v>
      </c>
      <c r="AU44" s="3">
        <f t="shared" ref="AU44:AU65" si="71">+AU43*AS44+AV44-AX44</f>
        <v>42.999675792423091</v>
      </c>
      <c r="AV44" s="3">
        <v>2.1336757924230931</v>
      </c>
      <c r="AW44" s="1">
        <f>LN(AU44/AU43)</f>
        <v>3.0691447149291815E-2</v>
      </c>
      <c r="AX44" s="3">
        <f t="shared" ref="AX44:AX65" si="72">+AU43*0.02</f>
        <v>0.83400000000000007</v>
      </c>
      <c r="AY44" s="3"/>
      <c r="AZ44" s="22">
        <f>+AZ43+1</f>
        <v>1</v>
      </c>
      <c r="BA44" s="22">
        <f t="shared" ref="BA44:BA65" si="73">+AZ44+1998</f>
        <v>1999</v>
      </c>
      <c r="BB44" s="22">
        <v>51</v>
      </c>
      <c r="BC44" s="22">
        <v>0</v>
      </c>
      <c r="BD44" s="25">
        <f t="shared" ref="BD44:BD65" si="74">+(BB44-AZ44)/(BB44-BC44*AZ44)</f>
        <v>0.98039215686274506</v>
      </c>
      <c r="BE44" s="26">
        <f>+(BD44-BD43)/BD43</f>
        <v>-1.9607843137254943E-2</v>
      </c>
      <c r="BF44" s="3">
        <f>+BF43*BD44+BG44</f>
        <v>31.839558145364272</v>
      </c>
      <c r="BG44" s="3">
        <v>2.1336757924230931</v>
      </c>
      <c r="BH44" s="1">
        <f>LN(BF44/BF43)</f>
        <v>4.9561771020480552E-2</v>
      </c>
      <c r="BK44" s="22">
        <f>+BK43+1</f>
        <v>1</v>
      </c>
      <c r="BL44" s="22">
        <f t="shared" ref="BL44:BL65" si="75">+BK44+1998</f>
        <v>1999</v>
      </c>
      <c r="BM44" s="11">
        <v>3.5000000000000003E-2</v>
      </c>
      <c r="BN44" s="3">
        <f>+BN43*(1-BM44)+BO44</f>
        <v>31.373175792423094</v>
      </c>
      <c r="BO44" s="3">
        <v>2.1336757924230931</v>
      </c>
      <c r="BP44" s="1">
        <f>LN(BN44/BN43)</f>
        <v>3.4805541172144225E-2</v>
      </c>
      <c r="BQ44" s="1">
        <v>4.5900000000000003E-2</v>
      </c>
      <c r="BR44" s="3">
        <f t="shared" ref="BR44:BR65" si="76">+BR43*(1-BQ44)+BS44</f>
        <v>31.042905792423095</v>
      </c>
      <c r="BS44" s="3">
        <v>2.1336757924230931</v>
      </c>
      <c r="BT44" s="1">
        <f>LN(BR44/BR43)</f>
        <v>2.4222592864756039E-2</v>
      </c>
      <c r="BU44" s="22">
        <f>+BU43+1</f>
        <v>1999</v>
      </c>
      <c r="BV44" s="22"/>
      <c r="BW44" s="27">
        <v>183</v>
      </c>
      <c r="BX44" s="10">
        <v>71.5</v>
      </c>
      <c r="BY44" s="11">
        <f t="shared" ref="BY44:BY51" si="77">LN(BX44/BX43)</f>
        <v>1.4084739881739023E-2</v>
      </c>
      <c r="BZ44" s="3"/>
      <c r="CA44" s="1"/>
      <c r="CB44" s="3">
        <v>142</v>
      </c>
      <c r="CG44" s="3"/>
      <c r="CH44" s="1"/>
      <c r="CI44" s="1"/>
      <c r="CJ44" s="1"/>
      <c r="CK44" s="3"/>
      <c r="CL44" s="1"/>
      <c r="CM44" s="3"/>
    </row>
    <row r="45" spans="1:125" x14ac:dyDescent="0.3">
      <c r="A45" s="2"/>
      <c r="B45" s="2"/>
      <c r="C45" s="2"/>
      <c r="D45" s="45">
        <v>0.98</v>
      </c>
      <c r="E45" s="45">
        <v>0.98790322580645162</v>
      </c>
      <c r="H45" s="22">
        <f t="shared" ref="H45:H65" si="78">+H44+1</f>
        <v>2</v>
      </c>
      <c r="I45" s="22">
        <f t="shared" si="67"/>
        <v>2000</v>
      </c>
      <c r="J45" s="22">
        <v>51</v>
      </c>
      <c r="K45" s="22">
        <v>0.75</v>
      </c>
      <c r="L45" s="25">
        <f t="shared" si="66"/>
        <v>0.98989898989898994</v>
      </c>
      <c r="M45" s="26">
        <f t="shared" ref="M45:M67" si="79">+(L45-L44)/L44</f>
        <v>-5.1515151515151283E-3</v>
      </c>
      <c r="N45" s="26"/>
      <c r="O45" s="26"/>
      <c r="P45" s="10">
        <v>73.400000000000006</v>
      </c>
      <c r="Q45" s="9">
        <f t="shared" si="68"/>
        <v>2.6226485920508108E-2</v>
      </c>
      <c r="R45" s="9"/>
      <c r="S45" s="26"/>
      <c r="T45" s="26"/>
      <c r="U45" s="26"/>
      <c r="V45" s="26"/>
      <c r="W45" s="26"/>
      <c r="X45" s="26"/>
      <c r="Y45" s="26"/>
      <c r="Z45" s="26"/>
      <c r="AA45" s="26"/>
      <c r="AB45" s="3">
        <f>+AB43*L45+AG44*L44+AG45</f>
        <v>106.69265342456717</v>
      </c>
      <c r="AC45" s="1">
        <f t="shared" ref="AC45:AC67" si="80">LN(AB45/AB44)</f>
        <v>3.8138415770874297E-2</v>
      </c>
      <c r="AD45" s="40">
        <v>331.80690398941999</v>
      </c>
      <c r="AE45" s="40">
        <v>102.30262432057998</v>
      </c>
      <c r="AF45" s="51">
        <v>73.400000000000006</v>
      </c>
      <c r="AG45" s="40">
        <f t="shared" ref="AG45:AG65" si="81">+(AD45)/AF45</f>
        <v>4.5205300271038142</v>
      </c>
      <c r="AH45" s="2"/>
      <c r="AI45" s="2"/>
      <c r="AJ45" s="29"/>
      <c r="AK45" s="29"/>
      <c r="AL45" s="29"/>
      <c r="AM45" s="29"/>
      <c r="AO45" s="22">
        <f t="shared" ref="AO45:AO65" si="82">+AO44+1</f>
        <v>2</v>
      </c>
      <c r="AP45" s="22">
        <f t="shared" si="69"/>
        <v>2000</v>
      </c>
      <c r="AQ45" s="22">
        <v>51</v>
      </c>
      <c r="AR45" s="22">
        <v>1</v>
      </c>
      <c r="AS45" s="25">
        <f t="shared" si="70"/>
        <v>1</v>
      </c>
      <c r="AT45" s="26">
        <f t="shared" ref="AT45:AT65" si="83">+(AS45-AS44)/AS44</f>
        <v>0</v>
      </c>
      <c r="AU45" s="3">
        <f t="shared" si="71"/>
        <v>43.528593648488837</v>
      </c>
      <c r="AV45" s="3">
        <v>1.3889113719142046</v>
      </c>
      <c r="AW45" s="1">
        <f t="shared" ref="AW45:AW65" si="84">LN(AU45/AU44)</f>
        <v>1.2225471449588625E-2</v>
      </c>
      <c r="AX45" s="3">
        <f t="shared" si="72"/>
        <v>0.85999351584846184</v>
      </c>
      <c r="AY45" s="3"/>
      <c r="AZ45" s="22">
        <f t="shared" ref="AZ45:AZ65" si="85">+AZ44+1</f>
        <v>2</v>
      </c>
      <c r="BA45" s="22">
        <f t="shared" si="73"/>
        <v>2000</v>
      </c>
      <c r="BB45" s="22">
        <v>51</v>
      </c>
      <c r="BC45" s="22">
        <v>0</v>
      </c>
      <c r="BD45" s="25">
        <f t="shared" si="74"/>
        <v>0.96078431372549022</v>
      </c>
      <c r="BE45" s="26">
        <f t="shared" ref="BE45:BE65" si="86">+(BD45-BD44)/BD44</f>
        <v>-1.9999999999999931E-2</v>
      </c>
      <c r="BF45" s="3">
        <f>+BF43*BD45+BG44*BD44+BG45</f>
        <v>32.592515089976061</v>
      </c>
      <c r="BG45" s="3">
        <v>1.3889113719142046</v>
      </c>
      <c r="BH45" s="1">
        <f t="shared" ref="BH45:BH65" si="87">LN(BF45/BF44)</f>
        <v>2.3373180008102699E-2</v>
      </c>
      <c r="BK45" s="22">
        <f t="shared" ref="BK45:BK65" si="88">+BK44+1</f>
        <v>2</v>
      </c>
      <c r="BL45" s="22">
        <f t="shared" si="75"/>
        <v>2000</v>
      </c>
      <c r="BM45" s="11">
        <v>3.5000000000000003E-2</v>
      </c>
      <c r="BN45" s="3">
        <f t="shared" ref="BN45:BN65" si="89">+BN44*(1-BM45)+BO45</f>
        <v>31.664026011602488</v>
      </c>
      <c r="BO45" s="3">
        <v>1.3889113719142046</v>
      </c>
      <c r="BP45" s="1">
        <f t="shared" ref="BP45:BP65" si="90">LN(BN45/BN44)</f>
        <v>9.2279566606087403E-3</v>
      </c>
      <c r="BQ45" s="1">
        <v>4.5900000000000003E-2</v>
      </c>
      <c r="BR45" s="3">
        <f t="shared" si="76"/>
        <v>31.006947788465077</v>
      </c>
      <c r="BS45" s="3">
        <v>1.3889113719142046</v>
      </c>
      <c r="BT45" s="1">
        <f t="shared" ref="BT45:BT65" si="91">LN(BR45/BR44)</f>
        <v>-1.1590037980125797E-3</v>
      </c>
      <c r="BU45" s="22">
        <f t="shared" ref="BU45:BU65" si="92">+BU44+1</f>
        <v>2000</v>
      </c>
      <c r="BV45" s="22"/>
      <c r="BW45" s="27">
        <v>156</v>
      </c>
      <c r="BX45" s="10">
        <v>73.400000000000006</v>
      </c>
      <c r="BY45" s="11">
        <f t="shared" si="77"/>
        <v>2.6226485920508108E-2</v>
      </c>
      <c r="BZ45" s="3"/>
      <c r="CA45" s="1"/>
      <c r="CB45" s="3">
        <f>56+89</f>
        <v>145</v>
      </c>
      <c r="CE45">
        <v>18.87</v>
      </c>
      <c r="CG45" s="3"/>
      <c r="CH45" s="1"/>
      <c r="CI45" s="1"/>
      <c r="CJ45" s="1"/>
      <c r="CK45" s="3"/>
      <c r="CL45" s="1"/>
      <c r="CM45" s="3"/>
      <c r="CN45" s="11"/>
      <c r="CO45" s="11"/>
      <c r="CP45" s="11"/>
      <c r="CQ45" s="11"/>
      <c r="CR45" s="11"/>
      <c r="CS45" s="11"/>
      <c r="CU45" s="11"/>
      <c r="CV45" s="11"/>
      <c r="CW45" s="11"/>
      <c r="CY45" s="19"/>
    </row>
    <row r="46" spans="1:125" x14ac:dyDescent="0.3">
      <c r="A46" s="2"/>
      <c r="B46" s="2"/>
      <c r="C46" s="2"/>
      <c r="D46" s="45">
        <v>0.96969696969696972</v>
      </c>
      <c r="E46" s="45">
        <v>0.98159509202453987</v>
      </c>
      <c r="H46" s="22">
        <f t="shared" si="78"/>
        <v>3</v>
      </c>
      <c r="I46" s="22">
        <f t="shared" si="67"/>
        <v>2001</v>
      </c>
      <c r="J46" s="22">
        <v>51</v>
      </c>
      <c r="K46" s="22">
        <v>0.75</v>
      </c>
      <c r="L46" s="25">
        <f t="shared" si="66"/>
        <v>0.98461538461538467</v>
      </c>
      <c r="M46" s="26">
        <f t="shared" si="79"/>
        <v>-5.3375196232339E-3</v>
      </c>
      <c r="N46" s="26"/>
      <c r="O46" s="26"/>
      <c r="P46" s="10">
        <v>74.8</v>
      </c>
      <c r="Q46" s="9">
        <f t="shared" si="68"/>
        <v>1.8893949359961613E-2</v>
      </c>
      <c r="R46" s="9"/>
      <c r="S46" s="26"/>
      <c r="T46" s="26"/>
      <c r="U46" s="26"/>
      <c r="V46" s="26"/>
      <c r="W46" s="26"/>
      <c r="X46" s="26"/>
      <c r="Y46" s="26"/>
      <c r="Z46" s="26"/>
      <c r="AA46" s="26"/>
      <c r="AB46" s="3">
        <f>+AB43*L46+AG44*L45+AG45*L44+AG46</f>
        <v>110.83218007148896</v>
      </c>
      <c r="AC46" s="1">
        <f t="shared" si="80"/>
        <v>3.8064862694618409E-2</v>
      </c>
      <c r="AD46" s="40">
        <v>352.03199187994005</v>
      </c>
      <c r="AE46" s="40">
        <v>103.47000382006001</v>
      </c>
      <c r="AF46" s="51">
        <v>74.8</v>
      </c>
      <c r="AG46" s="40">
        <f t="shared" si="81"/>
        <v>4.7063100518708563</v>
      </c>
      <c r="AH46" s="2"/>
      <c r="AI46" s="2"/>
      <c r="AJ46" s="29"/>
      <c r="AK46" s="29"/>
      <c r="AL46" s="29"/>
      <c r="AM46" s="29"/>
      <c r="AO46" s="22">
        <f t="shared" si="82"/>
        <v>3</v>
      </c>
      <c r="AP46" s="22">
        <f t="shared" si="69"/>
        <v>2001</v>
      </c>
      <c r="AQ46" s="22">
        <v>51</v>
      </c>
      <c r="AR46" s="22">
        <v>1</v>
      </c>
      <c r="AS46" s="25">
        <f t="shared" si="70"/>
        <v>1</v>
      </c>
      <c r="AT46" s="26">
        <f t="shared" si="83"/>
        <v>0</v>
      </c>
      <c r="AU46" s="3">
        <f t="shared" si="71"/>
        <v>44.24345594918853</v>
      </c>
      <c r="AV46" s="3">
        <v>1.5854341736694677</v>
      </c>
      <c r="AW46" s="1">
        <f t="shared" si="84"/>
        <v>1.6289424959839267E-2</v>
      </c>
      <c r="AX46" s="3">
        <f t="shared" si="72"/>
        <v>0.87057187296977678</v>
      </c>
      <c r="AY46" s="3"/>
      <c r="AZ46" s="22">
        <f t="shared" si="85"/>
        <v>3</v>
      </c>
      <c r="BA46" s="22">
        <f t="shared" si="73"/>
        <v>2001</v>
      </c>
      <c r="BB46" s="22">
        <v>51</v>
      </c>
      <c r="BC46" s="22">
        <v>0</v>
      </c>
      <c r="BD46" s="25">
        <f t="shared" si="74"/>
        <v>0.94117647058823528</v>
      </c>
      <c r="BE46" s="26">
        <f t="shared" si="86"/>
        <v>-2.0408163265306166E-2</v>
      </c>
      <c r="BF46" s="3">
        <f>+BF43*BD46+BG44*BD45+BG45*BD44+BG46</f>
        <v>33.514761280031074</v>
      </c>
      <c r="BG46" s="3">
        <v>1.5854341736694677</v>
      </c>
      <c r="BH46" s="1">
        <f t="shared" si="87"/>
        <v>2.7903313460729846E-2</v>
      </c>
      <c r="BK46" s="22">
        <f t="shared" si="88"/>
        <v>3</v>
      </c>
      <c r="BL46" s="22">
        <f t="shared" si="75"/>
        <v>2001</v>
      </c>
      <c r="BM46" s="11">
        <v>3.5000000000000003E-2</v>
      </c>
      <c r="BN46" s="3">
        <f t="shared" si="89"/>
        <v>32.141219274865868</v>
      </c>
      <c r="BO46" s="3">
        <v>1.5854341736694677</v>
      </c>
      <c r="BP46" s="1">
        <f t="shared" si="90"/>
        <v>1.4958085609673034E-2</v>
      </c>
      <c r="BQ46" s="1">
        <v>4.5900000000000003E-2</v>
      </c>
      <c r="BR46" s="3">
        <f t="shared" si="76"/>
        <v>31.169163058643996</v>
      </c>
      <c r="BS46" s="3">
        <v>1.5854341736694677</v>
      </c>
      <c r="BT46" s="1">
        <f t="shared" si="91"/>
        <v>5.2179409750900702E-3</v>
      </c>
      <c r="BU46" s="22">
        <f t="shared" si="92"/>
        <v>2001</v>
      </c>
      <c r="BV46" s="22"/>
      <c r="BW46" s="27">
        <v>170</v>
      </c>
      <c r="BX46" s="10">
        <v>74.8</v>
      </c>
      <c r="BY46" s="11">
        <f t="shared" si="77"/>
        <v>1.8893949359961613E-2</v>
      </c>
      <c r="BZ46" s="3"/>
      <c r="CA46" s="1"/>
      <c r="CB46" s="3">
        <f>55+90</f>
        <v>145</v>
      </c>
      <c r="CE46">
        <v>19.48</v>
      </c>
      <c r="CG46" s="3"/>
      <c r="CH46" s="1"/>
      <c r="CI46" s="1"/>
      <c r="CJ46" s="1"/>
      <c r="CK46" s="3"/>
      <c r="CL46" s="1"/>
      <c r="CM46" s="1"/>
      <c r="CN46" s="1"/>
      <c r="CO46" s="1"/>
      <c r="CP46" s="1"/>
      <c r="CQ46" s="1"/>
      <c r="CR46" s="1"/>
      <c r="CS46" s="1"/>
      <c r="CU46" s="1"/>
      <c r="CV46" s="1"/>
      <c r="CY46" s="19"/>
      <c r="DA46" s="1"/>
      <c r="DB46" s="1"/>
    </row>
    <row r="47" spans="1:125" x14ac:dyDescent="0.3">
      <c r="A47" s="2"/>
      <c r="D47" s="45">
        <v>0.95918367346938771</v>
      </c>
      <c r="E47" s="45">
        <v>0.975103734439834</v>
      </c>
      <c r="H47" s="22">
        <f t="shared" si="78"/>
        <v>4</v>
      </c>
      <c r="I47" s="22">
        <f t="shared" si="67"/>
        <v>2002</v>
      </c>
      <c r="J47" s="22">
        <v>51</v>
      </c>
      <c r="K47" s="22">
        <v>0.75</v>
      </c>
      <c r="L47" s="25">
        <f t="shared" si="66"/>
        <v>0.97916666666666663</v>
      </c>
      <c r="M47" s="26">
        <f t="shared" si="79"/>
        <v>-5.5338541666667598E-3</v>
      </c>
      <c r="N47" s="26">
        <f t="shared" ref="N47:N67" si="93">+(AB46-AB47+AG47)/AB46</f>
        <v>5.4846394966226227E-3</v>
      </c>
      <c r="O47" s="26">
        <v>3.1E-2</v>
      </c>
      <c r="P47" s="10">
        <v>76.599999999999994</v>
      </c>
      <c r="Q47" s="9">
        <f t="shared" si="68"/>
        <v>2.3779191766113934E-2</v>
      </c>
      <c r="R47" s="9">
        <f>+(Q47+Q46+Q45)/3</f>
        <v>2.2966542348861221E-2</v>
      </c>
      <c r="S47" s="26"/>
      <c r="T47" s="26"/>
      <c r="U47" s="26"/>
      <c r="V47" s="26"/>
      <c r="W47" s="26"/>
      <c r="X47" s="26"/>
      <c r="Y47" s="26"/>
      <c r="Z47" s="26"/>
      <c r="AA47" s="26"/>
      <c r="AB47" s="3">
        <f>+AB43*L47+AG44*L46+AG45*L45+AG46*L44+AG47</f>
        <v>115.07322857329402</v>
      </c>
      <c r="AC47" s="1">
        <f t="shared" si="80"/>
        <v>3.7551529910046684E-2</v>
      </c>
      <c r="AD47" s="40">
        <v>371.42750594573999</v>
      </c>
      <c r="AE47" s="40">
        <v>92.885735944259977</v>
      </c>
      <c r="AF47" s="51">
        <v>76.599999999999994</v>
      </c>
      <c r="AG47" s="40">
        <f t="shared" si="81"/>
        <v>4.8489230541219328</v>
      </c>
      <c r="AH47" s="2"/>
      <c r="AI47" s="2"/>
      <c r="AJ47" s="29"/>
      <c r="AK47" s="29"/>
      <c r="AL47" s="29"/>
      <c r="AM47" s="29"/>
      <c r="AO47" s="22">
        <f t="shared" si="82"/>
        <v>4</v>
      </c>
      <c r="AP47" s="22">
        <f t="shared" si="69"/>
        <v>2002</v>
      </c>
      <c r="AQ47" s="22">
        <v>51</v>
      </c>
      <c r="AR47" s="22">
        <v>1</v>
      </c>
      <c r="AS47" s="25">
        <f t="shared" si="70"/>
        <v>1</v>
      </c>
      <c r="AT47" s="26">
        <f t="shared" si="83"/>
        <v>0</v>
      </c>
      <c r="AU47" s="3">
        <f t="shared" si="71"/>
        <v>45.059877264786088</v>
      </c>
      <c r="AV47" s="3">
        <v>1.7012904345813322</v>
      </c>
      <c r="AW47" s="1">
        <f t="shared" si="84"/>
        <v>1.8284738819471701E-2</v>
      </c>
      <c r="AX47" s="3">
        <f t="shared" si="72"/>
        <v>0.88486911898377063</v>
      </c>
      <c r="AY47" s="3"/>
      <c r="AZ47" s="22">
        <f t="shared" si="85"/>
        <v>4</v>
      </c>
      <c r="BA47" s="22">
        <f t="shared" si="73"/>
        <v>2002</v>
      </c>
      <c r="BB47" s="22">
        <v>51</v>
      </c>
      <c r="BC47" s="22">
        <v>0</v>
      </c>
      <c r="BD47" s="25">
        <f t="shared" si="74"/>
        <v>0.92156862745098034</v>
      </c>
      <c r="BE47" s="26">
        <f t="shared" si="86"/>
        <v>-2.0833333333333377E-2</v>
      </c>
      <c r="BF47" s="3">
        <f>+BF43*BD47+BG44*BD46+BG45*BD45+BG46*BD44+BG47</f>
        <v>34.52177678641619</v>
      </c>
      <c r="BG47" s="3">
        <v>1.7012904345813322</v>
      </c>
      <c r="BH47" s="1">
        <f t="shared" si="87"/>
        <v>2.9604359103147921E-2</v>
      </c>
      <c r="BK47" s="22">
        <f t="shared" si="88"/>
        <v>4</v>
      </c>
      <c r="BL47" s="22">
        <f t="shared" si="75"/>
        <v>2002</v>
      </c>
      <c r="BM47" s="11">
        <v>3.5000000000000003E-2</v>
      </c>
      <c r="BN47" s="3">
        <f t="shared" si="89"/>
        <v>32.717567034826892</v>
      </c>
      <c r="BO47" s="3">
        <v>1.7012904345813322</v>
      </c>
      <c r="BP47" s="1">
        <f t="shared" si="90"/>
        <v>1.7772855885851244E-2</v>
      </c>
      <c r="BQ47" s="1">
        <v>4.5900000000000003E-2</v>
      </c>
      <c r="BR47" s="3">
        <f t="shared" si="76"/>
        <v>31.439788908833567</v>
      </c>
      <c r="BS47" s="3">
        <v>1.7012904345813322</v>
      </c>
      <c r="BT47" s="1">
        <f t="shared" si="91"/>
        <v>8.6450108856846505E-3</v>
      </c>
      <c r="BU47" s="22">
        <f t="shared" si="92"/>
        <v>2002</v>
      </c>
      <c r="BV47" s="10">
        <f t="shared" ref="BV47:BV67" si="94">+(BW47+CB47)*1000000/CI47</f>
        <v>119.97375986756659</v>
      </c>
      <c r="BW47" s="27">
        <v>176</v>
      </c>
      <c r="BX47" s="10">
        <v>76.599999999999994</v>
      </c>
      <c r="BY47" s="11">
        <f t="shared" si="77"/>
        <v>2.3779191766113934E-2</v>
      </c>
      <c r="BZ47" s="3">
        <f>+BW47*10/BX47</f>
        <v>22.97650130548303</v>
      </c>
      <c r="CA47" s="1"/>
      <c r="CB47" s="3">
        <f>58+93</f>
        <v>151</v>
      </c>
      <c r="CC47" s="31">
        <v>711.29</v>
      </c>
      <c r="CD47" s="31"/>
      <c r="CE47">
        <v>19.93</v>
      </c>
      <c r="CF47" s="31"/>
      <c r="CG47" s="3">
        <f t="shared" ref="CG47:CG66" si="95">+(CB47*100)/CE47</f>
        <v>757.65178123432008</v>
      </c>
      <c r="CH47" s="1"/>
      <c r="CI47" s="6">
        <v>2725596</v>
      </c>
      <c r="CJ47" s="1"/>
      <c r="CK47" s="3"/>
      <c r="CL47" s="1"/>
      <c r="CM47" s="1"/>
      <c r="CN47" s="1"/>
      <c r="CO47" s="1"/>
      <c r="CP47" s="1"/>
      <c r="CQ47" s="1"/>
      <c r="CR47" s="1"/>
      <c r="CS47" s="1"/>
      <c r="CU47" s="1"/>
      <c r="CV47" s="1"/>
      <c r="CY47" s="19"/>
    </row>
    <row r="48" spans="1:125" x14ac:dyDescent="0.3">
      <c r="A48" s="2"/>
      <c r="D48" s="45">
        <v>0.94845360824742264</v>
      </c>
      <c r="E48" s="45">
        <v>0.96842105263157896</v>
      </c>
      <c r="H48" s="22">
        <f t="shared" si="78"/>
        <v>5</v>
      </c>
      <c r="I48" s="22">
        <f t="shared" si="67"/>
        <v>2003</v>
      </c>
      <c r="J48" s="22">
        <v>51</v>
      </c>
      <c r="K48" s="22">
        <v>0.75</v>
      </c>
      <c r="L48" s="25">
        <f t="shared" si="66"/>
        <v>0.97354497354497349</v>
      </c>
      <c r="M48" s="26">
        <f t="shared" si="79"/>
        <v>-5.7413036136440571E-3</v>
      </c>
      <c r="N48" s="26">
        <f t="shared" si="93"/>
        <v>5.6592209592538295E-3</v>
      </c>
      <c r="O48" s="26">
        <v>3.1E-2</v>
      </c>
      <c r="P48" s="10">
        <v>77.8</v>
      </c>
      <c r="Q48" s="9">
        <f t="shared" si="68"/>
        <v>1.5544354437800379E-2</v>
      </c>
      <c r="R48" s="9">
        <f t="shared" ref="R48:R67" si="96">+(Q48+Q47+Q46)/3</f>
        <v>1.940583185462531E-2</v>
      </c>
      <c r="S48" s="26"/>
      <c r="T48" s="26"/>
      <c r="U48" s="26"/>
      <c r="V48" s="26"/>
      <c r="W48" s="26"/>
      <c r="X48" s="26"/>
      <c r="Y48" s="26"/>
      <c r="Z48" s="26"/>
      <c r="AA48" s="26"/>
      <c r="AB48" s="3">
        <f>+AB43*L48+AG44*L47+AG45*L46+AG46*L45+AG47*L44+AG48</f>
        <v>118.91352187873979</v>
      </c>
      <c r="AC48" s="1">
        <f t="shared" si="80"/>
        <v>3.2827826117042505E-2</v>
      </c>
      <c r="AD48" s="40">
        <v>349.44011070357999</v>
      </c>
      <c r="AE48" s="40">
        <v>40.55014562641999</v>
      </c>
      <c r="AF48" s="51">
        <v>77.8</v>
      </c>
      <c r="AG48" s="40">
        <f t="shared" si="81"/>
        <v>4.4915181324367612</v>
      </c>
      <c r="AH48" s="2"/>
      <c r="AI48" s="2"/>
      <c r="AJ48" s="29"/>
      <c r="AK48" s="29"/>
      <c r="AL48" s="29"/>
      <c r="AM48" s="29"/>
      <c r="AO48" s="22">
        <f t="shared" si="82"/>
        <v>5</v>
      </c>
      <c r="AP48" s="22">
        <f t="shared" si="69"/>
        <v>2003</v>
      </c>
      <c r="AQ48" s="22">
        <v>51</v>
      </c>
      <c r="AR48" s="22">
        <v>1</v>
      </c>
      <c r="AS48" s="25">
        <f t="shared" si="70"/>
        <v>1</v>
      </c>
      <c r="AT48" s="26">
        <f t="shared" si="83"/>
        <v>0</v>
      </c>
      <c r="AU48" s="3">
        <f t="shared" si="71"/>
        <v>45.821399937017134</v>
      </c>
      <c r="AV48" s="3">
        <v>1.6627202175267661</v>
      </c>
      <c r="AW48" s="1">
        <f t="shared" si="84"/>
        <v>1.6759018344179817E-2</v>
      </c>
      <c r="AX48" s="3">
        <f t="shared" si="72"/>
        <v>0.90119754529572182</v>
      </c>
      <c r="AY48" s="3"/>
      <c r="AZ48" s="22">
        <f t="shared" si="85"/>
        <v>5</v>
      </c>
      <c r="BA48" s="22">
        <f t="shared" si="73"/>
        <v>2003</v>
      </c>
      <c r="BB48" s="22">
        <v>51</v>
      </c>
      <c r="BC48" s="22">
        <v>0</v>
      </c>
      <c r="BD48" s="25">
        <f t="shared" si="74"/>
        <v>0.90196078431372551</v>
      </c>
      <c r="BE48" s="26">
        <f t="shared" si="86"/>
        <v>-2.1276595744680778E-2</v>
      </c>
      <c r="BF48" s="3">
        <f>+BF43*BD48+BG44*BD47+BG45*BD46+BG46*BD45+BG47*BD44+BG48</f>
        <v>35.456863439774565</v>
      </c>
      <c r="BG48" s="3">
        <v>1.6627202175267661</v>
      </c>
      <c r="BH48" s="1">
        <f t="shared" si="87"/>
        <v>2.6726507150983347E-2</v>
      </c>
      <c r="BK48" s="22">
        <f t="shared" si="88"/>
        <v>5</v>
      </c>
      <c r="BL48" s="22">
        <f t="shared" si="75"/>
        <v>2003</v>
      </c>
      <c r="BM48" s="11">
        <v>3.5000000000000003E-2</v>
      </c>
      <c r="BN48" s="3">
        <f t="shared" si="89"/>
        <v>33.235172406134716</v>
      </c>
      <c r="BO48" s="3">
        <v>1.6627202175267661</v>
      </c>
      <c r="BP48" s="1">
        <f t="shared" si="90"/>
        <v>1.5696573123617965E-2</v>
      </c>
      <c r="BQ48" s="1">
        <v>4.5900000000000003E-2</v>
      </c>
      <c r="BR48" s="3">
        <f t="shared" si="76"/>
        <v>31.65942281544487</v>
      </c>
      <c r="BS48" s="3">
        <v>1.6627202175267661</v>
      </c>
      <c r="BT48" s="1">
        <f t="shared" si="91"/>
        <v>6.9615701251084967E-3</v>
      </c>
      <c r="BU48" s="22">
        <f t="shared" si="92"/>
        <v>2003</v>
      </c>
      <c r="BV48" s="10">
        <f t="shared" si="94"/>
        <v>122.61147106944024</v>
      </c>
      <c r="BW48" s="27">
        <v>189</v>
      </c>
      <c r="BX48" s="10">
        <v>77.8</v>
      </c>
      <c r="BY48" s="11">
        <f t="shared" si="77"/>
        <v>1.5544354437800379E-2</v>
      </c>
      <c r="BZ48" s="3">
        <f t="shared" ref="BZ48:BZ67" si="97">+BW48*10/BX48</f>
        <v>24.29305912596401</v>
      </c>
      <c r="CA48" s="1">
        <f>LN(BZ48/BZ47)</f>
        <v>5.5718665583690256E-2</v>
      </c>
      <c r="CB48" s="3">
        <f>66+89</f>
        <v>155</v>
      </c>
      <c r="CC48" s="31">
        <v>728.71</v>
      </c>
      <c r="CD48" s="31"/>
      <c r="CE48" s="31">
        <v>20.309999999999999</v>
      </c>
      <c r="CF48" s="31"/>
      <c r="CG48" s="3">
        <f t="shared" si="95"/>
        <v>763.17085179714434</v>
      </c>
      <c r="CH48" s="1">
        <f>LN(CG48/CG47)</f>
        <v>7.2580387367325245E-3</v>
      </c>
      <c r="CI48" s="6">
        <v>2805610.25</v>
      </c>
      <c r="CJ48" s="1">
        <f>LN(CI48/CI47)</f>
        <v>2.8933953447859793E-2</v>
      </c>
      <c r="CK48" s="3"/>
      <c r="CL48" s="1"/>
      <c r="CM48" s="1"/>
      <c r="CN48" s="3"/>
      <c r="CO48" s="3"/>
      <c r="CP48" s="3"/>
      <c r="CQ48" s="3"/>
      <c r="CR48" s="3"/>
      <c r="CS48" s="3" t="e">
        <f>+#REF!/CN48</f>
        <v>#REF!</v>
      </c>
      <c r="CU48" s="1"/>
      <c r="CV48" s="1"/>
      <c r="CY48" s="19"/>
    </row>
    <row r="49" spans="1:103" x14ac:dyDescent="0.3">
      <c r="A49" s="2"/>
      <c r="D49" s="45">
        <v>0.9375</v>
      </c>
      <c r="E49" s="45">
        <v>0.96153846153846156</v>
      </c>
      <c r="H49" s="22">
        <f t="shared" si="78"/>
        <v>6</v>
      </c>
      <c r="I49" s="22">
        <f t="shared" si="67"/>
        <v>2004</v>
      </c>
      <c r="J49" s="22">
        <v>51</v>
      </c>
      <c r="K49" s="22">
        <v>0.75</v>
      </c>
      <c r="L49" s="25">
        <f t="shared" si="66"/>
        <v>0.967741935483871</v>
      </c>
      <c r="M49" s="26">
        <f t="shared" si="79"/>
        <v>-5.9607293127628891E-3</v>
      </c>
      <c r="N49" s="26">
        <f t="shared" si="93"/>
        <v>5.8399995807054891E-3</v>
      </c>
      <c r="O49" s="26">
        <v>3.1E-2</v>
      </c>
      <c r="P49" s="10">
        <v>79.2</v>
      </c>
      <c r="Q49" s="9">
        <f t="shared" si="68"/>
        <v>1.783486763603432E-2</v>
      </c>
      <c r="R49" s="9">
        <f t="shared" si="96"/>
        <v>1.9052804613316213E-2</v>
      </c>
      <c r="S49" s="26"/>
      <c r="T49" s="26"/>
      <c r="U49" s="26"/>
      <c r="V49" s="26"/>
      <c r="W49" s="26"/>
      <c r="X49" s="26"/>
      <c r="Y49" s="26"/>
      <c r="Z49" s="26"/>
      <c r="AA49" s="26"/>
      <c r="AB49" s="3">
        <f>+AB43*L49+AG44*L48+AG45*L47+AG46*L46+AG47*L45+AG48*L44+AG49</f>
        <v>122.8130110684545</v>
      </c>
      <c r="AC49" s="1">
        <f t="shared" si="80"/>
        <v>3.2266441395833845E-2</v>
      </c>
      <c r="AD49" s="40">
        <v>363.84037332404</v>
      </c>
      <c r="AE49" s="40">
        <v>44.040896715960045</v>
      </c>
      <c r="AF49" s="51">
        <v>79.2</v>
      </c>
      <c r="AG49" s="40">
        <f t="shared" si="81"/>
        <v>4.5939441076267675</v>
      </c>
      <c r="AH49" s="2"/>
      <c r="AI49" s="2"/>
      <c r="AJ49" s="29"/>
      <c r="AK49" s="29"/>
      <c r="AL49" s="29"/>
      <c r="AM49" s="29"/>
      <c r="AO49" s="22">
        <f t="shared" si="82"/>
        <v>6</v>
      </c>
      <c r="AP49" s="22">
        <f t="shared" si="69"/>
        <v>2004</v>
      </c>
      <c r="AQ49" s="22">
        <v>51</v>
      </c>
      <c r="AR49" s="22">
        <v>1</v>
      </c>
      <c r="AS49" s="25">
        <f t="shared" si="70"/>
        <v>1</v>
      </c>
      <c r="AT49" s="26">
        <f t="shared" si="83"/>
        <v>0</v>
      </c>
      <c r="AU49" s="3">
        <f t="shared" si="71"/>
        <v>46.530610582029688</v>
      </c>
      <c r="AV49" s="3">
        <v>1.6256386437529029</v>
      </c>
      <c r="AW49" s="1">
        <f t="shared" si="84"/>
        <v>1.5359158573650821E-2</v>
      </c>
      <c r="AX49" s="3">
        <f t="shared" si="72"/>
        <v>0.91642799874034264</v>
      </c>
      <c r="AY49" s="3"/>
      <c r="AZ49" s="22">
        <f t="shared" si="85"/>
        <v>6</v>
      </c>
      <c r="BA49" s="22">
        <f t="shared" si="73"/>
        <v>2004</v>
      </c>
      <c r="BB49" s="22">
        <v>51</v>
      </c>
      <c r="BC49" s="22">
        <v>0</v>
      </c>
      <c r="BD49" s="25">
        <f t="shared" si="74"/>
        <v>0.88235294117647056</v>
      </c>
      <c r="BE49" s="26">
        <f t="shared" si="86"/>
        <v>-2.1739130434782653E-2</v>
      </c>
      <c r="BF49" s="3">
        <f>+BF43*BD49+BG44*BD48+BG45*BD47+BG46*BD46+BG47*BD45+BG48*BD44+BG49</f>
        <v>36.322266162152665</v>
      </c>
      <c r="BG49" s="3">
        <v>1.6256386437529029</v>
      </c>
      <c r="BH49" s="1">
        <f t="shared" si="87"/>
        <v>2.4114102860276359E-2</v>
      </c>
      <c r="BK49" s="22">
        <f t="shared" si="88"/>
        <v>6</v>
      </c>
      <c r="BL49" s="22">
        <f t="shared" si="75"/>
        <v>2004</v>
      </c>
      <c r="BM49" s="11">
        <v>3.5000000000000003E-2</v>
      </c>
      <c r="BN49" s="3">
        <f t="shared" si="89"/>
        <v>33.697580015672898</v>
      </c>
      <c r="BO49" s="3">
        <v>1.6256386437529029</v>
      </c>
      <c r="BP49" s="1">
        <f t="shared" si="90"/>
        <v>1.3817300188713263E-2</v>
      </c>
      <c r="BQ49" s="1">
        <v>4.5900000000000003E-2</v>
      </c>
      <c r="BR49" s="3">
        <f t="shared" si="76"/>
        <v>31.831893951968851</v>
      </c>
      <c r="BS49" s="3">
        <v>1.6256386437529029</v>
      </c>
      <c r="BT49" s="1">
        <f t="shared" si="91"/>
        <v>5.4329180598251259E-3</v>
      </c>
      <c r="BU49" s="22">
        <f t="shared" si="92"/>
        <v>2004</v>
      </c>
      <c r="BV49" s="10">
        <f t="shared" si="94"/>
        <v>127.17382707195227</v>
      </c>
      <c r="BW49" s="27">
        <v>212</v>
      </c>
      <c r="BX49" s="10">
        <v>79.2</v>
      </c>
      <c r="BY49" s="11">
        <f t="shared" si="77"/>
        <v>1.783486763603432E-2</v>
      </c>
      <c r="BZ49" s="3">
        <f t="shared" si="97"/>
        <v>26.767676767676768</v>
      </c>
      <c r="CA49" s="1">
        <f t="shared" ref="CA49:CA67" si="98">LN(BZ49/BZ48)</f>
        <v>9.7004391976335744E-2</v>
      </c>
      <c r="CB49" s="3">
        <v>155</v>
      </c>
      <c r="CC49" s="31">
        <v>748.49</v>
      </c>
      <c r="CD49" s="31"/>
      <c r="CE49" s="31">
        <v>20.83</v>
      </c>
      <c r="CG49" s="3">
        <f t="shared" si="95"/>
        <v>744.11905904944797</v>
      </c>
      <c r="CH49" s="1">
        <f t="shared" ref="CH49:CH65" si="99">LN(CG49/CG48)</f>
        <v>-2.5280879680587304E-2</v>
      </c>
      <c r="CI49" s="6">
        <v>2885813.916666667</v>
      </c>
      <c r="CJ49" s="1">
        <f t="shared" ref="CJ49" si="100">LN(CI49/CI48)</f>
        <v>2.8185907088781149E-2</v>
      </c>
      <c r="CK49" s="3"/>
      <c r="CL49" s="1"/>
      <c r="CM49" s="1"/>
      <c r="CN49" s="3"/>
      <c r="CO49" s="3"/>
      <c r="CP49" s="3"/>
      <c r="CQ49" s="3"/>
      <c r="CR49" s="3"/>
      <c r="CS49" s="3" t="e">
        <f>+#REF!/CN49</f>
        <v>#REF!</v>
      </c>
      <c r="CY49" s="19"/>
    </row>
    <row r="50" spans="1:103" x14ac:dyDescent="0.3">
      <c r="A50" s="2"/>
      <c r="D50" s="45">
        <v>0.9263157894736842</v>
      </c>
      <c r="E50" s="45">
        <v>0.95444685466377432</v>
      </c>
      <c r="H50" s="22">
        <f t="shared" si="78"/>
        <v>7</v>
      </c>
      <c r="I50" s="22">
        <f t="shared" si="67"/>
        <v>2005</v>
      </c>
      <c r="J50" s="22">
        <v>51</v>
      </c>
      <c r="K50" s="22">
        <v>0.75</v>
      </c>
      <c r="L50" s="25">
        <f t="shared" si="66"/>
        <v>0.96174863387978138</v>
      </c>
      <c r="M50" s="26">
        <f t="shared" si="79"/>
        <v>-6.1930783242259389E-3</v>
      </c>
      <c r="N50" s="26">
        <f t="shared" si="93"/>
        <v>6.0245486669153097E-3</v>
      </c>
      <c r="O50" s="26">
        <v>3.1E-2</v>
      </c>
      <c r="P50" s="10">
        <v>80.8</v>
      </c>
      <c r="Q50" s="9">
        <f t="shared" si="68"/>
        <v>2.0000666706669435E-2</v>
      </c>
      <c r="R50" s="9">
        <f t="shared" si="96"/>
        <v>1.7793296260168043E-2</v>
      </c>
      <c r="S50" s="26"/>
      <c r="T50" s="26"/>
      <c r="U50" s="26"/>
      <c r="V50" s="26"/>
      <c r="W50" s="26"/>
      <c r="X50" s="26"/>
      <c r="Y50" s="26"/>
      <c r="Z50" s="28"/>
      <c r="AA50" s="28"/>
      <c r="AB50" s="3">
        <f>+AB43*L50+AG44*L49+AG45*L48+AG46*L47+AG47*L46+AG48*L45+AG49*L44+AG50</f>
        <v>127.84773475423427</v>
      </c>
      <c r="AC50" s="1">
        <f t="shared" si="80"/>
        <v>4.0177020157847354E-2</v>
      </c>
      <c r="AD50" s="40">
        <v>466.58902514968003</v>
      </c>
      <c r="AE50" s="40">
        <v>47.556993040319924</v>
      </c>
      <c r="AF50" s="51">
        <v>80.8</v>
      </c>
      <c r="AG50" s="40">
        <f t="shared" si="81"/>
        <v>5.7746166478920795</v>
      </c>
      <c r="AH50" s="2"/>
      <c r="AI50" s="2"/>
      <c r="AJ50" s="29"/>
      <c r="AK50" s="29"/>
      <c r="AL50" s="29"/>
      <c r="AM50" s="29"/>
      <c r="AO50" s="22">
        <f t="shared" si="82"/>
        <v>7</v>
      </c>
      <c r="AP50" s="22">
        <f t="shared" si="69"/>
        <v>2005</v>
      </c>
      <c r="AQ50" s="22">
        <v>51</v>
      </c>
      <c r="AR50" s="22">
        <v>1</v>
      </c>
      <c r="AS50" s="25">
        <f t="shared" si="70"/>
        <v>1</v>
      </c>
      <c r="AT50" s="26">
        <f t="shared" si="83"/>
        <v>0</v>
      </c>
      <c r="AU50" s="3">
        <f t="shared" si="71"/>
        <v>47.54564146273686</v>
      </c>
      <c r="AV50" s="3">
        <v>1.9456430923477661</v>
      </c>
      <c r="AW50" s="1">
        <f t="shared" si="84"/>
        <v>2.1579734496680446E-2</v>
      </c>
      <c r="AX50" s="3">
        <f t="shared" si="72"/>
        <v>0.93061221164059382</v>
      </c>
      <c r="AY50" s="3"/>
      <c r="AZ50" s="22">
        <f t="shared" si="85"/>
        <v>7</v>
      </c>
      <c r="BA50" s="22">
        <f t="shared" si="73"/>
        <v>2005</v>
      </c>
      <c r="BB50" s="22">
        <v>51</v>
      </c>
      <c r="BC50" s="22">
        <v>0</v>
      </c>
      <c r="BD50" s="25">
        <f t="shared" si="74"/>
        <v>0.86274509803921573</v>
      </c>
      <c r="BE50" s="26">
        <f t="shared" si="86"/>
        <v>-2.2222222222222143E-2</v>
      </c>
      <c r="BF50" s="3">
        <f>+BF43*BD50+BG44*BD49+BG45*BD48+BG46*BD47+BG47*BD46+BG48*BD45+BG49*BD44+BG50</f>
        <v>37.475798065601069</v>
      </c>
      <c r="BG50" s="3">
        <v>1.9456430923477661</v>
      </c>
      <c r="BH50" s="1">
        <f t="shared" si="87"/>
        <v>3.1264393589521218E-2</v>
      </c>
      <c r="BK50" s="22">
        <f t="shared" si="88"/>
        <v>7</v>
      </c>
      <c r="BL50" s="22">
        <f t="shared" si="75"/>
        <v>2005</v>
      </c>
      <c r="BM50" s="11">
        <v>3.5000000000000003E-2</v>
      </c>
      <c r="BN50" s="3">
        <f t="shared" si="89"/>
        <v>34.463807807472108</v>
      </c>
      <c r="BO50" s="3">
        <v>1.9456430923477661</v>
      </c>
      <c r="BP50" s="1">
        <f t="shared" si="90"/>
        <v>2.2483699185508212E-2</v>
      </c>
      <c r="BQ50" s="1">
        <v>4.5900000000000003E-2</v>
      </c>
      <c r="BR50" s="3">
        <f t="shared" si="76"/>
        <v>32.316453111921248</v>
      </c>
      <c r="BS50" s="3">
        <v>1.9456430923477661</v>
      </c>
      <c r="BT50" s="1">
        <f t="shared" si="91"/>
        <v>1.5107743178716222E-2</v>
      </c>
      <c r="BU50" s="22">
        <f t="shared" si="92"/>
        <v>2005</v>
      </c>
      <c r="BV50" s="10">
        <f t="shared" si="94"/>
        <v>120.88364937523527</v>
      </c>
      <c r="BW50" s="27">
        <v>191</v>
      </c>
      <c r="BX50" s="10">
        <v>80.8</v>
      </c>
      <c r="BY50" s="11">
        <f t="shared" si="77"/>
        <v>2.0000666706669435E-2</v>
      </c>
      <c r="BZ50" s="3">
        <f t="shared" si="97"/>
        <v>23.638613861386141</v>
      </c>
      <c r="CA50" s="1">
        <f t="shared" si="98"/>
        <v>-0.12431351333205198</v>
      </c>
      <c r="CB50" s="3">
        <v>168</v>
      </c>
      <c r="CC50" s="31">
        <v>776.33</v>
      </c>
      <c r="CD50" s="31"/>
      <c r="CE50">
        <v>21.49</v>
      </c>
      <c r="CF50" s="31"/>
      <c r="CG50" s="3">
        <f t="shared" si="95"/>
        <v>781.75895765472319</v>
      </c>
      <c r="CH50" s="1">
        <f t="shared" si="99"/>
        <v>4.9345407102473787E-2</v>
      </c>
      <c r="CI50" s="6">
        <v>2969797.833333333</v>
      </c>
      <c r="CJ50" s="1">
        <f t="shared" ref="CJ50" si="101">LN(CI50/CI49)</f>
        <v>2.8686900579623004E-2</v>
      </c>
      <c r="CK50" s="3"/>
      <c r="CL50" s="1"/>
      <c r="CM50" s="1"/>
      <c r="CN50" s="3"/>
      <c r="CO50" s="3"/>
      <c r="CP50" s="3"/>
      <c r="CQ50" s="3"/>
      <c r="CR50" s="3"/>
      <c r="CS50" s="3" t="e">
        <f>+#REF!/CN50</f>
        <v>#REF!</v>
      </c>
      <c r="CY50" s="19"/>
    </row>
    <row r="51" spans="1:103" x14ac:dyDescent="0.3">
      <c r="A51" s="2"/>
      <c r="B51" s="2"/>
      <c r="C51" s="2"/>
      <c r="D51" s="45">
        <v>0.91489361702127658</v>
      </c>
      <c r="E51" s="45">
        <v>0.94713656387665202</v>
      </c>
      <c r="H51" s="22">
        <f t="shared" si="78"/>
        <v>8</v>
      </c>
      <c r="I51" s="22">
        <f t="shared" si="67"/>
        <v>2006</v>
      </c>
      <c r="J51" s="22">
        <v>51</v>
      </c>
      <c r="K51" s="22">
        <v>0.75</v>
      </c>
      <c r="L51" s="25">
        <f t="shared" si="66"/>
        <v>0.9555555555555556</v>
      </c>
      <c r="M51" s="26">
        <f t="shared" si="79"/>
        <v>-6.4393939393938464E-3</v>
      </c>
      <c r="N51" s="26">
        <f t="shared" si="93"/>
        <v>6.2028300213781782E-3</v>
      </c>
      <c r="O51" s="26">
        <v>3.1E-2</v>
      </c>
      <c r="P51" s="10">
        <v>82.7</v>
      </c>
      <c r="Q51" s="9">
        <f t="shared" si="68"/>
        <v>2.3242636502596063E-2</v>
      </c>
      <c r="R51" s="9">
        <f t="shared" si="96"/>
        <v>2.0359390281766605E-2</v>
      </c>
      <c r="S51" s="26"/>
      <c r="T51" s="26"/>
      <c r="U51" s="26"/>
      <c r="V51" s="28">
        <v>0.36120000000000002</v>
      </c>
      <c r="W51" s="28">
        <v>0.75</v>
      </c>
      <c r="X51" s="28">
        <f t="shared" ref="X51:X66" si="102">1-(V51*W51)</f>
        <v>0.72909999999999997</v>
      </c>
      <c r="Y51" s="28">
        <f>+(1-V51)</f>
        <v>0.63880000000000003</v>
      </c>
      <c r="Z51" s="28">
        <f t="shared" ref="Z51:Z67" si="103">+(AF51*(O51-N51)-R51)*(X51/Y51)</f>
        <v>2.3173767438375599</v>
      </c>
      <c r="AA51" s="9"/>
      <c r="AB51" s="3">
        <f>+AB43*L51+AG44*L50+AG45*L49+AG46*L48+L47*AG47+L46*AG48+L45*AG49+L44*AG50+AG51</f>
        <v>132.9610233199875</v>
      </c>
      <c r="AC51" s="1">
        <f t="shared" si="80"/>
        <v>3.9216043943077747E-2</v>
      </c>
      <c r="AD51" s="40">
        <v>488.45153374340003</v>
      </c>
      <c r="AE51" s="40">
        <v>223.7637789865999</v>
      </c>
      <c r="AF51" s="51">
        <v>82.7</v>
      </c>
      <c r="AG51" s="40">
        <f t="shared" si="81"/>
        <v>5.9063063330519956</v>
      </c>
      <c r="AH51" s="2">
        <f t="shared" ref="AH51:AH67" si="104">+Z51*AB51</f>
        <v>308.12078327858251</v>
      </c>
      <c r="AI51" s="2">
        <f t="shared" ref="AI51:AI67" si="105">+AH51+BW51+CB51</f>
        <v>684.12078327858251</v>
      </c>
      <c r="AJ51" s="29"/>
      <c r="AK51" s="29">
        <f t="shared" ref="AK51:AK67" si="106">+CB51/AI51</f>
        <v>0.2543410524178521</v>
      </c>
      <c r="AL51" s="29">
        <f t="shared" ref="AL51:AL67" si="107">+BW51/AI51</f>
        <v>0.29526949763451799</v>
      </c>
      <c r="AM51" s="29">
        <f t="shared" ref="AM51:AM67" si="108">+AH51/AI51</f>
        <v>0.45038944994762992</v>
      </c>
      <c r="AO51" s="22">
        <f t="shared" si="82"/>
        <v>8</v>
      </c>
      <c r="AP51" s="22">
        <f t="shared" si="69"/>
        <v>2006</v>
      </c>
      <c r="AQ51" s="22">
        <v>51</v>
      </c>
      <c r="AR51" s="22">
        <v>1</v>
      </c>
      <c r="AS51" s="25">
        <f t="shared" si="70"/>
        <v>1</v>
      </c>
      <c r="AT51" s="26">
        <f t="shared" si="83"/>
        <v>0</v>
      </c>
      <c r="AU51" s="3">
        <f t="shared" si="71"/>
        <v>48.497174423856151</v>
      </c>
      <c r="AV51" s="3">
        <v>1.9024457903740346</v>
      </c>
      <c r="AW51" s="1">
        <f t="shared" si="84"/>
        <v>1.9815414346904939E-2</v>
      </c>
      <c r="AX51" s="3">
        <f t="shared" si="72"/>
        <v>0.95091282925473719</v>
      </c>
      <c r="AY51" s="3"/>
      <c r="AZ51" s="22">
        <f t="shared" si="85"/>
        <v>8</v>
      </c>
      <c r="BA51" s="22">
        <f t="shared" si="73"/>
        <v>2006</v>
      </c>
      <c r="BB51" s="22">
        <v>51</v>
      </c>
      <c r="BC51" s="22">
        <v>0</v>
      </c>
      <c r="BD51" s="25">
        <f t="shared" si="74"/>
        <v>0.84313725490196079</v>
      </c>
      <c r="BE51" s="26">
        <f t="shared" si="86"/>
        <v>-2.2727272727272773E-2</v>
      </c>
      <c r="BF51" s="3">
        <f>+BF43*BD51+BG44*BD50+BG45*BD49+BG46*BD48+BD47*BG47+BD46*BG48+BD45*BG49+BD44*BG50+BG51</f>
        <v>38.547982802519883</v>
      </c>
      <c r="BG51" s="3">
        <v>1.9024457903740346</v>
      </c>
      <c r="BH51" s="1">
        <f t="shared" si="87"/>
        <v>2.8208432148796574E-2</v>
      </c>
      <c r="BK51" s="22">
        <f t="shared" si="88"/>
        <v>8</v>
      </c>
      <c r="BL51" s="22">
        <f t="shared" si="75"/>
        <v>2006</v>
      </c>
      <c r="BM51" s="11">
        <v>3.5000000000000003E-2</v>
      </c>
      <c r="BN51" s="3">
        <f t="shared" si="89"/>
        <v>35.160020324584615</v>
      </c>
      <c r="BO51" s="3">
        <v>1.9024457903740346</v>
      </c>
      <c r="BP51" s="1">
        <f t="shared" si="90"/>
        <v>1.9999926535227169E-2</v>
      </c>
      <c r="BQ51" s="1">
        <v>4.5900000000000003E-2</v>
      </c>
      <c r="BR51" s="3">
        <f t="shared" si="76"/>
        <v>32.735573704458098</v>
      </c>
      <c r="BS51" s="3">
        <v>1.9024457903740346</v>
      </c>
      <c r="BT51" s="1">
        <f t="shared" si="91"/>
        <v>1.2885882653414078E-2</v>
      </c>
      <c r="BU51" s="22">
        <f t="shared" si="92"/>
        <v>2006</v>
      </c>
      <c r="BV51" s="10">
        <f t="shared" si="94"/>
        <v>123.70582174347507</v>
      </c>
      <c r="BW51" s="27">
        <v>202</v>
      </c>
      <c r="BX51" s="10">
        <v>82.7</v>
      </c>
      <c r="BY51" s="11">
        <f t="shared" si="77"/>
        <v>2.3242636502596063E-2</v>
      </c>
      <c r="BZ51" s="3">
        <f t="shared" si="97"/>
        <v>24.425634824667473</v>
      </c>
      <c r="CA51" s="1">
        <f t="shared" si="98"/>
        <v>3.2751632851978935E-2</v>
      </c>
      <c r="CB51" s="3">
        <v>174</v>
      </c>
      <c r="CC51" s="31">
        <v>788.8</v>
      </c>
      <c r="CD51" s="31"/>
      <c r="CE51" s="31">
        <v>22.63</v>
      </c>
      <c r="CF51" s="31"/>
      <c r="CG51" s="3">
        <f t="shared" si="95"/>
        <v>768.89085285019894</v>
      </c>
      <c r="CH51" s="1">
        <f t="shared" si="99"/>
        <v>-1.659742917975679E-2</v>
      </c>
      <c r="CI51" s="6">
        <v>3039468.916666667</v>
      </c>
      <c r="CJ51" s="1">
        <f t="shared" ref="CJ51" si="109">LN(CI51/CI50)</f>
        <v>2.3188920778631276E-2</v>
      </c>
      <c r="CK51" s="3">
        <v>100</v>
      </c>
      <c r="CL51" s="1"/>
      <c r="CM51" s="1"/>
      <c r="CN51" s="3">
        <f t="shared" ref="CN51:CN66" si="110">+AI51*1000000/CI51</f>
        <v>225.07905230656081</v>
      </c>
      <c r="CO51" s="3"/>
      <c r="CP51" s="33">
        <f t="shared" ref="CP51:CP67" si="111">+(CB51+BW51)*1000000/CI51</f>
        <v>123.70582174347507</v>
      </c>
      <c r="CQ51" s="3"/>
      <c r="CR51" s="3">
        <v>100</v>
      </c>
      <c r="CS51" s="3" t="e">
        <f>+#REF!/CN51</f>
        <v>#REF!</v>
      </c>
      <c r="CT51" s="1"/>
      <c r="CU51" s="12">
        <f>+CR51/CN51</f>
        <v>0.4442883465841086</v>
      </c>
      <c r="CW51" s="3"/>
      <c r="CY51" s="19"/>
    </row>
    <row r="52" spans="1:103" x14ac:dyDescent="0.3">
      <c r="A52" s="2"/>
      <c r="B52" s="2"/>
      <c r="C52" s="2"/>
      <c r="D52" s="45">
        <v>0.90322580645161288</v>
      </c>
      <c r="E52" s="45">
        <v>0.93959731543624159</v>
      </c>
      <c r="H52" s="22">
        <f t="shared" si="78"/>
        <v>9</v>
      </c>
      <c r="I52" s="22">
        <f t="shared" si="67"/>
        <v>2007</v>
      </c>
      <c r="J52" s="22">
        <v>51</v>
      </c>
      <c r="K52" s="22">
        <v>0.75</v>
      </c>
      <c r="L52" s="25">
        <f t="shared" si="66"/>
        <v>0.94915254237288138</v>
      </c>
      <c r="M52" s="26">
        <f t="shared" si="79"/>
        <v>-6.7008277493102323E-3</v>
      </c>
      <c r="N52" s="26">
        <f t="shared" si="93"/>
        <v>6.3845465327390478E-3</v>
      </c>
      <c r="O52" s="26">
        <v>3.1E-2</v>
      </c>
      <c r="P52" s="10">
        <v>84.7</v>
      </c>
      <c r="Q52" s="9">
        <f t="shared" si="68"/>
        <v>2.3895999628363168E-2</v>
      </c>
      <c r="R52" s="9">
        <f t="shared" si="96"/>
        <v>2.2379767612542886E-2</v>
      </c>
      <c r="S52" s="26"/>
      <c r="T52" s="26"/>
      <c r="U52" s="26"/>
      <c r="V52" s="28">
        <v>0.36120000000000002</v>
      </c>
      <c r="W52" s="28">
        <v>0.75</v>
      </c>
      <c r="X52" s="28">
        <f t="shared" si="102"/>
        <v>0.72909999999999997</v>
      </c>
      <c r="Y52" s="28">
        <f t="shared" ref="Y52:Y66" si="112">+(1-V52)</f>
        <v>0.63880000000000003</v>
      </c>
      <c r="Z52" s="28">
        <f t="shared" si="103"/>
        <v>2.3541086079369093</v>
      </c>
      <c r="AA52" s="9">
        <f>LN(Z52/Z51)</f>
        <v>1.5726313309148681E-2</v>
      </c>
      <c r="AB52" s="3">
        <f>+AB43*L52+AG44*L51+AG45*L50+AG46*L49+AG47*L48+AG48*L47+AG49*L46+AG50*L45+AG51*L44+AG52</f>
        <v>137.64214177865631</v>
      </c>
      <c r="AC52" s="1">
        <f t="shared" si="80"/>
        <v>3.4601114009121227E-2</v>
      </c>
      <c r="AD52" s="40">
        <v>468.39221113342001</v>
      </c>
      <c r="AE52" s="40">
        <v>132.63322242657995</v>
      </c>
      <c r="AF52" s="51">
        <v>84.7</v>
      </c>
      <c r="AG52" s="40">
        <f t="shared" si="81"/>
        <v>5.5300142990958676</v>
      </c>
      <c r="AH52" s="2">
        <f t="shared" si="104"/>
        <v>324.02455077600735</v>
      </c>
      <c r="AI52" s="2">
        <f t="shared" si="105"/>
        <v>723.02455077600735</v>
      </c>
      <c r="AJ52" s="29">
        <f t="shared" ref="AJ52:AJ65" si="113">LN(AI52/AI51)</f>
        <v>5.5308692621438636E-2</v>
      </c>
      <c r="AK52" s="29">
        <f t="shared" si="106"/>
        <v>0.26416806980482699</v>
      </c>
      <c r="AL52" s="29">
        <f t="shared" si="107"/>
        <v>0.28768041109635611</v>
      </c>
      <c r="AM52" s="29">
        <f t="shared" si="108"/>
        <v>0.4481515190988169</v>
      </c>
      <c r="AO52" s="22">
        <f t="shared" si="82"/>
        <v>9</v>
      </c>
      <c r="AP52" s="22">
        <f t="shared" si="69"/>
        <v>2007</v>
      </c>
      <c r="AQ52" s="22">
        <v>51</v>
      </c>
      <c r="AR52" s="22">
        <v>1</v>
      </c>
      <c r="AS52" s="25">
        <f t="shared" si="70"/>
        <v>1</v>
      </c>
      <c r="AT52" s="26">
        <f t="shared" si="83"/>
        <v>0</v>
      </c>
      <c r="AU52" s="3">
        <f t="shared" si="71"/>
        <v>49.347348309474839</v>
      </c>
      <c r="AV52" s="3">
        <v>1.8201173740958099</v>
      </c>
      <c r="AW52" s="1">
        <f t="shared" si="84"/>
        <v>1.7378495160690014E-2</v>
      </c>
      <c r="AX52" s="3">
        <f t="shared" si="72"/>
        <v>0.96994348847712308</v>
      </c>
      <c r="AY52" s="3"/>
      <c r="AZ52" s="22">
        <f t="shared" si="85"/>
        <v>9</v>
      </c>
      <c r="BA52" s="22">
        <f t="shared" si="73"/>
        <v>2007</v>
      </c>
      <c r="BB52" s="22">
        <v>51</v>
      </c>
      <c r="BC52" s="22">
        <v>0</v>
      </c>
      <c r="BD52" s="25">
        <f t="shared" si="74"/>
        <v>0.82352941176470584</v>
      </c>
      <c r="BE52" s="26">
        <f t="shared" si="86"/>
        <v>-2.325581395348842E-2</v>
      </c>
      <c r="BF52" s="3">
        <f>+BF43*BD52+BG44*BD51+BG45*BD50+BG46*BD49+BG47*BD48+BG48*BD47+BG49*BD46+BG50*BD45+BG51*BD44+BG52</f>
        <v>39.500536264525707</v>
      </c>
      <c r="BG52" s="3">
        <v>1.8201173740958099</v>
      </c>
      <c r="BH52" s="1">
        <f t="shared" si="87"/>
        <v>2.4410476274663053E-2</v>
      </c>
      <c r="BK52" s="22">
        <f t="shared" si="88"/>
        <v>9</v>
      </c>
      <c r="BL52" s="22">
        <f t="shared" si="75"/>
        <v>2007</v>
      </c>
      <c r="BM52" s="11">
        <v>3.5000000000000003E-2</v>
      </c>
      <c r="BN52" s="3">
        <f t="shared" si="89"/>
        <v>35.749536987319964</v>
      </c>
      <c r="BO52" s="3">
        <v>1.8201173740958099</v>
      </c>
      <c r="BP52" s="1">
        <f t="shared" si="90"/>
        <v>1.6627666775841741E-2</v>
      </c>
      <c r="BQ52" s="1">
        <v>4.5900000000000003E-2</v>
      </c>
      <c r="BR52" s="3">
        <f t="shared" si="76"/>
        <v>33.053128245519282</v>
      </c>
      <c r="BS52" s="3">
        <v>1.8201173740958099</v>
      </c>
      <c r="BT52" s="1">
        <f t="shared" si="91"/>
        <v>9.6538462653668073E-3</v>
      </c>
      <c r="BU52" s="22">
        <f t="shared" si="92"/>
        <v>2007</v>
      </c>
      <c r="BV52" s="10">
        <f t="shared" si="94"/>
        <v>128.61003575697441</v>
      </c>
      <c r="BW52" s="27">
        <v>208</v>
      </c>
      <c r="BX52" s="10">
        <v>84.7</v>
      </c>
      <c r="BY52" s="11">
        <f>LN(BX52/BX51)</f>
        <v>2.3895999628363168E-2</v>
      </c>
      <c r="BZ52" s="3">
        <f t="shared" si="97"/>
        <v>24.557260920897285</v>
      </c>
      <c r="CA52" s="1">
        <f t="shared" si="98"/>
        <v>5.3743826717501291E-3</v>
      </c>
      <c r="CB52" s="3">
        <v>191</v>
      </c>
      <c r="CC52" s="31">
        <v>819.19</v>
      </c>
      <c r="CD52" s="31"/>
      <c r="CE52" s="31">
        <v>23.45</v>
      </c>
      <c r="CF52" s="11">
        <f t="shared" ref="CF52:CF67" si="114">LN(CE52/CE51)</f>
        <v>3.5594035246842445E-2</v>
      </c>
      <c r="CG52" s="3">
        <f t="shared" si="95"/>
        <v>814.49893390191903</v>
      </c>
      <c r="CH52" s="1">
        <f t="shared" si="99"/>
        <v>5.7624093585258392E-2</v>
      </c>
      <c r="CI52" s="6">
        <v>3102401.75</v>
      </c>
      <c r="CJ52" s="1">
        <f t="shared" ref="CJ52" si="115">LN(CI52/CI51)</f>
        <v>2.0493767893849751E-2</v>
      </c>
      <c r="CK52" s="3">
        <f t="shared" ref="CK52:CK67" si="116">+CK51*EXP((((AK52+AK51)/2)*CH52)+(((AL52+AL51)/2)*CA52)+(((AM52+AM51)/2)*AC52))</f>
        <v>103.25702334916346</v>
      </c>
      <c r="CL52" s="1">
        <f>LN(CK52/CK51)</f>
        <v>3.2051066291796826E-2</v>
      </c>
      <c r="CM52" s="1">
        <f t="shared" ref="CM52:CM65" si="117">+CJ52-CL52</f>
        <v>-1.1557298397947075E-2</v>
      </c>
      <c r="CN52" s="3">
        <f t="shared" si="110"/>
        <v>233.05316623677359</v>
      </c>
      <c r="CO52" s="1">
        <f>LN(CN52/CN51)</f>
        <v>3.4814924727588903E-2</v>
      </c>
      <c r="CP52" s="33">
        <f t="shared" si="111"/>
        <v>128.61003575697441</v>
      </c>
      <c r="CQ52" s="3"/>
      <c r="CR52" s="3">
        <f t="shared" ref="CR52:CR67" si="118">+CR51*EXP((((AM52+AM51)/2)*AA52)+(((AK52+AK51)/2)*CF52)+(((AL52+AL51)/2)*BY52))</f>
        <v>102.35309548625493</v>
      </c>
      <c r="CS52" s="3" t="e">
        <f>+#REF!/CN52</f>
        <v>#REF!</v>
      </c>
      <c r="CT52" s="1">
        <f>LN(CR52/CR51)</f>
        <v>2.3258369787460577E-2</v>
      </c>
      <c r="CU52" s="12">
        <f t="shared" ref="CU52:CU67" si="119">+CR52/CN52</f>
        <v>0.4391834581739511</v>
      </c>
      <c r="CW52" s="3"/>
      <c r="CY52" s="19"/>
    </row>
    <row r="53" spans="1:103" x14ac:dyDescent="0.3">
      <c r="A53" s="2"/>
      <c r="B53" s="2"/>
      <c r="C53" s="2"/>
      <c r="D53" s="45">
        <v>0.89130434782608692</v>
      </c>
      <c r="E53" s="45">
        <v>0.93181818181818177</v>
      </c>
      <c r="H53" s="22">
        <f t="shared" si="78"/>
        <v>10</v>
      </c>
      <c r="I53" s="22">
        <f t="shared" si="67"/>
        <v>2008</v>
      </c>
      <c r="J53" s="22">
        <v>51</v>
      </c>
      <c r="K53" s="22">
        <v>0.75</v>
      </c>
      <c r="L53" s="25">
        <f t="shared" si="66"/>
        <v>0.94252873563218387</v>
      </c>
      <c r="M53" s="26">
        <f t="shared" si="79"/>
        <v>-6.978653530377737E-3</v>
      </c>
      <c r="N53" s="26">
        <f t="shared" si="93"/>
        <v>6.5760655882138837E-3</v>
      </c>
      <c r="O53" s="26">
        <v>3.1E-2</v>
      </c>
      <c r="P53" s="10">
        <v>86.8</v>
      </c>
      <c r="Q53" s="9">
        <f t="shared" si="68"/>
        <v>2.4491020008295696E-2</v>
      </c>
      <c r="R53" s="9">
        <f t="shared" si="96"/>
        <v>2.3876552046418309E-2</v>
      </c>
      <c r="S53" s="26"/>
      <c r="T53" s="26"/>
      <c r="U53" s="26"/>
      <c r="V53" s="28">
        <v>0.33500000000000002</v>
      </c>
      <c r="W53" s="28">
        <v>0.75</v>
      </c>
      <c r="X53" s="28">
        <f t="shared" si="102"/>
        <v>0.74875000000000003</v>
      </c>
      <c r="Y53" s="28">
        <f t="shared" si="112"/>
        <v>0.66500000000000004</v>
      </c>
      <c r="Z53" s="28">
        <f t="shared" si="103"/>
        <v>2.3601061127501377</v>
      </c>
      <c r="AA53" s="9">
        <f t="shared" ref="AA53:AA66" si="120">LN(Z53/Z52)</f>
        <v>2.5444356713918664E-3</v>
      </c>
      <c r="AB53" s="3">
        <f>+AB43*L53+AG44*L52+AG45*L51+AG46*L50+AG47*L49+AG48*L48+AG49*L47+AG50*L46+AG51*L45+AG52*L44+AG53</f>
        <v>142.37819072207708</v>
      </c>
      <c r="AC53" s="1">
        <f t="shared" si="80"/>
        <v>3.3829690670242836E-2</v>
      </c>
      <c r="AD53" s="40">
        <v>489.65552596588003</v>
      </c>
      <c r="AE53" s="40">
        <v>209.78748611411993</v>
      </c>
      <c r="AF53" s="51">
        <v>86.8</v>
      </c>
      <c r="AG53" s="40">
        <f t="shared" si="81"/>
        <v>5.6411926954594476</v>
      </c>
      <c r="AH53" s="2">
        <f t="shared" si="104"/>
        <v>336.02763824547907</v>
      </c>
      <c r="AI53" s="2">
        <f t="shared" si="105"/>
        <v>738.02763824547901</v>
      </c>
      <c r="AJ53" s="29">
        <f t="shared" si="113"/>
        <v>2.0538095700823999E-2</v>
      </c>
      <c r="AK53" s="29">
        <f t="shared" si="106"/>
        <v>0.26557271007621464</v>
      </c>
      <c r="AL53" s="29">
        <f t="shared" si="107"/>
        <v>0.27912233814132759</v>
      </c>
      <c r="AM53" s="29">
        <f t="shared" si="108"/>
        <v>0.45530495178245783</v>
      </c>
      <c r="AO53" s="22">
        <f t="shared" si="82"/>
        <v>10</v>
      </c>
      <c r="AP53" s="22">
        <f t="shared" si="69"/>
        <v>2008</v>
      </c>
      <c r="AQ53" s="22">
        <v>51</v>
      </c>
      <c r="AR53" s="22">
        <v>1</v>
      </c>
      <c r="AS53" s="25">
        <f t="shared" si="70"/>
        <v>1</v>
      </c>
      <c r="AT53" s="26">
        <f t="shared" si="83"/>
        <v>0</v>
      </c>
      <c r="AU53" s="3">
        <f t="shared" si="71"/>
        <v>50.003128191798467</v>
      </c>
      <c r="AV53" s="3">
        <v>1.6427268485131294</v>
      </c>
      <c r="AW53" s="1">
        <f t="shared" si="84"/>
        <v>1.3201535202026644E-2</v>
      </c>
      <c r="AX53" s="3">
        <f t="shared" si="72"/>
        <v>0.98694696618949684</v>
      </c>
      <c r="AY53" s="3"/>
      <c r="AZ53" s="22">
        <f t="shared" si="85"/>
        <v>10</v>
      </c>
      <c r="BA53" s="22">
        <f t="shared" si="73"/>
        <v>2008</v>
      </c>
      <c r="BB53" s="22">
        <v>51</v>
      </c>
      <c r="BC53" s="22">
        <v>0</v>
      </c>
      <c r="BD53" s="25">
        <f t="shared" si="74"/>
        <v>0.80392156862745101</v>
      </c>
      <c r="BE53" s="26">
        <f t="shared" si="86"/>
        <v>-2.3809523809523725E-2</v>
      </c>
      <c r="BF53" s="3">
        <f>+BF43*BD53+BG44*BD52+BG45*BD51+BG46*BD50+BG47*BD49+BG48*BD48+BG49*BD47+BG50*BD46+BG51*BD45+BG52*BD44+BG53</f>
        <v>40.240010624986184</v>
      </c>
      <c r="BG53" s="3">
        <v>1.6427268485131294</v>
      </c>
      <c r="BH53" s="1">
        <f t="shared" si="87"/>
        <v>1.854754169983561E-2</v>
      </c>
      <c r="BK53" s="22">
        <f t="shared" si="88"/>
        <v>10</v>
      </c>
      <c r="BL53" s="22">
        <f t="shared" si="75"/>
        <v>2008</v>
      </c>
      <c r="BM53" s="11">
        <v>3.5000000000000003E-2</v>
      </c>
      <c r="BN53" s="3">
        <f t="shared" si="89"/>
        <v>36.141030041276892</v>
      </c>
      <c r="BO53" s="3">
        <v>1.6427268485131294</v>
      </c>
      <c r="BP53" s="1">
        <f t="shared" si="90"/>
        <v>1.089146852425606E-2</v>
      </c>
      <c r="BQ53" s="1">
        <v>4.5900000000000003E-2</v>
      </c>
      <c r="BR53" s="3">
        <f t="shared" si="76"/>
        <v>33.178716507563074</v>
      </c>
      <c r="BS53" s="3">
        <v>1.6427268485131294</v>
      </c>
      <c r="BT53" s="1">
        <f t="shared" si="91"/>
        <v>3.7923875752403978E-3</v>
      </c>
      <c r="BU53" s="22">
        <f t="shared" si="92"/>
        <v>2008</v>
      </c>
      <c r="BV53" s="10">
        <f t="shared" si="94"/>
        <v>127.10634500962151</v>
      </c>
      <c r="BW53" s="27">
        <v>206</v>
      </c>
      <c r="BX53" s="10">
        <v>86.8</v>
      </c>
      <c r="BY53" s="11">
        <f t="shared" ref="BY53:BY67" si="121">LN(BX53/BX52)</f>
        <v>2.4491020008295696E-2</v>
      </c>
      <c r="BZ53" s="3">
        <f t="shared" si="97"/>
        <v>23.732718894009217</v>
      </c>
      <c r="CA53" s="1">
        <f t="shared" si="98"/>
        <v>-3.4152930920032631E-2</v>
      </c>
      <c r="CB53">
        <v>196</v>
      </c>
      <c r="CC53" s="31">
        <v>838.34</v>
      </c>
      <c r="CD53" s="31"/>
      <c r="CE53" s="31">
        <v>24.35</v>
      </c>
      <c r="CF53" s="11">
        <f t="shared" si="114"/>
        <v>3.7661354636310505E-2</v>
      </c>
      <c r="CG53" s="3">
        <f t="shared" si="95"/>
        <v>804.92813141683769</v>
      </c>
      <c r="CH53" s="1">
        <f t="shared" si="99"/>
        <v>-1.1820123452423283E-2</v>
      </c>
      <c r="CI53" s="6">
        <v>3162706</v>
      </c>
      <c r="CJ53" s="1">
        <f t="shared" ref="CJ53" si="122">LN(CI53/CI52)</f>
        <v>1.9251420686636329E-2</v>
      </c>
      <c r="CK53" s="3">
        <f t="shared" si="116"/>
        <v>103.51259441524896</v>
      </c>
      <c r="CL53" s="1">
        <f t="shared" ref="CL53" si="123">LN(CK53/CK52)</f>
        <v>2.4720381939832433E-3</v>
      </c>
      <c r="CM53" s="1">
        <f t="shared" si="117"/>
        <v>1.6779382492653087E-2</v>
      </c>
      <c r="CN53" s="3">
        <f t="shared" si="110"/>
        <v>233.35322291906962</v>
      </c>
      <c r="CO53" s="1">
        <f t="shared" ref="CO53:CO67" si="124">LN(CN53/CN52)</f>
        <v>1.2866750141877273E-3</v>
      </c>
      <c r="CP53" s="33">
        <f t="shared" si="111"/>
        <v>127.10634500962151</v>
      </c>
      <c r="CQ53" s="3"/>
      <c r="CR53" s="3">
        <f t="shared" si="118"/>
        <v>104.21896469980487</v>
      </c>
      <c r="CS53" s="3" t="e">
        <f>+#REF!/CN53</f>
        <v>#REF!</v>
      </c>
      <c r="CT53" s="1">
        <f t="shared" ref="CT53:CT67" si="125">LN(CR53/CR52)</f>
        <v>1.8065559860406338E-2</v>
      </c>
      <c r="CU53" s="12">
        <f t="shared" si="119"/>
        <v>0.44661463594162382</v>
      </c>
      <c r="CW53" s="3"/>
      <c r="CY53" s="19"/>
    </row>
    <row r="54" spans="1:103" x14ac:dyDescent="0.3">
      <c r="A54" s="2"/>
      <c r="D54" s="45">
        <v>0.87912087912087911</v>
      </c>
      <c r="E54" s="45">
        <v>0.92378752886836035</v>
      </c>
      <c r="H54" s="22">
        <f t="shared" si="78"/>
        <v>11</v>
      </c>
      <c r="I54" s="22">
        <f t="shared" si="67"/>
        <v>2009</v>
      </c>
      <c r="J54" s="22">
        <v>51</v>
      </c>
      <c r="K54" s="22">
        <v>0.75</v>
      </c>
      <c r="L54" s="25">
        <f t="shared" si="66"/>
        <v>0.93567251461988299</v>
      </c>
      <c r="M54" s="26">
        <f t="shared" si="79"/>
        <v>-7.2742832691484929E-3</v>
      </c>
      <c r="N54" s="26">
        <f t="shared" si="93"/>
        <v>6.7725589897806322E-3</v>
      </c>
      <c r="O54" s="26">
        <v>3.1E-2</v>
      </c>
      <c r="P54" s="10">
        <v>87.8</v>
      </c>
      <c r="Q54" s="9">
        <f t="shared" si="68"/>
        <v>1.1454878974766386E-2</v>
      </c>
      <c r="R54" s="9">
        <f t="shared" si="96"/>
        <v>1.9947299537141749E-2</v>
      </c>
      <c r="S54" s="26"/>
      <c r="T54" s="26"/>
      <c r="U54" s="26"/>
      <c r="V54" s="28">
        <v>0.33</v>
      </c>
      <c r="W54" s="28">
        <v>0.75</v>
      </c>
      <c r="X54" s="28">
        <f t="shared" si="102"/>
        <v>0.75249999999999995</v>
      </c>
      <c r="Y54" s="28">
        <f t="shared" si="112"/>
        <v>0.66999999999999993</v>
      </c>
      <c r="Z54" s="28">
        <f t="shared" si="103"/>
        <v>2.3666933894372972</v>
      </c>
      <c r="AA54" s="9">
        <f t="shared" si="120"/>
        <v>2.7872055705164371E-3</v>
      </c>
      <c r="AB54" s="3">
        <f>+AB43*L54+AG44*L53+AG45*L52+AG46*L51+AG47*L50+AG48*L49+AG49*L48+AG50*L47+AG51*L46+AG52*L45+AG53*L44+AG54</f>
        <v>147.8716055827841</v>
      </c>
      <c r="AC54" s="1">
        <f t="shared" si="80"/>
        <v>3.7857535189415557E-2</v>
      </c>
      <c r="AD54" s="40">
        <v>566.98426503704002</v>
      </c>
      <c r="AE54" s="40">
        <v>119.37978307296001</v>
      </c>
      <c r="AF54" s="51">
        <v>87.8</v>
      </c>
      <c r="AG54" s="40">
        <f t="shared" si="81"/>
        <v>6.4576795562305245</v>
      </c>
      <c r="AH54" s="2">
        <f t="shared" si="104"/>
        <v>349.96675141825449</v>
      </c>
      <c r="AI54" s="2">
        <f t="shared" si="105"/>
        <v>743.96675141825449</v>
      </c>
      <c r="AJ54" s="29">
        <f t="shared" si="113"/>
        <v>8.0150707841943093E-3</v>
      </c>
      <c r="AK54" s="29">
        <f t="shared" si="106"/>
        <v>0.26882921799762122</v>
      </c>
      <c r="AL54" s="29">
        <f t="shared" si="107"/>
        <v>0.26076434145769256</v>
      </c>
      <c r="AM54" s="29">
        <f t="shared" si="108"/>
        <v>0.47040644054468622</v>
      </c>
      <c r="AO54" s="22">
        <f t="shared" si="82"/>
        <v>11</v>
      </c>
      <c r="AP54" s="22">
        <f t="shared" si="69"/>
        <v>2009</v>
      </c>
      <c r="AQ54" s="22">
        <v>51</v>
      </c>
      <c r="AR54" s="22">
        <v>1</v>
      </c>
      <c r="AS54" s="25">
        <f t="shared" si="70"/>
        <v>1</v>
      </c>
      <c r="AT54" s="26">
        <f t="shared" si="83"/>
        <v>0</v>
      </c>
      <c r="AU54" s="3">
        <f t="shared" si="71"/>
        <v>51.273450192519128</v>
      </c>
      <c r="AV54" s="3">
        <v>2.2703845645566272</v>
      </c>
      <c r="AW54" s="1">
        <f t="shared" si="84"/>
        <v>2.5087510792697675E-2</v>
      </c>
      <c r="AX54" s="3">
        <f t="shared" si="72"/>
        <v>1.0000625638359693</v>
      </c>
      <c r="AY54" s="3"/>
      <c r="AZ54" s="22">
        <f t="shared" si="85"/>
        <v>11</v>
      </c>
      <c r="BA54" s="22">
        <f t="shared" si="73"/>
        <v>2009</v>
      </c>
      <c r="BB54" s="22">
        <v>51</v>
      </c>
      <c r="BC54" s="22">
        <v>0</v>
      </c>
      <c r="BD54" s="25">
        <f t="shared" si="74"/>
        <v>0.78431372549019607</v>
      </c>
      <c r="BE54" s="26">
        <f t="shared" si="86"/>
        <v>-2.4390243902439074E-2</v>
      </c>
      <c r="BF54" s="3">
        <f>+BF43*BD54+BG44*BD53+BG45*BD52+BG46*BD51+BG47*BD50+BG48*BD49+BG49*BD48+BG50*BD47+BG51*BD46+BG52*BD45+BG53*BD44+BG54</f>
        <v>41.574932371127154</v>
      </c>
      <c r="BG54" s="3">
        <v>2.2703845645566272</v>
      </c>
      <c r="BH54" s="1">
        <f t="shared" si="87"/>
        <v>3.26356085741814E-2</v>
      </c>
      <c r="BK54" s="22">
        <f t="shared" si="88"/>
        <v>11</v>
      </c>
      <c r="BL54" s="22">
        <f t="shared" si="75"/>
        <v>2009</v>
      </c>
      <c r="BM54" s="11">
        <v>3.5000000000000003E-2</v>
      </c>
      <c r="BN54" s="3">
        <f t="shared" si="89"/>
        <v>37.146478554388828</v>
      </c>
      <c r="BO54" s="3">
        <v>2.2703845645566272</v>
      </c>
      <c r="BP54" s="1">
        <f t="shared" si="90"/>
        <v>2.7440190571915643E-2</v>
      </c>
      <c r="BQ54" s="1">
        <v>4.5900000000000003E-2</v>
      </c>
      <c r="BR54" s="3">
        <f t="shared" si="76"/>
        <v>33.926197984422551</v>
      </c>
      <c r="BS54" s="3">
        <v>2.2703845645566272</v>
      </c>
      <c r="BT54" s="1">
        <f t="shared" si="91"/>
        <v>2.2278916528629268E-2</v>
      </c>
      <c r="BU54" s="22">
        <f t="shared" si="92"/>
        <v>2009</v>
      </c>
      <c r="BV54" s="10">
        <f t="shared" si="94"/>
        <v>123.01152507154661</v>
      </c>
      <c r="BW54" s="27">
        <v>194</v>
      </c>
      <c r="BX54" s="10">
        <v>87.8</v>
      </c>
      <c r="BY54" s="11">
        <f t="shared" si="121"/>
        <v>1.1454878974766386E-2</v>
      </c>
      <c r="BZ54" s="3">
        <f t="shared" si="97"/>
        <v>22.095671981776768</v>
      </c>
      <c r="CA54" s="1">
        <f t="shared" si="98"/>
        <v>-7.147288870101938E-2</v>
      </c>
      <c r="CB54" s="3">
        <v>200</v>
      </c>
      <c r="CC54" s="31">
        <v>848.77</v>
      </c>
      <c r="CD54" s="31"/>
      <c r="CE54" s="31">
        <v>25.15</v>
      </c>
      <c r="CF54" s="11">
        <f t="shared" si="114"/>
        <v>3.2326047017149244E-2</v>
      </c>
      <c r="CG54" s="3">
        <f t="shared" si="95"/>
        <v>795.22862823061632</v>
      </c>
      <c r="CH54" s="1">
        <f t="shared" si="99"/>
        <v>-1.2123339699629834E-2</v>
      </c>
      <c r="CI54" s="6">
        <v>3202951.916666667</v>
      </c>
      <c r="CJ54" s="1">
        <f t="shared" ref="CJ54" si="126">LN(CI54/CI53)</f>
        <v>1.2644868274243808E-2</v>
      </c>
      <c r="CK54" s="3">
        <f t="shared" si="116"/>
        <v>102.99524972000356</v>
      </c>
      <c r="CL54" s="1">
        <f t="shared" ref="CL54" si="127">LN(CK54/CK53)</f>
        <v>-5.010422531026076E-3</v>
      </c>
      <c r="CM54" s="1">
        <f t="shared" si="117"/>
        <v>1.7655290805269883E-2</v>
      </c>
      <c r="CN54" s="3">
        <f t="shared" si="110"/>
        <v>232.27534186417185</v>
      </c>
      <c r="CO54" s="1">
        <f t="shared" si="124"/>
        <v>-4.6297974900492431E-3</v>
      </c>
      <c r="CP54" s="33">
        <f t="shared" si="111"/>
        <v>123.01152507154661</v>
      </c>
      <c r="CQ54" s="3"/>
      <c r="CR54" s="3">
        <f t="shared" si="118"/>
        <v>105.58474586738699</v>
      </c>
      <c r="CS54" s="3" t="e">
        <f>+#REF!/CN54</f>
        <v>#REF!</v>
      </c>
      <c r="CT54" s="1">
        <f t="shared" si="125"/>
        <v>1.3019793188625116E-2</v>
      </c>
      <c r="CU54" s="12">
        <f t="shared" si="119"/>
        <v>0.45456717454377921</v>
      </c>
      <c r="CW54" s="3"/>
      <c r="CY54" s="19"/>
    </row>
    <row r="55" spans="1:103" x14ac:dyDescent="0.3">
      <c r="A55" s="2"/>
      <c r="D55" s="45">
        <v>0.8666666666666667</v>
      </c>
      <c r="E55" s="45">
        <v>0.91549295774647887</v>
      </c>
      <c r="H55" s="22">
        <f t="shared" si="78"/>
        <v>12</v>
      </c>
      <c r="I55" s="22">
        <f t="shared" si="67"/>
        <v>2010</v>
      </c>
      <c r="J55" s="22">
        <v>51</v>
      </c>
      <c r="K55" s="22">
        <v>0.75</v>
      </c>
      <c r="L55" s="25">
        <f t="shared" si="66"/>
        <v>0.9285714285714286</v>
      </c>
      <c r="M55" s="26">
        <f t="shared" si="79"/>
        <v>-7.5892857142856249E-3</v>
      </c>
      <c r="N55" s="26">
        <f t="shared" si="93"/>
        <v>6.9650108056585388E-3</v>
      </c>
      <c r="O55" s="26">
        <v>3.1E-2</v>
      </c>
      <c r="P55" s="10">
        <v>88.7</v>
      </c>
      <c r="Q55" s="9">
        <f t="shared" si="68"/>
        <v>1.0198388674462986E-2</v>
      </c>
      <c r="R55" s="9">
        <f t="shared" si="96"/>
        <v>1.5381429219175022E-2</v>
      </c>
      <c r="S55" s="26"/>
      <c r="T55" s="26"/>
      <c r="U55" s="26"/>
      <c r="V55" s="28">
        <v>0.31</v>
      </c>
      <c r="W55" s="28">
        <v>0.75</v>
      </c>
      <c r="X55" s="28">
        <f t="shared" si="102"/>
        <v>0.76750000000000007</v>
      </c>
      <c r="Y55" s="28">
        <f t="shared" si="112"/>
        <v>0.69</v>
      </c>
      <c r="Z55" s="28">
        <f t="shared" si="103"/>
        <v>2.3542474220358924</v>
      </c>
      <c r="AA55" s="9">
        <f t="shared" si="120"/>
        <v>-5.2726762451494116E-3</v>
      </c>
      <c r="AB55" s="3">
        <f>+AB43*L55+AG44*L54+AG45*L53+AG46*L52+AG47*L51+AG48*L50+AG49*L49+AG50*L48+AG51*L47+AG52*L46+AG53*L45+AG54*L44+AG55</f>
        <v>152.13570688619694</v>
      </c>
      <c r="AC55" s="1">
        <f t="shared" si="80"/>
        <v>2.8428563595419811E-2</v>
      </c>
      <c r="AD55" s="40">
        <v>469.58033984884003</v>
      </c>
      <c r="AE55" s="40">
        <v>72.242604661160016</v>
      </c>
      <c r="AF55" s="51">
        <v>88.7</v>
      </c>
      <c r="AG55" s="40">
        <f t="shared" si="81"/>
        <v>5.2940286341470122</v>
      </c>
      <c r="AH55" s="2">
        <f t="shared" si="104"/>
        <v>358.16509573643731</v>
      </c>
      <c r="AI55" s="2">
        <f t="shared" si="105"/>
        <v>780.16509573643725</v>
      </c>
      <c r="AJ55" s="29">
        <f t="shared" si="113"/>
        <v>4.750921360657466E-2</v>
      </c>
      <c r="AK55" s="29">
        <f t="shared" si="106"/>
        <v>0.27173735553996103</v>
      </c>
      <c r="AL55" s="29">
        <f t="shared" si="107"/>
        <v>0.26917379558203691</v>
      </c>
      <c r="AM55" s="29">
        <f t="shared" si="108"/>
        <v>0.45908884887800211</v>
      </c>
      <c r="AO55" s="22">
        <f t="shared" si="82"/>
        <v>12</v>
      </c>
      <c r="AP55" s="22">
        <f t="shared" si="69"/>
        <v>2010</v>
      </c>
      <c r="AQ55" s="22">
        <v>51</v>
      </c>
      <c r="AR55" s="22">
        <v>1</v>
      </c>
      <c r="AS55" s="25">
        <f t="shared" si="70"/>
        <v>1</v>
      </c>
      <c r="AT55" s="26">
        <f t="shared" si="83"/>
        <v>0</v>
      </c>
      <c r="AU55" s="3">
        <f t="shared" si="71"/>
        <v>51.916875790211165</v>
      </c>
      <c r="AV55" s="3">
        <v>1.6688946015424166</v>
      </c>
      <c r="AW55" s="1">
        <f t="shared" si="84"/>
        <v>1.2470818953414592E-2</v>
      </c>
      <c r="AX55" s="3">
        <f t="shared" si="72"/>
        <v>1.0254690038503826</v>
      </c>
      <c r="AY55" s="3"/>
      <c r="AZ55" s="22">
        <f t="shared" si="85"/>
        <v>12</v>
      </c>
      <c r="BA55" s="22">
        <f t="shared" si="73"/>
        <v>2010</v>
      </c>
      <c r="BB55" s="22">
        <v>51</v>
      </c>
      <c r="BC55" s="22">
        <v>0</v>
      </c>
      <c r="BD55" s="25">
        <f t="shared" si="74"/>
        <v>0.76470588235294112</v>
      </c>
      <c r="BE55" s="26">
        <f t="shared" si="86"/>
        <v>-2.5000000000000053E-2</v>
      </c>
      <c r="BF55" s="3">
        <f>+BF43*BD55+BG44*BD54+BG45*BD53+BG46*BD52+BG47*BD51+BG48*BD50+BG49*BD49+BG50*BD48+BG51*BD47+BG52*BD46+BG53*BD45+BG54*BD44+BG55</f>
        <v>42.263846809850847</v>
      </c>
      <c r="BG55" s="3">
        <v>1.6688946015424166</v>
      </c>
      <c r="BH55" s="1">
        <f t="shared" si="87"/>
        <v>1.6434636848107878E-2</v>
      </c>
      <c r="BK55" s="22">
        <f t="shared" si="88"/>
        <v>12</v>
      </c>
      <c r="BL55" s="22">
        <f t="shared" si="75"/>
        <v>2010</v>
      </c>
      <c r="BM55" s="11">
        <v>3.5000000000000003E-2</v>
      </c>
      <c r="BN55" s="3">
        <f t="shared" si="89"/>
        <v>37.515246406527638</v>
      </c>
      <c r="BO55" s="3">
        <v>1.6688946015424166</v>
      </c>
      <c r="BP55" s="1">
        <f t="shared" si="90"/>
        <v>9.8784444408922031E-3</v>
      </c>
      <c r="BQ55" s="1">
        <v>4.5900000000000003E-2</v>
      </c>
      <c r="BR55" s="3">
        <f t="shared" si="76"/>
        <v>34.037880098479974</v>
      </c>
      <c r="BS55" s="3">
        <v>1.6688946015424166</v>
      </c>
      <c r="BT55" s="1">
        <f t="shared" si="91"/>
        <v>3.2865071588431497E-3</v>
      </c>
      <c r="BU55" s="22">
        <f t="shared" si="92"/>
        <v>2010</v>
      </c>
      <c r="BV55" s="10">
        <f t="shared" si="94"/>
        <v>129.50563372523112</v>
      </c>
      <c r="BW55" s="27">
        <v>210</v>
      </c>
      <c r="BX55" s="10">
        <v>88.7</v>
      </c>
      <c r="BY55" s="11">
        <f t="shared" si="121"/>
        <v>1.0198388674462986E-2</v>
      </c>
      <c r="BZ55" s="3">
        <f t="shared" si="97"/>
        <v>23.675310033821869</v>
      </c>
      <c r="CA55" s="1">
        <f t="shared" si="98"/>
        <v>6.9050982979677503E-2</v>
      </c>
      <c r="CB55" s="3">
        <v>212</v>
      </c>
      <c r="CC55" s="31">
        <v>881.36</v>
      </c>
      <c r="CD55" s="31"/>
      <c r="CE55" s="31">
        <v>25.56</v>
      </c>
      <c r="CF55" s="11">
        <f t="shared" si="114"/>
        <v>1.617073296358585E-2</v>
      </c>
      <c r="CG55" s="3">
        <f t="shared" si="95"/>
        <v>829.42097026604074</v>
      </c>
      <c r="CH55" s="1">
        <f t="shared" si="99"/>
        <v>4.2098175160389988E-2</v>
      </c>
      <c r="CI55" s="6">
        <v>3258545.4999999995</v>
      </c>
      <c r="CJ55" s="1">
        <f t="shared" ref="CJ55" si="128">LN(CI55/CI54)</f>
        <v>1.7208071626544436E-2</v>
      </c>
      <c r="CK55" s="3">
        <f t="shared" si="116"/>
        <v>107.50848596980386</v>
      </c>
      <c r="CL55" s="1">
        <f t="shared" ref="CL55" si="129">LN(CK55/CK54)</f>
        <v>4.2886915763322618E-2</v>
      </c>
      <c r="CM55" s="1">
        <f t="shared" si="117"/>
        <v>-2.5678844136778182E-2</v>
      </c>
      <c r="CN55" s="3">
        <f t="shared" si="110"/>
        <v>239.42126808922487</v>
      </c>
      <c r="CO55" s="1">
        <f t="shared" si="124"/>
        <v>3.0301141980029964E-2</v>
      </c>
      <c r="CP55" s="33">
        <f t="shared" si="111"/>
        <v>129.50563372523112</v>
      </c>
      <c r="CQ55" s="3"/>
      <c r="CR55" s="3">
        <f t="shared" si="118"/>
        <v>106.07393822344517</v>
      </c>
      <c r="CS55" s="3" t="e">
        <f>+#REF!/CN55</f>
        <v>#REF!</v>
      </c>
      <c r="CT55" s="1">
        <f t="shared" si="125"/>
        <v>4.6224725360758338E-3</v>
      </c>
      <c r="CU55" s="12">
        <f t="shared" si="119"/>
        <v>0.44304308915411267</v>
      </c>
      <c r="CW55" s="3"/>
      <c r="CY55" s="19"/>
    </row>
    <row r="56" spans="1:103" x14ac:dyDescent="0.3">
      <c r="A56" s="2"/>
      <c r="D56" s="45">
        <v>0.8539325842696629</v>
      </c>
      <c r="E56" s="45">
        <v>0.9069212410501194</v>
      </c>
      <c r="H56" s="22">
        <f t="shared" si="78"/>
        <v>13</v>
      </c>
      <c r="I56" s="22">
        <f t="shared" si="67"/>
        <v>2011</v>
      </c>
      <c r="J56" s="22">
        <v>51</v>
      </c>
      <c r="K56" s="22">
        <v>0.75</v>
      </c>
      <c r="L56" s="25">
        <f t="shared" si="66"/>
        <v>0.92121212121212126</v>
      </c>
      <c r="M56" s="26">
        <f t="shared" si="79"/>
        <v>-7.9254079254079072E-3</v>
      </c>
      <c r="N56" s="26">
        <f t="shared" si="93"/>
        <v>7.1814748118080021E-3</v>
      </c>
      <c r="O56" s="26">
        <v>3.1E-2</v>
      </c>
      <c r="P56" s="10">
        <v>90.8</v>
      </c>
      <c r="Q56" s="9">
        <f t="shared" si="68"/>
        <v>2.3399396291713771E-2</v>
      </c>
      <c r="R56" s="9">
        <f t="shared" si="96"/>
        <v>1.5017554646981048E-2</v>
      </c>
      <c r="S56" s="26"/>
      <c r="T56" s="26"/>
      <c r="U56" s="26"/>
      <c r="V56" s="28">
        <v>0.28249999999999997</v>
      </c>
      <c r="W56" s="28">
        <v>0.75</v>
      </c>
      <c r="X56" s="28">
        <f t="shared" si="102"/>
        <v>0.78812499999999996</v>
      </c>
      <c r="Y56" s="28">
        <f t="shared" si="112"/>
        <v>0.71750000000000003</v>
      </c>
      <c r="Z56" s="28">
        <f t="shared" si="103"/>
        <v>2.3591075047107268</v>
      </c>
      <c r="AA56" s="9">
        <f t="shared" si="120"/>
        <v>2.0622611591235907E-3</v>
      </c>
      <c r="AB56" s="3">
        <f>+AB43*L56+AG44*L55+AG45*L54+AG46*L53+AG47*L52+AG48*L51+AG49*L50+AG50*L49+AG51*L48+AG52*L47+AG53*L46+AG54*L45+AG55*L44+AG56</f>
        <v>156.40398787856469</v>
      </c>
      <c r="AC56" s="1">
        <f t="shared" si="80"/>
        <v>2.7669394739244586E-2</v>
      </c>
      <c r="AD56" s="40">
        <v>486.76424833276008</v>
      </c>
      <c r="AE56" s="40">
        <v>148.95273785724001</v>
      </c>
      <c r="AF56" s="51">
        <v>90.8</v>
      </c>
      <c r="AG56" s="40">
        <f t="shared" si="81"/>
        <v>5.3608397393475782</v>
      </c>
      <c r="AH56" s="2">
        <f t="shared" si="104"/>
        <v>368.97382157100753</v>
      </c>
      <c r="AI56" s="2">
        <f t="shared" si="105"/>
        <v>837.97382157100753</v>
      </c>
      <c r="AJ56" s="29">
        <f t="shared" si="113"/>
        <v>7.1481302331594679E-2</v>
      </c>
      <c r="AK56" s="29">
        <f t="shared" si="106"/>
        <v>0.28998519254984728</v>
      </c>
      <c r="AL56" s="29">
        <f t="shared" si="107"/>
        <v>0.26969816261837648</v>
      </c>
      <c r="AM56" s="29">
        <f t="shared" si="108"/>
        <v>0.44031664483177618</v>
      </c>
      <c r="AO56" s="22">
        <f t="shared" si="82"/>
        <v>13</v>
      </c>
      <c r="AP56" s="22">
        <f t="shared" si="69"/>
        <v>2011</v>
      </c>
      <c r="AQ56" s="22">
        <v>51</v>
      </c>
      <c r="AR56" s="22">
        <v>1</v>
      </c>
      <c r="AS56" s="25">
        <f t="shared" si="70"/>
        <v>1</v>
      </c>
      <c r="AT56" s="26">
        <f t="shared" si="83"/>
        <v>0</v>
      </c>
      <c r="AU56" s="3">
        <f t="shared" si="71"/>
        <v>52.528755800820868</v>
      </c>
      <c r="AV56" s="3">
        <v>1.6502175264139218</v>
      </c>
      <c r="AW56" s="1">
        <f t="shared" si="84"/>
        <v>1.1716852134758357E-2</v>
      </c>
      <c r="AX56" s="3">
        <f t="shared" si="72"/>
        <v>1.0383375158042234</v>
      </c>
      <c r="AY56" s="3"/>
      <c r="AZ56" s="22">
        <f t="shared" si="85"/>
        <v>13</v>
      </c>
      <c r="BA56" s="22">
        <f t="shared" si="73"/>
        <v>2011</v>
      </c>
      <c r="BB56" s="22">
        <v>51</v>
      </c>
      <c r="BC56" s="22">
        <v>0</v>
      </c>
      <c r="BD56" s="25">
        <f t="shared" si="74"/>
        <v>0.74509803921568629</v>
      </c>
      <c r="BE56" s="26">
        <f t="shared" si="86"/>
        <v>-2.5641025641025553E-2</v>
      </c>
      <c r="BF56" s="3">
        <f>+BF43*BD56+BG44*BD55+BG45*BD54+BG46*BD53+BG47*BD52+BG48*BD51+BG49*BD50+BG50*BD49+BG51*BD48+BG52*BD47+BG53*BD46+BG54*BD45+BG55*BD44+BG56</f>
        <v>42.901360749886379</v>
      </c>
      <c r="BG56" s="3">
        <v>1.6502175264139218</v>
      </c>
      <c r="BH56" s="1">
        <f t="shared" si="87"/>
        <v>1.4971509288351191E-2</v>
      </c>
      <c r="BK56" s="22">
        <f t="shared" si="88"/>
        <v>13</v>
      </c>
      <c r="BL56" s="22">
        <f t="shared" si="75"/>
        <v>2011</v>
      </c>
      <c r="BM56" s="11">
        <v>3.5000000000000003E-2</v>
      </c>
      <c r="BN56" s="3">
        <f t="shared" si="89"/>
        <v>37.852430308713096</v>
      </c>
      <c r="BO56" s="3">
        <v>1.6502175264139218</v>
      </c>
      <c r="BP56" s="1">
        <f t="shared" si="90"/>
        <v>8.9477655814052381E-3</v>
      </c>
      <c r="BQ56" s="1">
        <v>4.5900000000000003E-2</v>
      </c>
      <c r="BR56" s="3">
        <f t="shared" si="76"/>
        <v>34.125758928373656</v>
      </c>
      <c r="BS56" s="3">
        <v>1.6502175264139218</v>
      </c>
      <c r="BT56" s="1">
        <f t="shared" si="91"/>
        <v>2.5784679291423361E-3</v>
      </c>
      <c r="BU56" s="22">
        <f t="shared" si="92"/>
        <v>2011</v>
      </c>
      <c r="BV56" s="10">
        <f t="shared" si="94"/>
        <v>141.68955631909364</v>
      </c>
      <c r="BW56" s="27">
        <v>226</v>
      </c>
      <c r="BX56" s="10">
        <v>90.8</v>
      </c>
      <c r="BY56" s="11">
        <f t="shared" si="121"/>
        <v>2.3399396291713771E-2</v>
      </c>
      <c r="BZ56" s="3">
        <f t="shared" si="97"/>
        <v>24.889867841409693</v>
      </c>
      <c r="CA56" s="1">
        <f t="shared" si="98"/>
        <v>5.0028072263103469E-2</v>
      </c>
      <c r="CB56" s="3">
        <v>243</v>
      </c>
      <c r="CC56" s="31">
        <v>893.4</v>
      </c>
      <c r="CD56" s="31"/>
      <c r="CE56" s="31">
        <v>26.13</v>
      </c>
      <c r="CF56" s="11">
        <f t="shared" si="114"/>
        <v>2.2055450023186998E-2</v>
      </c>
      <c r="CG56" s="3">
        <f t="shared" si="95"/>
        <v>929.96555683122847</v>
      </c>
      <c r="CH56" s="1">
        <f t="shared" si="99"/>
        <v>0.11441971864534879</v>
      </c>
      <c r="CI56" s="6">
        <v>3310053.4166666665</v>
      </c>
      <c r="CJ56" s="1">
        <f t="shared" ref="CJ56" si="130">LN(CI56/CI55)</f>
        <v>1.5683397051577855E-2</v>
      </c>
      <c r="CK56" s="3">
        <f t="shared" si="116"/>
        <v>113.93501216454968</v>
      </c>
      <c r="CL56" s="1">
        <f t="shared" ref="CL56" si="131">LN(CK56/CK55)</f>
        <v>5.8058433405347838E-2</v>
      </c>
      <c r="CM56" s="1">
        <f t="shared" si="117"/>
        <v>-4.2375036353769983E-2</v>
      </c>
      <c r="CN56" s="3">
        <f t="shared" si="110"/>
        <v>253.16021105631427</v>
      </c>
      <c r="CO56" s="1">
        <f t="shared" si="124"/>
        <v>5.5797905280016803E-2</v>
      </c>
      <c r="CP56" s="33">
        <f t="shared" si="111"/>
        <v>141.68955631909364</v>
      </c>
      <c r="CQ56" s="3"/>
      <c r="CR56" s="3">
        <f t="shared" si="118"/>
        <v>107.50775095892728</v>
      </c>
      <c r="CS56" s="3" t="e">
        <f>+#REF!/CN56</f>
        <v>#REF!</v>
      </c>
      <c r="CT56" s="1">
        <f t="shared" si="125"/>
        <v>1.3426565551347603E-2</v>
      </c>
      <c r="CU56" s="12">
        <f t="shared" si="119"/>
        <v>0.42466290619031238</v>
      </c>
      <c r="CW56" s="3"/>
      <c r="CY56" s="19"/>
    </row>
    <row r="57" spans="1:103" x14ac:dyDescent="0.3">
      <c r="A57" s="2"/>
      <c r="D57" s="45">
        <v>0.84090909090909094</v>
      </c>
      <c r="E57" s="45">
        <v>0.8980582524271844</v>
      </c>
      <c r="H57" s="22">
        <f t="shared" si="78"/>
        <v>14</v>
      </c>
      <c r="I57" s="22">
        <f t="shared" si="67"/>
        <v>2012</v>
      </c>
      <c r="J57" s="22">
        <v>51</v>
      </c>
      <c r="K57" s="22">
        <v>0.75</v>
      </c>
      <c r="L57" s="25">
        <f t="shared" si="66"/>
        <v>0.9135802469135802</v>
      </c>
      <c r="M57" s="26">
        <f t="shared" si="79"/>
        <v>-8.2846003898636549E-3</v>
      </c>
      <c r="N57" s="26">
        <f t="shared" si="93"/>
        <v>7.4056892672959519E-3</v>
      </c>
      <c r="O57" s="26">
        <v>3.1E-2</v>
      </c>
      <c r="P57" s="10">
        <v>92.3</v>
      </c>
      <c r="Q57" s="9">
        <f t="shared" si="68"/>
        <v>1.6384855901558824E-2</v>
      </c>
      <c r="R57" s="9">
        <f t="shared" si="96"/>
        <v>1.6660880289245197E-2</v>
      </c>
      <c r="S57" s="26"/>
      <c r="T57" s="26"/>
      <c r="U57" s="26"/>
      <c r="V57" s="28">
        <v>0.26500000000000001</v>
      </c>
      <c r="W57" s="28">
        <v>0.75</v>
      </c>
      <c r="X57" s="28">
        <f t="shared" si="102"/>
        <v>0.80125000000000002</v>
      </c>
      <c r="Y57" s="28">
        <f t="shared" si="112"/>
        <v>0.73499999999999999</v>
      </c>
      <c r="Z57" s="28">
        <f t="shared" si="103"/>
        <v>2.3558864867644824</v>
      </c>
      <c r="AA57" s="9">
        <f t="shared" si="120"/>
        <v>-1.3662874027560942E-3</v>
      </c>
      <c r="AB57" s="3">
        <f>+AB43*L57+AG44*L56+AG45*L55+AG46*L54+AG47*L53+AG48*L52+AG49*L51+AG50*L50+AG51*L49+AG52*L48+AG53*L47+AG54*L46+AG55*L45+AG56*L44+AG57</f>
        <v>161.67370662712028</v>
      </c>
      <c r="AC57" s="1">
        <f t="shared" si="80"/>
        <v>3.3137821737472636E-2</v>
      </c>
      <c r="AD57" s="40">
        <v>593.30422305629997</v>
      </c>
      <c r="AE57" s="40">
        <v>75.037799153700007</v>
      </c>
      <c r="AF57" s="51">
        <v>92.3</v>
      </c>
      <c r="AG57" s="40">
        <f t="shared" si="81"/>
        <v>6.4279980829501628</v>
      </c>
      <c r="AH57" s="2">
        <f t="shared" si="104"/>
        <v>380.88490070795802</v>
      </c>
      <c r="AI57" s="2">
        <f t="shared" si="105"/>
        <v>868.88490070795797</v>
      </c>
      <c r="AJ57" s="29">
        <f t="shared" si="113"/>
        <v>3.6223805395828687E-2</v>
      </c>
      <c r="AK57" s="29">
        <f t="shared" si="106"/>
        <v>0.28427240454834363</v>
      </c>
      <c r="AL57" s="29">
        <f t="shared" si="107"/>
        <v>0.27736700200870773</v>
      </c>
      <c r="AM57" s="29">
        <f t="shared" si="108"/>
        <v>0.4383605934429487</v>
      </c>
      <c r="AO57" s="22">
        <f t="shared" si="82"/>
        <v>14</v>
      </c>
      <c r="AP57" s="22">
        <f t="shared" si="69"/>
        <v>2012</v>
      </c>
      <c r="AQ57" s="22">
        <v>51</v>
      </c>
      <c r="AR57" s="22">
        <v>1</v>
      </c>
      <c r="AS57" s="25">
        <f t="shared" si="70"/>
        <v>1</v>
      </c>
      <c r="AT57" s="26">
        <f t="shared" si="83"/>
        <v>0</v>
      </c>
      <c r="AU57" s="3">
        <f t="shared" si="71"/>
        <v>53.475022662212439</v>
      </c>
      <c r="AV57" s="3">
        <v>1.9968419774079924</v>
      </c>
      <c r="AW57" s="1">
        <f t="shared" si="84"/>
        <v>1.7853929571217543E-2</v>
      </c>
      <c r="AX57" s="3">
        <f t="shared" si="72"/>
        <v>1.0505751160164174</v>
      </c>
      <c r="AY57" s="3"/>
      <c r="AZ57" s="22">
        <f t="shared" si="85"/>
        <v>14</v>
      </c>
      <c r="BA57" s="22">
        <f t="shared" si="73"/>
        <v>2012</v>
      </c>
      <c r="BB57" s="22">
        <v>51</v>
      </c>
      <c r="BC57" s="22">
        <v>0</v>
      </c>
      <c r="BD57" s="25">
        <f t="shared" si="74"/>
        <v>0.72549019607843135</v>
      </c>
      <c r="BE57" s="26">
        <f t="shared" si="86"/>
        <v>-2.6315789473684265E-2</v>
      </c>
      <c r="BF57" s="3">
        <f>+BF43*BD57+BG44*BD56+BG45*BD55+BG46*BD54+BG47*BD53+BG48*BD52+BG49*BD51+BG50*BD50+BG51*BD49+BG52*BD48+BG53*BD47+BG54*BD46+BG55*BD45+BG56*BD44+BG57</f>
        <v>43.853141934515719</v>
      </c>
      <c r="BG57" s="3">
        <v>1.9968419774079924</v>
      </c>
      <c r="BH57" s="1">
        <f t="shared" si="87"/>
        <v>2.1942823579187788E-2</v>
      </c>
      <c r="BK57" s="22">
        <f t="shared" si="88"/>
        <v>14</v>
      </c>
      <c r="BL57" s="22">
        <f t="shared" si="75"/>
        <v>2012</v>
      </c>
      <c r="BM57" s="11">
        <v>3.5000000000000003E-2</v>
      </c>
      <c r="BN57" s="3">
        <f t="shared" si="89"/>
        <v>38.524437225316127</v>
      </c>
      <c r="BO57" s="3">
        <v>1.9968419774079924</v>
      </c>
      <c r="BP57" s="1">
        <f t="shared" si="90"/>
        <v>1.7597586289985492E-2</v>
      </c>
      <c r="BQ57" s="1">
        <v>4.5900000000000003E-2</v>
      </c>
      <c r="BR57" s="3">
        <f t="shared" si="76"/>
        <v>34.556228570969296</v>
      </c>
      <c r="BS57" s="3">
        <v>1.9968419774079924</v>
      </c>
      <c r="BT57" s="1">
        <f t="shared" si="91"/>
        <v>1.2535318066527204E-2</v>
      </c>
      <c r="BU57" s="22">
        <f t="shared" si="92"/>
        <v>2012</v>
      </c>
      <c r="BV57" s="10">
        <f t="shared" si="94"/>
        <v>145.11764974829299</v>
      </c>
      <c r="BW57" s="27">
        <v>241</v>
      </c>
      <c r="BX57" s="10">
        <v>92.3</v>
      </c>
      <c r="BY57" s="11">
        <f t="shared" si="121"/>
        <v>1.6384855901558824E-2</v>
      </c>
      <c r="BZ57" s="3">
        <f t="shared" si="97"/>
        <v>26.110509209100758</v>
      </c>
      <c r="CA57" s="1">
        <f t="shared" si="98"/>
        <v>4.7877078316810276E-2</v>
      </c>
      <c r="CB57" s="3">
        <v>247</v>
      </c>
      <c r="CC57" s="31">
        <v>906.1</v>
      </c>
      <c r="CD57" s="31"/>
      <c r="CE57" s="31">
        <v>26.57</v>
      </c>
      <c r="CF57" s="11">
        <f t="shared" si="114"/>
        <v>1.6698680239201059E-2</v>
      </c>
      <c r="CG57" s="3">
        <f t="shared" si="95"/>
        <v>929.61987203613091</v>
      </c>
      <c r="CH57" s="1">
        <f t="shared" si="99"/>
        <v>-3.7178695177231779E-4</v>
      </c>
      <c r="CI57" s="6">
        <v>3362788.75</v>
      </c>
      <c r="CJ57" s="1">
        <f t="shared" ref="CJ57" si="132">LN(CI57/CI56)</f>
        <v>1.5806287622462195E-2</v>
      </c>
      <c r="CK57" s="3">
        <f t="shared" si="116"/>
        <v>117.11731585898831</v>
      </c>
      <c r="CL57" s="1">
        <f t="shared" ref="CL57" si="133">LN(CK57/CK56)</f>
        <v>2.754791496820741E-2</v>
      </c>
      <c r="CM57" s="1">
        <f t="shared" si="117"/>
        <v>-1.1741627345745215E-2</v>
      </c>
      <c r="CN57" s="3">
        <f t="shared" si="110"/>
        <v>258.38224322237249</v>
      </c>
      <c r="CO57" s="1">
        <f t="shared" si="124"/>
        <v>2.0417517773366582E-2</v>
      </c>
      <c r="CP57" s="33">
        <f t="shared" si="111"/>
        <v>145.11764974829299</v>
      </c>
      <c r="CQ57" s="3"/>
      <c r="CR57" s="3">
        <f t="shared" si="118"/>
        <v>108.4445679577798</v>
      </c>
      <c r="CS57" s="3" t="e">
        <f>+#REF!/CN57</f>
        <v>#REF!</v>
      </c>
      <c r="CT57" s="1">
        <f t="shared" si="125"/>
        <v>8.6762011191542834E-3</v>
      </c>
      <c r="CU57" s="12">
        <f t="shared" si="119"/>
        <v>0.41970596200935034</v>
      </c>
      <c r="CW57" s="3"/>
      <c r="CY57" s="19"/>
    </row>
    <row r="58" spans="1:103" x14ac:dyDescent="0.3">
      <c r="A58" s="2"/>
      <c r="D58" s="45">
        <v>0.82758620689655171</v>
      </c>
      <c r="E58" s="45">
        <v>0.88888888888888884</v>
      </c>
      <c r="H58" s="22">
        <f t="shared" si="78"/>
        <v>15</v>
      </c>
      <c r="I58" s="22">
        <f t="shared" si="67"/>
        <v>2013</v>
      </c>
      <c r="J58" s="22">
        <v>51</v>
      </c>
      <c r="K58" s="22">
        <v>0.75</v>
      </c>
      <c r="L58" s="25">
        <f t="shared" si="66"/>
        <v>0.90566037735849059</v>
      </c>
      <c r="M58" s="26">
        <f t="shared" si="79"/>
        <v>-8.6690464048953843E-3</v>
      </c>
      <c r="N58" s="26">
        <f t="shared" si="93"/>
        <v>7.6218749959416363E-3</v>
      </c>
      <c r="O58" s="26">
        <v>3.1E-2</v>
      </c>
      <c r="P58" s="10">
        <v>93.9</v>
      </c>
      <c r="Q58" s="9">
        <f t="shared" si="68"/>
        <v>1.7186244705410861E-2</v>
      </c>
      <c r="R58" s="9">
        <f t="shared" si="96"/>
        <v>1.8990165632894487E-2</v>
      </c>
      <c r="S58" s="26"/>
      <c r="T58" s="26"/>
      <c r="U58" s="26"/>
      <c r="V58" s="28">
        <v>0.26500000000000001</v>
      </c>
      <c r="W58" s="28">
        <v>0.75</v>
      </c>
      <c r="X58" s="28">
        <f t="shared" si="102"/>
        <v>0.80125000000000002</v>
      </c>
      <c r="Y58" s="28">
        <f t="shared" si="112"/>
        <v>0.73499999999999999</v>
      </c>
      <c r="Z58" s="28">
        <f t="shared" si="103"/>
        <v>2.3723712755290598</v>
      </c>
      <c r="AA58" s="9">
        <f t="shared" si="120"/>
        <v>6.9729090020682E-3</v>
      </c>
      <c r="AB58" s="3">
        <f>+AB43*L58+AG44*L57+AG45*L56+AG46*L55+AG47*L54+AG48*L53+AG49*L52+AG50*L51+AG51*L50+AG52*L49+AG53*L48+AG54*L47+AG55*L46+AG56*L45+AG57*L44+AG58</f>
        <v>167.46128352263958</v>
      </c>
      <c r="AC58" s="1">
        <f t="shared" si="80"/>
        <v>3.5172033930602697E-2</v>
      </c>
      <c r="AD58" s="40">
        <v>659.16238232304795</v>
      </c>
      <c r="AE58" s="40">
        <v>131.00606325937719</v>
      </c>
      <c r="AF58" s="51">
        <v>93.9</v>
      </c>
      <c r="AG58" s="40">
        <f t="shared" si="81"/>
        <v>7.0198336775617456</v>
      </c>
      <c r="AH58" s="2">
        <f t="shared" si="104"/>
        <v>397.280338792338</v>
      </c>
      <c r="AI58" s="2">
        <f t="shared" si="105"/>
        <v>911.28033879233794</v>
      </c>
      <c r="AJ58" s="29">
        <f t="shared" si="113"/>
        <v>4.7639910153371774E-2</v>
      </c>
      <c r="AK58" s="29">
        <f t="shared" si="106"/>
        <v>0.29518907469954708</v>
      </c>
      <c r="AL58" s="29">
        <f t="shared" si="107"/>
        <v>0.26885250297914137</v>
      </c>
      <c r="AM58" s="29">
        <f t="shared" si="108"/>
        <v>0.4359584223213116</v>
      </c>
      <c r="AO58" s="22">
        <f t="shared" si="82"/>
        <v>15</v>
      </c>
      <c r="AP58" s="22">
        <f t="shared" si="69"/>
        <v>2013</v>
      </c>
      <c r="AQ58" s="22">
        <v>51</v>
      </c>
      <c r="AR58" s="22">
        <v>1</v>
      </c>
      <c r="AS58" s="25">
        <f t="shared" si="70"/>
        <v>1</v>
      </c>
      <c r="AT58" s="26">
        <f t="shared" si="83"/>
        <v>0</v>
      </c>
      <c r="AU58" s="3">
        <f t="shared" si="71"/>
        <v>54.463579788707769</v>
      </c>
      <c r="AV58" s="3">
        <v>2.0580575797395775</v>
      </c>
      <c r="AW58" s="1">
        <f t="shared" si="84"/>
        <v>1.8317538766628731E-2</v>
      </c>
      <c r="AX58" s="3">
        <f t="shared" si="72"/>
        <v>1.0695004532442487</v>
      </c>
      <c r="AY58" s="3"/>
      <c r="AZ58" s="22">
        <f t="shared" si="85"/>
        <v>15</v>
      </c>
      <c r="BA58" s="22">
        <f t="shared" si="73"/>
        <v>2013</v>
      </c>
      <c r="BB58" s="22">
        <v>51</v>
      </c>
      <c r="BC58" s="22">
        <v>0</v>
      </c>
      <c r="BD58" s="25">
        <f t="shared" si="74"/>
        <v>0.70588235294117652</v>
      </c>
      <c r="BE58" s="26">
        <f t="shared" si="86"/>
        <v>-2.7027027027026931E-2</v>
      </c>
      <c r="BF58" s="3">
        <f>+BF43*BD58+BG44*BD57+BG45*BD56+BG46*BD55+BG47*BD54+BG48*BD53+BG49*BD52+BG50*BD51+BG51*BD50+BG52*BD49+BG53*BD48+BG54*BD47+BG55*BD46+BG56*BD45+BG57*BD44+BG58</f>
        <v>44.826984957213739</v>
      </c>
      <c r="BG58" s="3">
        <v>2.0580575797395775</v>
      </c>
      <c r="BH58" s="1">
        <f t="shared" si="87"/>
        <v>2.1963932758592337E-2</v>
      </c>
      <c r="BK58" s="22">
        <f t="shared" si="88"/>
        <v>15</v>
      </c>
      <c r="BL58" s="22">
        <f t="shared" si="75"/>
        <v>2013</v>
      </c>
      <c r="BM58" s="11">
        <v>3.5000000000000003E-2</v>
      </c>
      <c r="BN58" s="3">
        <f t="shared" si="89"/>
        <v>39.23413950216964</v>
      </c>
      <c r="BO58" s="3">
        <v>2.0580575797395775</v>
      </c>
      <c r="BP58" s="1">
        <f t="shared" si="90"/>
        <v>1.825450038474849E-2</v>
      </c>
      <c r="BQ58" s="1">
        <v>4.5900000000000003E-2</v>
      </c>
      <c r="BR58" s="3">
        <f t="shared" si="76"/>
        <v>35.028155259301379</v>
      </c>
      <c r="BS58" s="3">
        <v>2.0580575797395775</v>
      </c>
      <c r="BT58" s="1">
        <f t="shared" si="91"/>
        <v>1.3564363100592234E-2</v>
      </c>
      <c r="BU58" s="22">
        <f t="shared" si="92"/>
        <v>2013</v>
      </c>
      <c r="BV58" s="10">
        <f t="shared" si="94"/>
        <v>150.40641554566378</v>
      </c>
      <c r="BW58" s="27">
        <v>245</v>
      </c>
      <c r="BX58" s="10">
        <v>93.9</v>
      </c>
      <c r="BY58" s="11">
        <f t="shared" si="121"/>
        <v>1.7186244705410861E-2</v>
      </c>
      <c r="BZ58" s="3">
        <f t="shared" si="97"/>
        <v>26.091586794462192</v>
      </c>
      <c r="CA58" s="1">
        <f t="shared" si="98"/>
        <v>-7.2496765133886877E-4</v>
      </c>
      <c r="CB58" s="3">
        <v>269</v>
      </c>
      <c r="CC58" s="31">
        <v>920.09</v>
      </c>
      <c r="CD58" s="31"/>
      <c r="CE58" s="31">
        <v>27.03</v>
      </c>
      <c r="CF58" s="11">
        <f t="shared" si="114"/>
        <v>1.7164600516634092E-2</v>
      </c>
      <c r="CG58" s="3">
        <f t="shared" si="95"/>
        <v>995.19052904180535</v>
      </c>
      <c r="CH58" s="1">
        <f t="shared" si="99"/>
        <v>6.8158442457227852E-2</v>
      </c>
      <c r="CI58" s="6">
        <v>3417407.4166666665</v>
      </c>
      <c r="CJ58" s="1">
        <f t="shared" ref="CJ58" si="134">LN(CI58/CI57)</f>
        <v>1.6111583448596544E-2</v>
      </c>
      <c r="CK58" s="3">
        <f t="shared" si="116"/>
        <v>121.27995141995987</v>
      </c>
      <c r="CL58" s="1">
        <f t="shared" ref="CL58" si="135">LN(CK58/CK57)</f>
        <v>3.4925389253241373E-2</v>
      </c>
      <c r="CM58" s="1">
        <f t="shared" si="117"/>
        <v>-1.8813805804644829E-2</v>
      </c>
      <c r="CN58" s="3">
        <f t="shared" si="110"/>
        <v>266.65838388131061</v>
      </c>
      <c r="CO58" s="1">
        <f t="shared" si="124"/>
        <v>3.1528326704775234E-2</v>
      </c>
      <c r="CP58" s="33">
        <f t="shared" si="111"/>
        <v>150.40641554566378</v>
      </c>
      <c r="CQ58" s="3"/>
      <c r="CR58" s="3">
        <f t="shared" si="118"/>
        <v>109.83225693518973</v>
      </c>
      <c r="CS58" s="3" t="e">
        <f>+#REF!/CN58</f>
        <v>#REF!</v>
      </c>
      <c r="CT58" s="1">
        <f t="shared" si="125"/>
        <v>1.2715116908679776E-2</v>
      </c>
      <c r="CU58" s="12">
        <f t="shared" si="119"/>
        <v>0.41188375679977107</v>
      </c>
      <c r="CW58" s="3"/>
      <c r="CY58" s="19"/>
    </row>
    <row r="59" spans="1:103" x14ac:dyDescent="0.3">
      <c r="A59" s="2"/>
      <c r="D59" s="45">
        <v>0.81395348837209303</v>
      </c>
      <c r="E59" s="45">
        <v>0.87939698492462315</v>
      </c>
      <c r="H59" s="22">
        <f t="shared" si="78"/>
        <v>16</v>
      </c>
      <c r="I59" s="22">
        <f t="shared" si="67"/>
        <v>2014</v>
      </c>
      <c r="J59" s="22">
        <v>51</v>
      </c>
      <c r="K59" s="22">
        <v>0.75</v>
      </c>
      <c r="L59" s="25">
        <f t="shared" si="66"/>
        <v>0.89743589743589747</v>
      </c>
      <c r="M59" s="26">
        <f t="shared" si="79"/>
        <v>-9.0811965811965698E-3</v>
      </c>
      <c r="N59" s="26">
        <f t="shared" si="93"/>
        <v>7.8375382914431801E-3</v>
      </c>
      <c r="O59" s="26">
        <v>3.1E-2</v>
      </c>
      <c r="P59" s="10">
        <v>96.1</v>
      </c>
      <c r="Q59" s="9">
        <f t="shared" si="68"/>
        <v>2.3158929762029375E-2</v>
      </c>
      <c r="R59" s="9">
        <f t="shared" si="96"/>
        <v>1.8910010122999688E-2</v>
      </c>
      <c r="S59" s="26"/>
      <c r="T59" s="26"/>
      <c r="U59" s="26"/>
      <c r="V59" s="28">
        <v>0.26500000000000001</v>
      </c>
      <c r="W59" s="28">
        <v>0.75</v>
      </c>
      <c r="X59" s="28">
        <f t="shared" si="102"/>
        <v>0.80125000000000002</v>
      </c>
      <c r="Y59" s="28">
        <f t="shared" si="112"/>
        <v>0.73499999999999999</v>
      </c>
      <c r="Z59" s="28">
        <f t="shared" si="103"/>
        <v>2.4059330629327009</v>
      </c>
      <c r="AA59" s="9">
        <f t="shared" si="120"/>
        <v>1.4047803132768176E-2</v>
      </c>
      <c r="AB59" s="3">
        <f>+AB43*L59+AG44*L58+AG45*L57+AG46*L56+AG47*L55+AG48*L54+AG49*L53+AG50*L52+AG51*L51+AG52*L50+AG53*L49+AG54*L48+AG55*L47+AG56*L46+AG57*L45+AG58*L44+AG59</f>
        <v>173.45741515840857</v>
      </c>
      <c r="AC59" s="1">
        <f t="shared" si="80"/>
        <v>3.5179942088303037E-2</v>
      </c>
      <c r="AD59" s="40">
        <v>702.35798392611355</v>
      </c>
      <c r="AE59" s="40">
        <v>184.09061898584648</v>
      </c>
      <c r="AF59" s="51">
        <v>96.1</v>
      </c>
      <c r="AG59" s="40">
        <f t="shared" si="81"/>
        <v>7.3086158577119003</v>
      </c>
      <c r="AH59" s="2">
        <f t="shared" si="104"/>
        <v>417.32693014045901</v>
      </c>
      <c r="AI59" s="2">
        <f t="shared" si="105"/>
        <v>922.32693014045901</v>
      </c>
      <c r="AJ59" s="29">
        <f t="shared" si="113"/>
        <v>1.2049172342038771E-2</v>
      </c>
      <c r="AK59" s="29">
        <f t="shared" si="106"/>
        <v>0.29924313275550635</v>
      </c>
      <c r="AL59" s="29">
        <f t="shared" si="107"/>
        <v>0.24828506304714112</v>
      </c>
      <c r="AM59" s="29">
        <f t="shared" si="108"/>
        <v>0.4524718041973525</v>
      </c>
      <c r="AO59" s="22">
        <f t="shared" si="82"/>
        <v>16</v>
      </c>
      <c r="AP59" s="22">
        <f t="shared" si="69"/>
        <v>2014</v>
      </c>
      <c r="AQ59" s="22">
        <v>51</v>
      </c>
      <c r="AR59" s="22">
        <v>1</v>
      </c>
      <c r="AS59" s="25">
        <f t="shared" si="70"/>
        <v>1</v>
      </c>
      <c r="AT59" s="26">
        <f t="shared" si="83"/>
        <v>0</v>
      </c>
      <c r="AU59" s="3">
        <f t="shared" si="71"/>
        <v>55.701657225342096</v>
      </c>
      <c r="AV59" s="3">
        <v>2.3273490324084869</v>
      </c>
      <c r="AW59" s="1">
        <f t="shared" si="84"/>
        <v>2.2477681663978313E-2</v>
      </c>
      <c r="AX59" s="3">
        <f t="shared" si="72"/>
        <v>1.0892715957741554</v>
      </c>
      <c r="AY59" s="3"/>
      <c r="AZ59" s="22">
        <f t="shared" si="85"/>
        <v>16</v>
      </c>
      <c r="BA59" s="22">
        <f t="shared" si="73"/>
        <v>2014</v>
      </c>
      <c r="BB59" s="22">
        <v>51</v>
      </c>
      <c r="BC59" s="22">
        <v>0</v>
      </c>
      <c r="BD59" s="25">
        <f t="shared" si="74"/>
        <v>0.68627450980392157</v>
      </c>
      <c r="BE59" s="26">
        <f t="shared" si="86"/>
        <v>-2.7777777777777835E-2</v>
      </c>
      <c r="BF59" s="3">
        <f>+BF43*BD59+BG44*BD58+BG45*BD57+BG46*BD56+BG47*BD55+BG48*BD54+BG49*BD53+BG50*BD52+BG51*BD51+BG52*BD50+BG53*BD49+BG54*BD48+BG55*BD47+BG56*BD46+BG57*BD45+BG58*BD44+BG59</f>
        <v>46.029765362389689</v>
      </c>
      <c r="BG59" s="3">
        <v>2.3273490324084869</v>
      </c>
      <c r="BH59" s="1">
        <f t="shared" si="87"/>
        <v>2.6477959442712813E-2</v>
      </c>
      <c r="BK59" s="22">
        <f t="shared" si="88"/>
        <v>16</v>
      </c>
      <c r="BL59" s="22">
        <f t="shared" si="75"/>
        <v>2014</v>
      </c>
      <c r="BM59" s="11">
        <v>3.5000000000000003E-2</v>
      </c>
      <c r="BN59" s="3">
        <f t="shared" si="89"/>
        <v>40.188293652002187</v>
      </c>
      <c r="BO59" s="3">
        <v>2.3273490324084869</v>
      </c>
      <c r="BP59" s="1">
        <f t="shared" si="90"/>
        <v>2.4028477085015043E-2</v>
      </c>
      <c r="BQ59" s="1">
        <v>4.5900000000000003E-2</v>
      </c>
      <c r="BR59" s="3">
        <f t="shared" si="76"/>
        <v>35.747711965307928</v>
      </c>
      <c r="BS59" s="3">
        <v>2.3273490324084869</v>
      </c>
      <c r="BT59" s="1">
        <f t="shared" si="91"/>
        <v>2.0334092037212759E-2</v>
      </c>
      <c r="BU59" s="22">
        <f t="shared" si="92"/>
        <v>2014</v>
      </c>
      <c r="BV59" s="10">
        <f t="shared" si="94"/>
        <v>145.4900811777033</v>
      </c>
      <c r="BW59" s="27">
        <v>229</v>
      </c>
      <c r="BX59" s="10">
        <v>96.1</v>
      </c>
      <c r="BY59" s="11">
        <f t="shared" si="121"/>
        <v>2.3158929762029375E-2</v>
      </c>
      <c r="BZ59" s="3">
        <f t="shared" si="97"/>
        <v>23.829344432882415</v>
      </c>
      <c r="CA59" s="1">
        <f t="shared" si="98"/>
        <v>-9.0695136752516836E-2</v>
      </c>
      <c r="CB59" s="3">
        <v>276</v>
      </c>
      <c r="CC59" s="31">
        <v>938.5</v>
      </c>
      <c r="CD59" s="31"/>
      <c r="CE59" s="31">
        <v>27.39</v>
      </c>
      <c r="CF59" s="11">
        <f t="shared" si="114"/>
        <v>1.3230622986630487E-2</v>
      </c>
      <c r="CG59" s="3">
        <f t="shared" si="95"/>
        <v>1007.6670317634173</v>
      </c>
      <c r="CH59" s="1">
        <f t="shared" si="99"/>
        <v>1.2458863128680331E-2</v>
      </c>
      <c r="CI59" s="6">
        <v>3471027</v>
      </c>
      <c r="CJ59" s="1">
        <f t="shared" ref="CJ59" si="136">LN(CI59/CI58)</f>
        <v>1.556831729193583E-2</v>
      </c>
      <c r="CK59" s="3">
        <f t="shared" si="116"/>
        <v>120.78124621846632</v>
      </c>
      <c r="CL59" s="1">
        <f t="shared" ref="CL59" si="137">LN(CK59/CK58)</f>
        <v>-4.1204944201155298E-3</v>
      </c>
      <c r="CM59" s="1">
        <f t="shared" si="117"/>
        <v>1.9688811712051359E-2</v>
      </c>
      <c r="CN59" s="3">
        <f t="shared" si="110"/>
        <v>265.72162364062831</v>
      </c>
      <c r="CO59" s="1">
        <f t="shared" si="124"/>
        <v>-3.5191449498968366E-3</v>
      </c>
      <c r="CP59" s="33">
        <f t="shared" si="111"/>
        <v>145.4900811777033</v>
      </c>
      <c r="CQ59" s="3"/>
      <c r="CR59" s="3">
        <f t="shared" si="118"/>
        <v>111.62165160175144</v>
      </c>
      <c r="CS59" s="3" t="e">
        <f>+#REF!/CN59</f>
        <v>#REF!</v>
      </c>
      <c r="CT59" s="1">
        <f t="shared" si="125"/>
        <v>1.6160776958096399E-2</v>
      </c>
      <c r="CU59" s="12">
        <f t="shared" si="119"/>
        <v>0.42006988393504874</v>
      </c>
      <c r="CW59" s="3"/>
      <c r="CY59" s="19"/>
    </row>
    <row r="60" spans="1:103" x14ac:dyDescent="0.3">
      <c r="A60" s="2"/>
      <c r="D60" s="45">
        <v>0.8</v>
      </c>
      <c r="E60" s="45">
        <v>0.86956521739130432</v>
      </c>
      <c r="H60" s="22">
        <f t="shared" si="78"/>
        <v>17</v>
      </c>
      <c r="I60" s="22">
        <f t="shared" si="67"/>
        <v>2015</v>
      </c>
      <c r="J60" s="22">
        <v>51</v>
      </c>
      <c r="K60" s="22">
        <v>0.75</v>
      </c>
      <c r="L60" s="25">
        <f t="shared" si="66"/>
        <v>0.88888888888888884</v>
      </c>
      <c r="M60" s="26">
        <f t="shared" si="79"/>
        <v>-9.5238095238096131E-3</v>
      </c>
      <c r="N60" s="26">
        <f t="shared" si="93"/>
        <v>8.0582613469108669E-3</v>
      </c>
      <c r="O60" s="26">
        <v>3.1E-2</v>
      </c>
      <c r="P60" s="10">
        <v>97.6</v>
      </c>
      <c r="Q60" s="9">
        <f t="shared" si="68"/>
        <v>1.5488177442799903E-2</v>
      </c>
      <c r="R60" s="9">
        <f t="shared" si="96"/>
        <v>1.8611117303413378E-2</v>
      </c>
      <c r="S60" s="26"/>
      <c r="T60" s="26"/>
      <c r="U60" s="26"/>
      <c r="V60" s="28">
        <v>0.26500000000000001</v>
      </c>
      <c r="W60" s="28">
        <v>0.75</v>
      </c>
      <c r="X60" s="28">
        <f t="shared" si="102"/>
        <v>0.80125000000000002</v>
      </c>
      <c r="Y60" s="28">
        <f t="shared" si="112"/>
        <v>0.73499999999999999</v>
      </c>
      <c r="Z60" s="28">
        <f t="shared" si="103"/>
        <v>2.4206499162034234</v>
      </c>
      <c r="AA60" s="9">
        <f t="shared" si="120"/>
        <v>6.0982682543377067E-3</v>
      </c>
      <c r="AB60" s="3">
        <f>+AB43*L60+AG44*L59+AG45*L58+AG46*L57+AG47*L56+AG48*L55+AG49*L54+AG50*L53+AG51*L52+AG52*L51+AG53*L50+AG54*L49+AG55*L48+AG56*L47+AG57*L46+AG58*L45+AG59*L44+AG60</f>
        <v>178.00814470720331</v>
      </c>
      <c r="AC60" s="1">
        <f t="shared" si="80"/>
        <v>2.5897182540007391E-2</v>
      </c>
      <c r="AD60" s="40">
        <v>580.5730859116004</v>
      </c>
      <c r="AE60" s="40">
        <v>435.0733734242794</v>
      </c>
      <c r="AF60" s="51">
        <v>97.6</v>
      </c>
      <c r="AG60" s="40">
        <f t="shared" si="81"/>
        <v>5.9484947327008237</v>
      </c>
      <c r="AH60" s="2">
        <f t="shared" si="104"/>
        <v>430.89540056901859</v>
      </c>
      <c r="AI60" s="2">
        <f t="shared" si="105"/>
        <v>954.89540056901865</v>
      </c>
      <c r="AJ60" s="29">
        <f t="shared" si="113"/>
        <v>3.470205757213788E-2</v>
      </c>
      <c r="AK60" s="29">
        <f t="shared" si="106"/>
        <v>0.28694242305149276</v>
      </c>
      <c r="AL60" s="29">
        <f t="shared" si="107"/>
        <v>0.26180878015647152</v>
      </c>
      <c r="AM60" s="29">
        <f t="shared" si="108"/>
        <v>0.45124879679203567</v>
      </c>
      <c r="AO60" s="22">
        <f t="shared" si="82"/>
        <v>17</v>
      </c>
      <c r="AP60" s="22">
        <f t="shared" si="69"/>
        <v>2015</v>
      </c>
      <c r="AQ60" s="22">
        <v>51</v>
      </c>
      <c r="AR60" s="22">
        <v>1</v>
      </c>
      <c r="AS60" s="25">
        <f t="shared" si="70"/>
        <v>1</v>
      </c>
      <c r="AT60" s="26">
        <f t="shared" si="83"/>
        <v>0</v>
      </c>
      <c r="AU60" s="3">
        <f t="shared" si="71"/>
        <v>56.204170422298667</v>
      </c>
      <c r="AV60" s="3">
        <v>1.6165463414634147</v>
      </c>
      <c r="AW60" s="1">
        <f t="shared" si="84"/>
        <v>8.9810617591486383E-3</v>
      </c>
      <c r="AX60" s="3">
        <f t="shared" si="72"/>
        <v>1.1140331445068419</v>
      </c>
      <c r="AY60" s="3"/>
      <c r="AZ60" s="22">
        <f t="shared" si="85"/>
        <v>17</v>
      </c>
      <c r="BA60" s="22">
        <f t="shared" si="73"/>
        <v>2015</v>
      </c>
      <c r="BB60" s="22">
        <v>51</v>
      </c>
      <c r="BC60" s="22">
        <v>0</v>
      </c>
      <c r="BD60" s="25">
        <f t="shared" si="74"/>
        <v>0.66666666666666663</v>
      </c>
      <c r="BE60" s="26">
        <f t="shared" si="86"/>
        <v>-2.8571428571428633E-2</v>
      </c>
      <c r="BF60" s="3">
        <f>+BF43*BD60+BG44*BD59+BG45*BD58+BG46*BD57+BG47*BD56+BG48*BD55+BG49*BD54+BG50*BD53+BG51*BD52+BG52*BD51+BG53*BD50+BG54*BD49+BG55*BD48+BG56*BD47+BG57*BD46+BG58*BD45+BG59*BD44+BG60</f>
        <v>46.47610878186746</v>
      </c>
      <c r="BG60" s="3">
        <v>1.6165463414634147</v>
      </c>
      <c r="BH60" s="1">
        <f t="shared" si="87"/>
        <v>9.6501305979341135E-3</v>
      </c>
      <c r="BK60" s="22">
        <f t="shared" si="88"/>
        <v>17</v>
      </c>
      <c r="BL60" s="22">
        <f t="shared" si="75"/>
        <v>2015</v>
      </c>
      <c r="BM60" s="11">
        <v>3.5000000000000003E-2</v>
      </c>
      <c r="BN60" s="3">
        <f t="shared" si="89"/>
        <v>40.39824971564552</v>
      </c>
      <c r="BO60" s="3">
        <v>1.6165463414634147</v>
      </c>
      <c r="BP60" s="1">
        <f t="shared" si="90"/>
        <v>5.2107096277107115E-3</v>
      </c>
      <c r="BQ60" s="1">
        <v>4.5900000000000003E-2</v>
      </c>
      <c r="BR60" s="3">
        <f t="shared" si="76"/>
        <v>35.723438327563706</v>
      </c>
      <c r="BS60" s="3">
        <v>1.6165463414634147</v>
      </c>
      <c r="BT60" s="1">
        <f t="shared" si="91"/>
        <v>-6.7925697510267801E-4</v>
      </c>
      <c r="BU60" s="22">
        <f t="shared" si="92"/>
        <v>2015</v>
      </c>
      <c r="BV60" s="10">
        <f t="shared" si="94"/>
        <v>148.79843489035545</v>
      </c>
      <c r="BW60" s="27">
        <v>250</v>
      </c>
      <c r="BX60" s="10">
        <v>97.6</v>
      </c>
      <c r="BY60" s="11">
        <f t="shared" si="121"/>
        <v>1.5488177442799903E-2</v>
      </c>
      <c r="BZ60" s="3">
        <f t="shared" si="97"/>
        <v>25.614754098360656</v>
      </c>
      <c r="CA60" s="1">
        <f t="shared" si="98"/>
        <v>7.2250736865206694E-2</v>
      </c>
      <c r="CB60" s="3">
        <v>274</v>
      </c>
      <c r="CC60" s="31">
        <v>963.37</v>
      </c>
      <c r="CD60" s="31"/>
      <c r="CE60" s="31">
        <v>28.13</v>
      </c>
      <c r="CF60" s="11">
        <f t="shared" si="114"/>
        <v>2.6658639226778566E-2</v>
      </c>
      <c r="CG60" s="3">
        <f t="shared" si="95"/>
        <v>974.04905794525416</v>
      </c>
      <c r="CH60" s="1">
        <f t="shared" si="99"/>
        <v>-3.3931398555858479E-2</v>
      </c>
      <c r="CI60" s="6">
        <v>3521542.4166666665</v>
      </c>
      <c r="CJ60" s="1">
        <f t="shared" ref="CJ60" si="138">LN(CI60/CI59)</f>
        <v>1.4448564599833303E-2</v>
      </c>
      <c r="CK60" s="3">
        <f t="shared" si="116"/>
        <v>123.24388730095062</v>
      </c>
      <c r="CL60" s="1">
        <f t="shared" ref="CL60" si="139">LN(CK60/CK59)</f>
        <v>2.018418884453951E-2</v>
      </c>
      <c r="CM60" s="1">
        <f t="shared" si="117"/>
        <v>-5.7356242447062066E-3</v>
      </c>
      <c r="CN60" s="3">
        <f t="shared" si="110"/>
        <v>271.15828452036072</v>
      </c>
      <c r="CO60" s="1">
        <f t="shared" si="124"/>
        <v>2.0253492972304228E-2</v>
      </c>
      <c r="CP60" s="33">
        <f t="shared" si="111"/>
        <v>148.79843489035545</v>
      </c>
      <c r="CQ60" s="3"/>
      <c r="CR60" s="3">
        <f t="shared" si="118"/>
        <v>113.25413477236827</v>
      </c>
      <c r="CS60" s="3" t="e">
        <f>+#REF!/CN60</f>
        <v>#REF!</v>
      </c>
      <c r="CT60" s="1">
        <f t="shared" si="125"/>
        <v>1.4519231930014675E-2</v>
      </c>
      <c r="CU60" s="12">
        <f t="shared" si="119"/>
        <v>0.41766798669898009</v>
      </c>
      <c r="CW60" s="3"/>
      <c r="CY60" s="19"/>
    </row>
    <row r="61" spans="1:103" x14ac:dyDescent="0.3">
      <c r="A61" s="2"/>
      <c r="D61" s="45">
        <v>0.7857142857142857</v>
      </c>
      <c r="E61" s="45">
        <v>0.859375</v>
      </c>
      <c r="H61" s="22">
        <f t="shared" si="78"/>
        <v>18</v>
      </c>
      <c r="I61" s="22">
        <f t="shared" si="67"/>
        <v>2016</v>
      </c>
      <c r="J61" s="22">
        <v>51</v>
      </c>
      <c r="K61" s="22">
        <v>0.75</v>
      </c>
      <c r="L61" s="25">
        <f t="shared" si="66"/>
        <v>0.88</v>
      </c>
      <c r="M61" s="26">
        <f t="shared" si="79"/>
        <v>-9.9999999999999395E-3</v>
      </c>
      <c r="N61" s="26">
        <f t="shared" si="93"/>
        <v>8.3152704238081757E-3</v>
      </c>
      <c r="O61" s="26">
        <v>3.1E-2</v>
      </c>
      <c r="P61" s="10">
        <v>98.6</v>
      </c>
      <c r="Q61" s="9">
        <f t="shared" si="68"/>
        <v>1.0193768189543024E-2</v>
      </c>
      <c r="R61" s="9">
        <f t="shared" si="96"/>
        <v>1.62802917981241E-2</v>
      </c>
      <c r="S61" s="26"/>
      <c r="T61" s="26"/>
      <c r="U61" s="26"/>
      <c r="V61" s="28">
        <v>0.26500000000000001</v>
      </c>
      <c r="W61" s="28">
        <v>0.75</v>
      </c>
      <c r="X61" s="28">
        <f t="shared" si="102"/>
        <v>0.80125000000000002</v>
      </c>
      <c r="Y61" s="28">
        <f t="shared" si="112"/>
        <v>0.73499999999999999</v>
      </c>
      <c r="Z61" s="28">
        <f t="shared" si="103"/>
        <v>2.4205752082816732</v>
      </c>
      <c r="AA61" s="9">
        <f t="shared" si="120"/>
        <v>-3.0863229796278901E-5</v>
      </c>
      <c r="AB61" s="3">
        <f>+AB43*L61+AG44*L60+AG45*L59+AG46*L58+AG47*L57+AG48*L56+AG49*L55+AG50*L54+AG51*L53+AG52*L52+AG53*L51+AG54*L50+AG55*L49+AG56*L48+AG57*L47+AG58*L46+AG59*L45+AG60*L44+AG61</f>
        <v>192.69876540156432</v>
      </c>
      <c r="AC61" s="1">
        <f t="shared" si="80"/>
        <v>7.9298862530572126E-2</v>
      </c>
      <c r="AD61" s="40">
        <v>1594.4415263468388</v>
      </c>
      <c r="AE61" s="40">
        <v>663.77134639628321</v>
      </c>
      <c r="AF61" s="51">
        <v>98.6</v>
      </c>
      <c r="AG61" s="40">
        <f t="shared" si="81"/>
        <v>16.170806555241775</v>
      </c>
      <c r="AH61" s="2">
        <f t="shared" si="104"/>
        <v>466.44185419751284</v>
      </c>
      <c r="AI61" s="2">
        <f t="shared" si="105"/>
        <v>985.44185419751284</v>
      </c>
      <c r="AJ61" s="29">
        <f t="shared" si="113"/>
        <v>3.1488317248378833E-2</v>
      </c>
      <c r="AK61" s="29">
        <f t="shared" si="106"/>
        <v>0.27500354165562291</v>
      </c>
      <c r="AL61" s="29">
        <f t="shared" si="107"/>
        <v>0.2516637576774704</v>
      </c>
      <c r="AM61" s="29">
        <f t="shared" si="108"/>
        <v>0.47333270066690669</v>
      </c>
      <c r="AO61" s="22">
        <f t="shared" si="82"/>
        <v>18</v>
      </c>
      <c r="AP61" s="22">
        <f t="shared" si="69"/>
        <v>2016</v>
      </c>
      <c r="AQ61" s="22">
        <v>51</v>
      </c>
      <c r="AR61" s="22">
        <v>1</v>
      </c>
      <c r="AS61" s="25">
        <f t="shared" si="70"/>
        <v>1</v>
      </c>
      <c r="AT61" s="26">
        <f t="shared" si="83"/>
        <v>0</v>
      </c>
      <c r="AU61" s="3">
        <f t="shared" si="71"/>
        <v>61.492679058111854</v>
      </c>
      <c r="AV61" s="3">
        <v>6.4125920442591644</v>
      </c>
      <c r="AW61" s="1">
        <f t="shared" si="84"/>
        <v>8.9927167072261685E-2</v>
      </c>
      <c r="AX61" s="3">
        <f t="shared" si="72"/>
        <v>1.1240834084459734</v>
      </c>
      <c r="AY61" s="3"/>
      <c r="AZ61" s="22">
        <f t="shared" si="85"/>
        <v>18</v>
      </c>
      <c r="BA61" s="22">
        <f t="shared" si="73"/>
        <v>2016</v>
      </c>
      <c r="BB61" s="22">
        <v>51</v>
      </c>
      <c r="BC61" s="22">
        <v>0</v>
      </c>
      <c r="BD61" s="25">
        <f t="shared" si="74"/>
        <v>0.6470588235294118</v>
      </c>
      <c r="BE61" s="26">
        <f t="shared" si="86"/>
        <v>-2.9411764705882248E-2</v>
      </c>
      <c r="BF61" s="3">
        <f>+BF43*BD61+BG44*BD60+BG45*BD59+BG46*BD58+BG47*BD57+BG48*BD56+BG49*BD55+BG50*BD54+BG51*BD53+BG52*BD52+BG53*BD51+BG54*BD50+BG55*BD49+BG56*BD48+BG57*BD47+BG58*BD46+BG59*BD45+BG60*BD44+BG61</f>
        <v>51.686800917053489</v>
      </c>
      <c r="BG61" s="3">
        <v>6.4125920442591644</v>
      </c>
      <c r="BH61" s="1">
        <f t="shared" si="87"/>
        <v>0.10626405658754409</v>
      </c>
      <c r="BK61" s="22">
        <f t="shared" si="88"/>
        <v>18</v>
      </c>
      <c r="BL61" s="22">
        <f t="shared" si="75"/>
        <v>2016</v>
      </c>
      <c r="BM61" s="11">
        <v>3.5000000000000003E-2</v>
      </c>
      <c r="BN61" s="3">
        <f t="shared" si="89"/>
        <v>45.396903019857092</v>
      </c>
      <c r="BO61" s="3">
        <v>6.4125920442591644</v>
      </c>
      <c r="BP61" s="1">
        <f t="shared" si="90"/>
        <v>0.11665742714043661</v>
      </c>
      <c r="BQ61" s="1">
        <v>4.5900000000000003E-2</v>
      </c>
      <c r="BR61" s="3">
        <f t="shared" si="76"/>
        <v>40.496324552587694</v>
      </c>
      <c r="BS61" s="3">
        <v>6.4125920442591644</v>
      </c>
      <c r="BT61" s="1">
        <f t="shared" si="91"/>
        <v>0.12540420905998581</v>
      </c>
      <c r="BU61" s="22">
        <f t="shared" si="92"/>
        <v>2016</v>
      </c>
      <c r="BV61" s="10">
        <f t="shared" si="94"/>
        <v>145.31866016195332</v>
      </c>
      <c r="BW61" s="27">
        <v>248</v>
      </c>
      <c r="BX61" s="10">
        <v>98.6</v>
      </c>
      <c r="BY61" s="11">
        <f t="shared" si="121"/>
        <v>1.0193768189543024E-2</v>
      </c>
      <c r="BZ61" s="3">
        <f t="shared" si="97"/>
        <v>25.152129817444219</v>
      </c>
      <c r="CA61" s="1">
        <f t="shared" si="98"/>
        <v>-1.8225939886807208E-2</v>
      </c>
      <c r="CB61" s="3">
        <v>271</v>
      </c>
      <c r="CC61" s="31">
        <v>974.41</v>
      </c>
      <c r="CD61" s="31"/>
      <c r="CE61" s="31">
        <v>28.84</v>
      </c>
      <c r="CF61" s="11">
        <f t="shared" si="114"/>
        <v>2.4926689914982893E-2</v>
      </c>
      <c r="CG61" s="3">
        <f t="shared" si="95"/>
        <v>939.66712898751734</v>
      </c>
      <c r="CH61" s="1">
        <f t="shared" si="99"/>
        <v>-3.5935975423352175E-2</v>
      </c>
      <c r="CI61" s="6">
        <v>3571461.5</v>
      </c>
      <c r="CJ61" s="1">
        <f t="shared" ref="CJ61" si="140">LN(CI61/CI60)</f>
        <v>1.4075815583039279E-2</v>
      </c>
      <c r="CK61" s="3">
        <f t="shared" si="116"/>
        <v>125.97053725479388</v>
      </c>
      <c r="CL61" s="1">
        <f t="shared" ref="CL61" si="141">LN(CK61/CK60)</f>
        <v>2.188283254012633E-2</v>
      </c>
      <c r="CM61" s="1">
        <f t="shared" si="117"/>
        <v>-7.8070169570870519E-3</v>
      </c>
      <c r="CN61" s="3">
        <f t="shared" si="110"/>
        <v>275.9211751820684</v>
      </c>
      <c r="CO61" s="1">
        <f t="shared" si="124"/>
        <v>1.7412501665339402E-2</v>
      </c>
      <c r="CP61" s="33">
        <f t="shared" si="111"/>
        <v>145.31866016195332</v>
      </c>
      <c r="CQ61" s="3"/>
      <c r="CR61" s="3">
        <f t="shared" si="118"/>
        <v>114.34736106004785</v>
      </c>
      <c r="CS61" s="3" t="e">
        <f>+#REF!/CN61</f>
        <v>#REF!</v>
      </c>
      <c r="CT61" s="1">
        <f t="shared" si="125"/>
        <v>9.6065686311922194E-3</v>
      </c>
      <c r="CU61" s="12">
        <f t="shared" si="119"/>
        <v>0.41442039011538345</v>
      </c>
      <c r="CW61" s="3"/>
      <c r="CY61" s="19"/>
    </row>
    <row r="62" spans="1:103" x14ac:dyDescent="0.3">
      <c r="D62" s="45">
        <v>0.77108433734939763</v>
      </c>
      <c r="E62" s="45">
        <v>0.84880636604774529</v>
      </c>
      <c r="H62" s="22">
        <f t="shared" si="78"/>
        <v>19</v>
      </c>
      <c r="I62" s="22">
        <f t="shared" si="67"/>
        <v>2017</v>
      </c>
      <c r="J62" s="22">
        <v>51</v>
      </c>
      <c r="K62" s="22">
        <v>0.75</v>
      </c>
      <c r="L62" s="25">
        <f t="shared" si="66"/>
        <v>0.87074829931972786</v>
      </c>
      <c r="M62" s="26">
        <f t="shared" si="79"/>
        <v>-1.0513296227581985E-2</v>
      </c>
      <c r="N62" s="26">
        <f t="shared" si="93"/>
        <v>8.3935978481652594E-3</v>
      </c>
      <c r="O62" s="26">
        <v>3.1E-2</v>
      </c>
      <c r="P62" s="10">
        <v>100</v>
      </c>
      <c r="Q62" s="9">
        <f t="shared" si="68"/>
        <v>1.4098924379501675E-2</v>
      </c>
      <c r="R62" s="9">
        <f t="shared" si="96"/>
        <v>1.3260290003948202E-2</v>
      </c>
      <c r="S62" s="26"/>
      <c r="T62" s="26"/>
      <c r="U62" s="26"/>
      <c r="V62" s="28">
        <v>0.26500000000000001</v>
      </c>
      <c r="W62" s="28">
        <v>0.75</v>
      </c>
      <c r="X62" s="28">
        <f t="shared" si="102"/>
        <v>0.80125000000000002</v>
      </c>
      <c r="Y62" s="28">
        <f t="shared" si="112"/>
        <v>0.73499999999999999</v>
      </c>
      <c r="Z62" s="28">
        <f t="shared" si="103"/>
        <v>2.4499498844218981</v>
      </c>
      <c r="AA62" s="9">
        <f t="shared" si="120"/>
        <v>1.2062367711877743E-2</v>
      </c>
      <c r="AB62" s="3">
        <f>+AB43*L62+AG44*L61+AG45*L60+AG46*L59+AG47*L58+AG48*L57+AG49*L56+AG50*L55+AG51*L54+AG52*L53+AG53*L52+AG54*L51+AG55*L50+AG56*L49+AG57*L48+AG58*L47+AG59*L46+AG60*L45+AG61*L44+AG62</f>
        <v>198.1818921346198</v>
      </c>
      <c r="AC62" s="1">
        <f t="shared" si="80"/>
        <v>2.8057087583144121E-2</v>
      </c>
      <c r="AD62" s="40">
        <v>710.05626756741572</v>
      </c>
      <c r="AE62" s="40">
        <v>798.4481678496652</v>
      </c>
      <c r="AF62" s="51">
        <v>100</v>
      </c>
      <c r="AG62" s="40">
        <f t="shared" si="81"/>
        <v>7.1005626756741576</v>
      </c>
      <c r="AH62" s="2">
        <f t="shared" si="104"/>
        <v>485.53570372972484</v>
      </c>
      <c r="AI62" s="2">
        <f t="shared" si="105"/>
        <v>986.5357037297249</v>
      </c>
      <c r="AJ62" s="29">
        <f t="shared" si="113"/>
        <v>1.1093936033938899E-3</v>
      </c>
      <c r="AK62" s="29">
        <f t="shared" si="106"/>
        <v>0.27267132753838608</v>
      </c>
      <c r="AL62" s="29">
        <f t="shared" si="107"/>
        <v>0.23516634940113593</v>
      </c>
      <c r="AM62" s="29">
        <f t="shared" si="108"/>
        <v>0.49216232306047797</v>
      </c>
      <c r="AO62" s="22">
        <f t="shared" si="82"/>
        <v>19</v>
      </c>
      <c r="AP62" s="22">
        <f t="shared" si="69"/>
        <v>2017</v>
      </c>
      <c r="AQ62" s="22">
        <v>51</v>
      </c>
      <c r="AR62" s="22">
        <v>1</v>
      </c>
      <c r="AS62" s="25">
        <f t="shared" si="70"/>
        <v>1</v>
      </c>
      <c r="AT62" s="26">
        <f t="shared" si="83"/>
        <v>0</v>
      </c>
      <c r="AU62" s="3">
        <f t="shared" si="71"/>
        <v>62.257035350243598</v>
      </c>
      <c r="AV62" s="3">
        <v>1.9942098732939804</v>
      </c>
      <c r="AW62" s="1">
        <f t="shared" si="84"/>
        <v>1.2353418612210851E-2</v>
      </c>
      <c r="AX62" s="3">
        <f t="shared" si="72"/>
        <v>1.2298535811622371</v>
      </c>
      <c r="AY62" s="3"/>
      <c r="AZ62" s="22">
        <f t="shared" si="85"/>
        <v>19</v>
      </c>
      <c r="BA62" s="22">
        <f t="shared" si="73"/>
        <v>2017</v>
      </c>
      <c r="BB62" s="22">
        <v>51</v>
      </c>
      <c r="BC62" s="22">
        <v>0</v>
      </c>
      <c r="BD62" s="25">
        <f t="shared" si="74"/>
        <v>0.62745098039215685</v>
      </c>
      <c r="BE62" s="26">
        <f t="shared" si="86"/>
        <v>-3.0303030303030366E-2</v>
      </c>
      <c r="BF62" s="3">
        <f>+BF43*BD62+BG44*BD61+BG45*BD60+BG46*BD59+BG47*BD58+BG48*BD57+BG49*BD56+BG50*BD55+BG51*BD54+BG52*BD53+BG53*BD52+BG54*BD51+BG55*BD50+BG56*BD49+BG57*BD48+BG58*BD47+BG59*BD46+BG60*BD45+BG61*BD44+BG62</f>
        <v>52.353373782367257</v>
      </c>
      <c r="BG62" s="3">
        <v>1.9942098732939804</v>
      </c>
      <c r="BH62" s="1">
        <f t="shared" si="87"/>
        <v>1.2813934386056583E-2</v>
      </c>
      <c r="BK62" s="22">
        <f t="shared" si="88"/>
        <v>19</v>
      </c>
      <c r="BL62" s="22">
        <f t="shared" si="75"/>
        <v>2017</v>
      </c>
      <c r="BM62" s="11">
        <v>3.5000000000000003E-2</v>
      </c>
      <c r="BN62" s="3">
        <f t="shared" si="89"/>
        <v>45.802221287456078</v>
      </c>
      <c r="BO62" s="3">
        <v>1.9942098732939804</v>
      </c>
      <c r="BP62" s="1">
        <f t="shared" si="90"/>
        <v>8.8887023713062393E-3</v>
      </c>
      <c r="BQ62" s="1">
        <v>4.5900000000000003E-2</v>
      </c>
      <c r="BR62" s="3">
        <f t="shared" si="76"/>
        <v>40.6317531289179</v>
      </c>
      <c r="BS62" s="3">
        <v>1.9942098732939804</v>
      </c>
      <c r="BT62" s="1">
        <f t="shared" si="91"/>
        <v>3.3386394944108374E-3</v>
      </c>
      <c r="BU62" s="22">
        <f t="shared" si="92"/>
        <v>2017</v>
      </c>
      <c r="BV62" s="10">
        <f t="shared" si="94"/>
        <v>138.2873798067717</v>
      </c>
      <c r="BW62" s="27">
        <v>232</v>
      </c>
      <c r="BX62" s="10">
        <v>100</v>
      </c>
      <c r="BY62" s="11">
        <f t="shared" si="121"/>
        <v>1.4098924379501675E-2</v>
      </c>
      <c r="BZ62" s="3">
        <f t="shared" si="97"/>
        <v>23.2</v>
      </c>
      <c r="CA62" s="1">
        <f t="shared" si="98"/>
        <v>-8.0790298878173905E-2</v>
      </c>
      <c r="CB62" s="3">
        <v>269</v>
      </c>
      <c r="CC62" s="31">
        <v>993.23</v>
      </c>
      <c r="CD62" s="31"/>
      <c r="CE62" s="31">
        <v>29.11</v>
      </c>
      <c r="CF62" s="11">
        <f t="shared" si="114"/>
        <v>9.318445340783417E-3</v>
      </c>
      <c r="CG62" s="3">
        <f t="shared" si="95"/>
        <v>924.08107179663352</v>
      </c>
      <c r="CH62" s="1">
        <f t="shared" si="99"/>
        <v>-1.6725886618645266E-2</v>
      </c>
      <c r="CI62" s="6">
        <v>3622890.2499999995</v>
      </c>
      <c r="CJ62" s="1">
        <f t="shared" ref="CJ62" si="142">LN(CI62/CI61)</f>
        <v>1.4297223108513234E-2</v>
      </c>
      <c r="CK62" s="3">
        <f t="shared" si="116"/>
        <v>124.62968105606571</v>
      </c>
      <c r="CL62" s="1">
        <f t="shared" ref="CL62" si="143">LN(CK62/CK61)</f>
        <v>-1.0701259588992696E-2</v>
      </c>
      <c r="CM62" s="1">
        <f t="shared" si="117"/>
        <v>2.499848269750593E-2</v>
      </c>
      <c r="CN62" s="3">
        <f t="shared" si="110"/>
        <v>272.3062625840584</v>
      </c>
      <c r="CO62" s="1">
        <f t="shared" si="124"/>
        <v>-1.3187829505119356E-2</v>
      </c>
      <c r="CP62" s="33">
        <f t="shared" si="111"/>
        <v>138.2873798067717</v>
      </c>
      <c r="CQ62" s="3"/>
      <c r="CR62" s="3">
        <f t="shared" si="118"/>
        <v>115.70542829220361</v>
      </c>
      <c r="CS62" s="3" t="e">
        <f>+#REF!/CN62</f>
        <v>#REF!</v>
      </c>
      <c r="CT62" s="1">
        <f t="shared" si="125"/>
        <v>1.1806707599329468E-2</v>
      </c>
      <c r="CU62" s="12">
        <f t="shared" si="119"/>
        <v>0.42490917099817499</v>
      </c>
      <c r="CW62" s="3"/>
      <c r="CY62" s="19"/>
    </row>
    <row r="63" spans="1:103" x14ac:dyDescent="0.3">
      <c r="D63" s="45">
        <v>0.75609756097560976</v>
      </c>
      <c r="E63" s="45">
        <v>0.83783783783783783</v>
      </c>
      <c r="H63" s="22">
        <f t="shared" si="78"/>
        <v>20</v>
      </c>
      <c r="I63" s="22">
        <f t="shared" si="67"/>
        <v>2018</v>
      </c>
      <c r="J63" s="22">
        <v>51</v>
      </c>
      <c r="K63" s="22">
        <v>0.75</v>
      </c>
      <c r="L63" s="25">
        <f t="shared" si="66"/>
        <v>0.86111111111111116</v>
      </c>
      <c r="M63" s="26">
        <f t="shared" si="79"/>
        <v>-1.106770833333324E-2</v>
      </c>
      <c r="N63" s="26">
        <f t="shared" si="93"/>
        <v>8.027377024699394E-3</v>
      </c>
      <c r="O63" s="26">
        <v>3.1E-2</v>
      </c>
      <c r="P63" s="10">
        <v>101.6</v>
      </c>
      <c r="Q63" s="9">
        <f t="shared" si="68"/>
        <v>1.5873349156290163E-2</v>
      </c>
      <c r="R63" s="9">
        <f t="shared" si="96"/>
        <v>1.338868057511162E-2</v>
      </c>
      <c r="S63" s="26"/>
      <c r="T63" s="26"/>
      <c r="U63" s="26"/>
      <c r="V63" s="28">
        <v>0.26500000000000001</v>
      </c>
      <c r="W63" s="28">
        <v>0.75</v>
      </c>
      <c r="X63" s="28">
        <f t="shared" si="102"/>
        <v>0.80125000000000002</v>
      </c>
      <c r="Y63" s="28">
        <f t="shared" si="112"/>
        <v>0.73499999999999999</v>
      </c>
      <c r="Z63" s="28">
        <f t="shared" si="103"/>
        <v>2.5298022288972621</v>
      </c>
      <c r="AA63" s="9">
        <f t="shared" si="120"/>
        <v>3.207356027820351E-2</v>
      </c>
      <c r="AB63" s="3">
        <f>+AB43*L63+AG44*L62+AG45*L61+AG46*L60+AG47*L59+AG48*L58+AG49*L57+AG50*L56+AG51*L55+AG52*L54+AG53*L53+AG54*L52+AG55*L51+AG56*L50+AG57*L49+AG58*L48+AG59*L47+AG60*L46+AG61*L45+AG62*L44+AG62</f>
        <v>203.56709461384796</v>
      </c>
      <c r="AC63" s="1">
        <f t="shared" si="80"/>
        <v>2.6810397663591952E-2</v>
      </c>
      <c r="AD63" s="40">
        <v>708.77005788108329</v>
      </c>
      <c r="AE63" s="40">
        <v>165.76414510390788</v>
      </c>
      <c r="AF63" s="51">
        <v>101.6</v>
      </c>
      <c r="AG63" s="40">
        <f t="shared" si="81"/>
        <v>6.9760832468610561</v>
      </c>
      <c r="AH63" s="2">
        <f t="shared" si="104"/>
        <v>514.98448968425237</v>
      </c>
      <c r="AI63" s="2">
        <f t="shared" si="105"/>
        <v>1037.9844896842524</v>
      </c>
      <c r="AJ63" s="29">
        <f t="shared" si="113"/>
        <v>5.0836603979602178E-2</v>
      </c>
      <c r="AK63" s="29">
        <f t="shared" si="106"/>
        <v>0.27553398229196968</v>
      </c>
      <c r="AL63" s="29">
        <f t="shared" si="107"/>
        <v>0.22832711119998889</v>
      </c>
      <c r="AM63" s="29">
        <f t="shared" si="108"/>
        <v>0.49613890650804143</v>
      </c>
      <c r="AO63" s="22">
        <f t="shared" si="82"/>
        <v>20</v>
      </c>
      <c r="AP63" s="22">
        <f t="shared" si="69"/>
        <v>2018</v>
      </c>
      <c r="AQ63" s="22">
        <v>51</v>
      </c>
      <c r="AR63" s="22">
        <v>1</v>
      </c>
      <c r="AS63" s="25">
        <f t="shared" si="70"/>
        <v>1</v>
      </c>
      <c r="AT63" s="26">
        <f t="shared" si="83"/>
        <v>0</v>
      </c>
      <c r="AU63" s="3">
        <f t="shared" si="71"/>
        <v>62.609349574309775</v>
      </c>
      <c r="AV63" s="3">
        <v>1.59745493107105</v>
      </c>
      <c r="AW63" s="1">
        <f t="shared" si="84"/>
        <v>5.6430745426255162E-3</v>
      </c>
      <c r="AX63" s="3">
        <f t="shared" si="72"/>
        <v>1.2451407070048719</v>
      </c>
      <c r="AY63" s="3"/>
      <c r="AZ63" s="22">
        <f t="shared" si="85"/>
        <v>20</v>
      </c>
      <c r="BA63" s="22">
        <f t="shared" si="73"/>
        <v>2018</v>
      </c>
      <c r="BB63" s="22">
        <v>51</v>
      </c>
      <c r="BC63" s="22">
        <v>0</v>
      </c>
      <c r="BD63" s="25">
        <f t="shared" si="74"/>
        <v>0.60784313725490191</v>
      </c>
      <c r="BE63" s="26">
        <f t="shared" si="86"/>
        <v>-3.1250000000000069E-2</v>
      </c>
      <c r="BF63" s="3">
        <f>+BF43*BD63+BG44*BD62+BG45*BD61+BG46*BD60+BG47*BD59+BG48*BD58+BG49*BD57+BG50*BD56+BG51*BD55+BG52*BD54+BG53*BD53+BG54*BD52+BG55*BD51+BG56*BD50+BG57*BD49+BG58*BD48+BG59*BD47+BG60*BD46+BG61*BD45+BG62*BD44+BG62</f>
        <v>52.98084449330274</v>
      </c>
      <c r="BG63" s="3">
        <v>1.59745493107105</v>
      </c>
      <c r="BH63" s="1">
        <f t="shared" si="87"/>
        <v>1.1914041673295168E-2</v>
      </c>
      <c r="BK63" s="22">
        <f t="shared" si="88"/>
        <v>20</v>
      </c>
      <c r="BL63" s="22">
        <f t="shared" si="75"/>
        <v>2018</v>
      </c>
      <c r="BM63" s="11">
        <v>3.5000000000000003E-2</v>
      </c>
      <c r="BN63" s="3">
        <f t="shared" si="89"/>
        <v>45.796598473466162</v>
      </c>
      <c r="BO63" s="3">
        <v>1.59745493107105</v>
      </c>
      <c r="BP63" s="1">
        <f t="shared" si="90"/>
        <v>-1.2277044642396563E-4</v>
      </c>
      <c r="BQ63" s="1">
        <v>4.5900000000000003E-2</v>
      </c>
      <c r="BR63" s="3">
        <f t="shared" si="76"/>
        <v>40.364210591371616</v>
      </c>
      <c r="BS63" s="3">
        <v>1.59745493107105</v>
      </c>
      <c r="BT63" s="1">
        <f t="shared" si="91"/>
        <v>-6.6063418052827848E-3</v>
      </c>
      <c r="BU63" s="22">
        <f t="shared" si="92"/>
        <v>2018</v>
      </c>
      <c r="BV63" s="10">
        <f t="shared" si="94"/>
        <v>142.44746534754321</v>
      </c>
      <c r="BW63" s="27">
        <v>237</v>
      </c>
      <c r="BX63" s="10">
        <v>101.6</v>
      </c>
      <c r="BY63" s="11">
        <f t="shared" si="121"/>
        <v>1.5873349156290163E-2</v>
      </c>
      <c r="BZ63" s="3">
        <f t="shared" si="97"/>
        <v>23.326771653543307</v>
      </c>
      <c r="CA63" s="1">
        <f>LN(BZ63/BZ62)</f>
        <v>5.4494203125311554E-3</v>
      </c>
      <c r="CB63" s="3">
        <v>286</v>
      </c>
      <c r="CC63" s="31">
        <v>1022</v>
      </c>
      <c r="CD63" s="31"/>
      <c r="CE63" s="31">
        <v>30.05</v>
      </c>
      <c r="CF63" s="11">
        <f t="shared" si="114"/>
        <v>3.1780903223684709E-2</v>
      </c>
      <c r="CG63" s="3">
        <f t="shared" si="95"/>
        <v>951.747088186356</v>
      </c>
      <c r="CH63" s="1">
        <f t="shared" si="99"/>
        <v>2.9499527994328607E-2</v>
      </c>
      <c r="CI63" s="6">
        <v>3671529</v>
      </c>
      <c r="CJ63" s="1">
        <f t="shared" ref="CJ63" si="144">LN(CI63/CI62)</f>
        <v>1.3336077678450848E-2</v>
      </c>
      <c r="CK63" s="3">
        <f t="shared" si="116"/>
        <v>127.4780187121746</v>
      </c>
      <c r="CL63" s="1">
        <f t="shared" ref="CL63" si="145">LN(CK63/CK62)</f>
        <v>2.2597158769527118E-2</v>
      </c>
      <c r="CM63" s="1">
        <f t="shared" si="117"/>
        <v>-9.2610810910762707E-3</v>
      </c>
      <c r="CN63" s="3">
        <f t="shared" si="110"/>
        <v>282.71177748677798</v>
      </c>
      <c r="CO63" s="1">
        <f t="shared" si="124"/>
        <v>3.750052630115136E-2</v>
      </c>
      <c r="CP63" s="33">
        <f t="shared" si="111"/>
        <v>142.44746534754321</v>
      </c>
      <c r="CQ63" s="3"/>
      <c r="CR63" s="3">
        <f t="shared" si="118"/>
        <v>119.01940491180264</v>
      </c>
      <c r="CS63" s="3" t="e">
        <f>+#REF!/CN63</f>
        <v>#REF!</v>
      </c>
      <c r="CT63" s="1">
        <f t="shared" si="125"/>
        <v>2.8238996244897941E-2</v>
      </c>
      <c r="CU63" s="12">
        <f t="shared" si="119"/>
        <v>0.42099202930224228</v>
      </c>
      <c r="CW63" s="3"/>
      <c r="CY63" s="19"/>
    </row>
    <row r="64" spans="1:103" x14ac:dyDescent="0.3">
      <c r="D64" s="45">
        <v>0.7407407407407407</v>
      </c>
      <c r="E64" s="45">
        <v>0.82644628099173556</v>
      </c>
      <c r="H64" s="22">
        <f t="shared" si="78"/>
        <v>21</v>
      </c>
      <c r="I64" s="22">
        <f t="shared" si="67"/>
        <v>2019</v>
      </c>
      <c r="J64" s="22">
        <v>51</v>
      </c>
      <c r="K64" s="22">
        <v>0.75</v>
      </c>
      <c r="L64" s="25">
        <f t="shared" si="66"/>
        <v>0.85106382978723405</v>
      </c>
      <c r="M64" s="26">
        <f t="shared" si="79"/>
        <v>-1.166781056966374E-2</v>
      </c>
      <c r="N64" s="26">
        <f t="shared" si="93"/>
        <v>1.5813556396948206E-2</v>
      </c>
      <c r="O64" s="26">
        <v>3.1E-2</v>
      </c>
      <c r="P64" s="10">
        <v>103.5</v>
      </c>
      <c r="Q64" s="9">
        <f t="shared" si="68"/>
        <v>1.8528077561042213E-2</v>
      </c>
      <c r="R64" s="9">
        <f t="shared" si="96"/>
        <v>1.6166783698944684E-2</v>
      </c>
      <c r="S64" s="26"/>
      <c r="T64" s="26"/>
      <c r="U64" s="26"/>
      <c r="V64" s="28">
        <v>0.26500000000000001</v>
      </c>
      <c r="W64" s="28">
        <v>0.75</v>
      </c>
      <c r="X64" s="28">
        <f t="shared" si="102"/>
        <v>0.80125000000000002</v>
      </c>
      <c r="Y64" s="28">
        <f t="shared" si="112"/>
        <v>0.73499999999999999</v>
      </c>
      <c r="Z64" s="28">
        <f t="shared" si="103"/>
        <v>1.6958484912041547</v>
      </c>
      <c r="AA64" s="9">
        <f t="shared" si="120"/>
        <v>-0.39995792892476362</v>
      </c>
      <c r="AB64" s="3">
        <f>+AB43*L64+AG44*L63+AG45*L62+AG46*L61+AG47*L60+AG48*L59+AG49*L58+AG50*L57+AG51*L56+AG52*L55+AG53*L54+AG54*L53+AG55*L52+AG56*L51+AG57*L50+AG58+L49*AG59*L48+AG60*L47+AG61*L46+AG62*L45+AG63*L44+AG63</f>
        <v>208.59813720144956</v>
      </c>
      <c r="AC64" s="1">
        <f t="shared" si="80"/>
        <v>2.4413958719535521E-2</v>
      </c>
      <c r="AD64" s="40">
        <v>853.8918000000001</v>
      </c>
      <c r="AE64" s="40">
        <v>202.21499391000003</v>
      </c>
      <c r="AF64" s="51">
        <v>103.5</v>
      </c>
      <c r="AG64" s="40">
        <f t="shared" si="81"/>
        <v>8.2501623188405802</v>
      </c>
      <c r="AH64" s="2">
        <f t="shared" si="104"/>
        <v>353.75083624107549</v>
      </c>
      <c r="AI64" s="2">
        <f t="shared" si="105"/>
        <v>894.75083624107549</v>
      </c>
      <c r="AJ64" s="29">
        <f t="shared" si="113"/>
        <v>-0.14849083685914077</v>
      </c>
      <c r="AK64" s="29">
        <f t="shared" si="106"/>
        <v>0.26264295095521234</v>
      </c>
      <c r="AL64" s="29">
        <f t="shared" si="107"/>
        <v>0.34199465103104243</v>
      </c>
      <c r="AM64" s="29">
        <f t="shared" si="108"/>
        <v>0.39536239801374523</v>
      </c>
      <c r="AO64" s="22">
        <f t="shared" si="82"/>
        <v>21</v>
      </c>
      <c r="AP64" s="22">
        <f t="shared" si="69"/>
        <v>2019</v>
      </c>
      <c r="AQ64" s="22">
        <v>51</v>
      </c>
      <c r="AR64" s="22">
        <v>1</v>
      </c>
      <c r="AS64" s="25">
        <f t="shared" si="70"/>
        <v>1</v>
      </c>
      <c r="AT64" s="26">
        <f t="shared" si="83"/>
        <v>0</v>
      </c>
      <c r="AU64" s="3">
        <f t="shared" si="71"/>
        <v>63.622938380893359</v>
      </c>
      <c r="AV64" s="3">
        <v>2.265775798069785</v>
      </c>
      <c r="AW64" s="1">
        <f t="shared" si="84"/>
        <v>1.6059450511822289E-2</v>
      </c>
      <c r="AX64" s="3">
        <f t="shared" si="72"/>
        <v>1.2521869914861956</v>
      </c>
      <c r="AY64" s="3"/>
      <c r="AZ64" s="22">
        <f t="shared" si="85"/>
        <v>21</v>
      </c>
      <c r="BA64" s="22">
        <f t="shared" si="73"/>
        <v>2019</v>
      </c>
      <c r="BB64" s="22">
        <v>51</v>
      </c>
      <c r="BC64" s="22">
        <v>0</v>
      </c>
      <c r="BD64" s="25">
        <f t="shared" si="74"/>
        <v>0.58823529411764708</v>
      </c>
      <c r="BE64" s="26">
        <f t="shared" si="86"/>
        <v>-3.225806451612892E-2</v>
      </c>
      <c r="BF64" s="3">
        <f>+BF43*BD64+BG44*BD63+BG45*BD62+BG46*BD61+BG47*BD60+BG48*BD59+BG49*BD58+BG50*BD57+BG51*BD56+BG52*BD55+BG53*BD54+BG54*BD53+BG55*BD52+BG56*BD51+BG57*BD50+BG58+BD49*BG59*BD48+BG60*BD47+BG61*BD46+BG62*BD45+BG63*BD44+BG63</f>
        <v>52.778645029508198</v>
      </c>
      <c r="BG64" s="3">
        <v>2.265775798069785</v>
      </c>
      <c r="BH64" s="1">
        <f t="shared" si="87"/>
        <v>-3.8237648663586713E-3</v>
      </c>
      <c r="BK64" s="22">
        <f t="shared" si="88"/>
        <v>21</v>
      </c>
      <c r="BL64" s="22">
        <f t="shared" si="75"/>
        <v>2019</v>
      </c>
      <c r="BM64" s="11">
        <v>3.5000000000000003E-2</v>
      </c>
      <c r="BN64" s="3">
        <f t="shared" si="89"/>
        <v>46.459493324964626</v>
      </c>
      <c r="BO64" s="3">
        <v>2.265775798069785</v>
      </c>
      <c r="BP64" s="1">
        <f t="shared" si="90"/>
        <v>1.4371002440542402E-2</v>
      </c>
      <c r="BQ64" s="1">
        <v>4.5900000000000003E-2</v>
      </c>
      <c r="BR64" s="3">
        <f t="shared" si="76"/>
        <v>40.777269123297437</v>
      </c>
      <c r="BS64" s="3">
        <v>2.265775798069785</v>
      </c>
      <c r="BT64" s="1">
        <f t="shared" si="91"/>
        <v>1.0181280929487307E-2</v>
      </c>
      <c r="BU64" s="22">
        <f t="shared" si="92"/>
        <v>2019</v>
      </c>
      <c r="BV64" s="10">
        <f t="shared" si="94"/>
        <v>145.58381847070254</v>
      </c>
      <c r="BW64">
        <v>306</v>
      </c>
      <c r="BX64" s="10">
        <v>103.5</v>
      </c>
      <c r="BY64" s="11">
        <f t="shared" si="121"/>
        <v>1.8528077561042213E-2</v>
      </c>
      <c r="BZ64" s="3">
        <f t="shared" si="97"/>
        <v>29.565217391304348</v>
      </c>
      <c r="CA64" s="1">
        <f t="shared" si="98"/>
        <v>0.23699688325620724</v>
      </c>
      <c r="CB64" s="3">
        <v>235</v>
      </c>
      <c r="CC64" s="31">
        <v>1049.73</v>
      </c>
      <c r="CD64" s="31"/>
      <c r="CE64" s="31">
        <v>30.85</v>
      </c>
      <c r="CF64" s="11">
        <f t="shared" si="114"/>
        <v>2.6274089370180213E-2</v>
      </c>
      <c r="CG64" s="3">
        <f t="shared" si="95"/>
        <v>761.75040518638571</v>
      </c>
      <c r="CH64" s="1">
        <f t="shared" si="99"/>
        <v>-0.22268038604587384</v>
      </c>
      <c r="CI64" s="6">
        <v>3716072.3333333335</v>
      </c>
      <c r="CJ64" s="1">
        <f t="shared" ref="CJ64" si="146">LN(CI64/CI63)</f>
        <v>1.2059089579751677E-2</v>
      </c>
      <c r="CK64" s="3">
        <f t="shared" si="116"/>
        <v>129.86403284465464</v>
      </c>
      <c r="CL64" s="1">
        <f t="shared" ref="CL64" si="147">LN(CK64/CK63)</f>
        <v>1.8544054446241052E-2</v>
      </c>
      <c r="CM64" s="1">
        <f t="shared" si="117"/>
        <v>-6.4849648664893744E-3</v>
      </c>
      <c r="CN64" s="3">
        <f t="shared" si="110"/>
        <v>240.77863829913127</v>
      </c>
      <c r="CO64" s="1">
        <f t="shared" si="124"/>
        <v>-0.16054992643889235</v>
      </c>
      <c r="CP64" s="39">
        <f t="shared" si="111"/>
        <v>145.58381847070254</v>
      </c>
      <c r="CQ64" s="3"/>
      <c r="CR64" s="3">
        <f t="shared" si="118"/>
        <v>100.82220065209998</v>
      </c>
      <c r="CS64" s="3" t="e">
        <f>+#REF!/CN64</f>
        <v>#REF!</v>
      </c>
      <c r="CT64" s="1">
        <f t="shared" si="125"/>
        <v>-0.16592797035189299</v>
      </c>
      <c r="CU64" s="12">
        <f t="shared" si="119"/>
        <v>0.41873399303323389</v>
      </c>
      <c r="CW64" s="3"/>
      <c r="CY64" s="19"/>
    </row>
    <row r="65" spans="1:103" x14ac:dyDescent="0.3">
      <c r="A65" s="2"/>
      <c r="B65" s="1"/>
      <c r="D65" s="45">
        <v>0.72499999999999998</v>
      </c>
      <c r="E65" s="45">
        <v>0.8146067415730337</v>
      </c>
      <c r="H65" s="22">
        <f t="shared" si="78"/>
        <v>22</v>
      </c>
      <c r="I65" s="22">
        <f t="shared" si="67"/>
        <v>2020</v>
      </c>
      <c r="J65" s="22">
        <v>51</v>
      </c>
      <c r="K65" s="22">
        <v>0.75</v>
      </c>
      <c r="L65" s="25">
        <f t="shared" si="66"/>
        <v>0.84057971014492749</v>
      </c>
      <c r="M65" s="26">
        <f t="shared" si="79"/>
        <v>-1.2318840579710203E-2</v>
      </c>
      <c r="N65" s="26">
        <f t="shared" si="93"/>
        <v>3.134941594311374E-3</v>
      </c>
      <c r="O65" s="26">
        <v>3.1E-2</v>
      </c>
      <c r="P65" s="10">
        <v>105.4</v>
      </c>
      <c r="Q65" s="9">
        <f t="shared" si="68"/>
        <v>1.8191023401838181E-2</v>
      </c>
      <c r="R65" s="9">
        <f t="shared" si="96"/>
        <v>1.7530816706390184E-2</v>
      </c>
      <c r="S65" s="26"/>
      <c r="T65" s="26"/>
      <c r="U65" s="26"/>
      <c r="V65" s="53">
        <v>0.26500000000000001</v>
      </c>
      <c r="W65" s="53">
        <v>0.75</v>
      </c>
      <c r="X65" s="53">
        <f t="shared" si="102"/>
        <v>0.80125000000000002</v>
      </c>
      <c r="Y65" s="53">
        <f t="shared" si="112"/>
        <v>0.73499999999999999</v>
      </c>
      <c r="Z65" s="53">
        <f t="shared" si="103"/>
        <v>3.1825937133695499</v>
      </c>
      <c r="AA65" s="9">
        <f t="shared" si="120"/>
        <v>0.62951329711635506</v>
      </c>
      <c r="AB65" s="3">
        <f>+AB43*L65+AG44*L64+AG45*L63+AG46*L62+AG47*L61+AG48*L60+AG49*L59+AG50*L58+AG51*L57+AG52*L56+AG53*L55+AG54*L54+AG55*L53+AG56*L52+AG57*L51+AG58*L50+AG59*L49+AG60*L48+AG61*L47+AG62*L46+AG63*L45+AG64*L44+AG65</f>
        <v>215.65571604627274</v>
      </c>
      <c r="AC65" s="1">
        <f t="shared" si="80"/>
        <v>3.3273616345341726E-2</v>
      </c>
      <c r="AD65" s="40">
        <v>812.7944</v>
      </c>
      <c r="AE65" s="40">
        <v>210.53456523000006</v>
      </c>
      <c r="AF65" s="51">
        <v>105.4</v>
      </c>
      <c r="AG65" s="40">
        <f t="shared" si="81"/>
        <v>7.7115218216318784</v>
      </c>
      <c r="AH65" s="2">
        <f t="shared" si="104"/>
        <v>686.34452614107636</v>
      </c>
      <c r="AI65" s="2">
        <f t="shared" si="105"/>
        <v>1246.3445261410764</v>
      </c>
      <c r="AJ65" s="29">
        <f t="shared" si="113"/>
        <v>0.33142488260360226</v>
      </c>
      <c r="AK65" s="29">
        <f t="shared" si="106"/>
        <v>0.17250446846000245</v>
      </c>
      <c r="AL65" s="29">
        <f t="shared" si="107"/>
        <v>0.27680949590093418</v>
      </c>
      <c r="AM65" s="29">
        <f t="shared" si="108"/>
        <v>0.55068603563906338</v>
      </c>
      <c r="AO65" s="22">
        <f t="shared" si="82"/>
        <v>22</v>
      </c>
      <c r="AP65" s="22">
        <f t="shared" si="69"/>
        <v>2020</v>
      </c>
      <c r="AQ65" s="22">
        <v>51</v>
      </c>
      <c r="AR65" s="22">
        <v>1</v>
      </c>
      <c r="AS65" s="25">
        <f t="shared" si="70"/>
        <v>1</v>
      </c>
      <c r="AT65" s="26">
        <f t="shared" si="83"/>
        <v>0</v>
      </c>
      <c r="AU65" s="3">
        <f t="shared" si="71"/>
        <v>64.555482748945479</v>
      </c>
      <c r="AV65" s="3">
        <v>2.2050031356699882</v>
      </c>
      <c r="AW65" s="1">
        <f t="shared" si="84"/>
        <v>1.4550980013974257E-2</v>
      </c>
      <c r="AX65" s="3">
        <f t="shared" si="72"/>
        <v>1.2724587676178671</v>
      </c>
      <c r="AY65" s="3"/>
      <c r="AZ65" s="22">
        <f t="shared" si="85"/>
        <v>22</v>
      </c>
      <c r="BA65" s="22">
        <f t="shared" si="73"/>
        <v>2020</v>
      </c>
      <c r="BB65" s="22">
        <v>51</v>
      </c>
      <c r="BC65" s="22">
        <v>0</v>
      </c>
      <c r="BD65" s="25">
        <f t="shared" si="74"/>
        <v>0.56862745098039214</v>
      </c>
      <c r="BE65" s="26">
        <f t="shared" si="86"/>
        <v>-3.3333333333333402E-2</v>
      </c>
      <c r="BF65" s="3">
        <f>+BF43*BD65+BG44*BD64+BG45*BD63+BG46*BD62+BG47*BD61+BG48*BD60+BG49*BD59+BG50*BD58+BG51*BD57+BG52*BD56+BG53*BD55+BG54*BD54+BG55*BD53+BG56*BD52+BG57*BD51+BG58*BD50+BG59*BD49+BG60*BD48+BG61*BD47+BG62*BD46+BG63*BD45+BG64*BD44+BG65</f>
        <v>54.214317892255259</v>
      </c>
      <c r="BG65" s="3">
        <v>2.2050031356699882</v>
      </c>
      <c r="BH65" s="1">
        <f t="shared" si="87"/>
        <v>2.6838382611764383E-2</v>
      </c>
      <c r="BK65" s="22">
        <f t="shared" si="88"/>
        <v>22</v>
      </c>
      <c r="BL65" s="22">
        <f t="shared" si="75"/>
        <v>2020</v>
      </c>
      <c r="BM65" s="11">
        <v>3.5000000000000003E-2</v>
      </c>
      <c r="BN65" s="3">
        <f t="shared" si="89"/>
        <v>47.038414194260852</v>
      </c>
      <c r="BO65" s="3">
        <v>2.2050031356699882</v>
      </c>
      <c r="BP65" s="1">
        <f t="shared" si="90"/>
        <v>1.2383769501115144E-2</v>
      </c>
      <c r="BQ65" s="1">
        <v>4.5900000000000003E-2</v>
      </c>
      <c r="BR65" s="3">
        <f t="shared" si="76"/>
        <v>41.110595606208072</v>
      </c>
      <c r="BS65" s="3">
        <v>2.2050031356699882</v>
      </c>
      <c r="BT65" s="1">
        <f t="shared" si="91"/>
        <v>8.141092090022577E-3</v>
      </c>
      <c r="BU65" s="22">
        <f t="shared" si="92"/>
        <v>2020</v>
      </c>
      <c r="BV65" s="10">
        <f t="shared" si="94"/>
        <v>149.04559253663069</v>
      </c>
      <c r="BW65">
        <v>345</v>
      </c>
      <c r="BX65" s="10">
        <v>105.4</v>
      </c>
      <c r="BY65" s="11">
        <f t="shared" si="121"/>
        <v>1.8191023401838181E-2</v>
      </c>
      <c r="BZ65" s="3">
        <f t="shared" si="97"/>
        <v>32.732447817836814</v>
      </c>
      <c r="CA65" s="1">
        <f t="shared" si="98"/>
        <v>0.10176829167714091</v>
      </c>
      <c r="CB65">
        <v>215</v>
      </c>
      <c r="CC65" s="31">
        <v>1126.3</v>
      </c>
      <c r="CD65" s="31"/>
      <c r="CE65" s="31">
        <v>32.69</v>
      </c>
      <c r="CF65" s="11">
        <f t="shared" si="114"/>
        <v>5.7932470384722268E-2</v>
      </c>
      <c r="CG65" s="3">
        <f t="shared" si="95"/>
        <v>657.69348424594682</v>
      </c>
      <c r="CH65" s="1">
        <f t="shared" si="99"/>
        <v>-0.14687995640121845</v>
      </c>
      <c r="CI65" s="6">
        <v>3757239.583333333</v>
      </c>
      <c r="CJ65" s="1">
        <f t="shared" ref="CJ65" si="148">LN(CI65/CI64)</f>
        <v>1.1017248273353989E-2</v>
      </c>
      <c r="CK65" s="3">
        <f t="shared" si="116"/>
        <v>131.86218599504156</v>
      </c>
      <c r="CL65" s="1">
        <f t="shared" ref="CL65" si="149">LN(CK65/CK64)</f>
        <v>1.5269329774831751E-2</v>
      </c>
      <c r="CM65" s="1">
        <f t="shared" si="117"/>
        <v>-4.2520815014777617E-3</v>
      </c>
      <c r="CN65" s="3">
        <f t="shared" si="110"/>
        <v>331.71814000621947</v>
      </c>
      <c r="CO65" s="1">
        <f t="shared" si="124"/>
        <v>0.32040763433024821</v>
      </c>
      <c r="CP65" s="39">
        <f t="shared" si="111"/>
        <v>149.04559253663069</v>
      </c>
      <c r="CQ65" s="3"/>
      <c r="CR65" s="3">
        <f t="shared" si="118"/>
        <v>138.29188126546956</v>
      </c>
      <c r="CS65" s="3" t="e">
        <f>+#REF!/CN65</f>
        <v>#REF!</v>
      </c>
      <c r="CT65" s="1">
        <f t="shared" si="125"/>
        <v>0.31600795720339858</v>
      </c>
      <c r="CU65" s="12">
        <f t="shared" si="119"/>
        <v>0.41689574547498875</v>
      </c>
      <c r="CW65" s="3"/>
      <c r="CY65" s="19"/>
    </row>
    <row r="66" spans="1:103" x14ac:dyDescent="0.3">
      <c r="A66" s="2"/>
      <c r="B66" s="1"/>
      <c r="D66" s="45">
        <v>0.70886075949367089</v>
      </c>
      <c r="E66" s="45">
        <v>0.80229226361031503</v>
      </c>
      <c r="H66" s="22">
        <v>23</v>
      </c>
      <c r="I66" s="22">
        <v>2021</v>
      </c>
      <c r="J66" s="22">
        <v>51</v>
      </c>
      <c r="K66" s="22">
        <v>0.75</v>
      </c>
      <c r="L66" s="25">
        <f t="shared" si="66"/>
        <v>0.82962962962962961</v>
      </c>
      <c r="M66" s="26">
        <f t="shared" si="79"/>
        <v>-1.3026819923371626E-2</v>
      </c>
      <c r="N66" s="26">
        <f t="shared" si="93"/>
        <v>9.4955960427018683E-3</v>
      </c>
      <c r="O66" s="26">
        <v>3.1E-2</v>
      </c>
      <c r="P66" s="10">
        <v>109.4</v>
      </c>
      <c r="Q66" s="9">
        <f t="shared" si="68"/>
        <v>3.7248253880618781E-2</v>
      </c>
      <c r="R66" s="9">
        <f t="shared" si="96"/>
        <v>2.4655784947833059E-2</v>
      </c>
      <c r="S66" s="26"/>
      <c r="T66" s="26"/>
      <c r="U66" s="26"/>
      <c r="V66" s="53">
        <v>0.26500000000000001</v>
      </c>
      <c r="W66" s="53">
        <v>0.75</v>
      </c>
      <c r="X66" s="53">
        <f t="shared" si="102"/>
        <v>0.80125000000000002</v>
      </c>
      <c r="Y66" s="53">
        <f t="shared" si="112"/>
        <v>0.73499999999999999</v>
      </c>
      <c r="Z66" s="53">
        <f t="shared" si="103"/>
        <v>2.5377560733257711</v>
      </c>
      <c r="AA66" s="9">
        <f t="shared" si="120"/>
        <v>-0.22641624260658413</v>
      </c>
      <c r="AB66" s="3">
        <f>+AB43*L66+AG44*L65+AG45*L64+AG46*L63+AG47*L62+AG48*L61+AG49*L60+AG50*L59+AG51*L58+AG52*L57+AG53*L56+AG54*L55+AG55*L54+AG56*L53+AG57*L52+AG58*L51+AG59*L50+AG60*L49+AG61*L48+AG62*L47+AG63*L46+AG64*L45+AG65*L44+AG66</f>
        <v>224.69294562316554</v>
      </c>
      <c r="AC66" s="1">
        <f t="shared" si="80"/>
        <v>4.1051555183500801E-2</v>
      </c>
      <c r="AD66" s="40">
        <v>974.16419999999994</v>
      </c>
      <c r="AE66" s="40">
        <v>238.53580000000005</v>
      </c>
      <c r="AF66" s="51">
        <v>109.4</v>
      </c>
      <c r="AG66" s="40">
        <f>+(AD66+AE66)/AF66</f>
        <v>11.085009140767824</v>
      </c>
      <c r="AH66" s="2">
        <f t="shared" si="104"/>
        <v>570.21588738864557</v>
      </c>
      <c r="AI66" s="2">
        <f t="shared" si="105"/>
        <v>1110.2158873886456</v>
      </c>
      <c r="AJ66" s="29">
        <f t="shared" ref="AJ66:AJ67" si="150">LN(AI66/AI65)</f>
        <v>-0.11566039831997048</v>
      </c>
      <c r="AK66" s="29">
        <f t="shared" si="106"/>
        <v>0.20176256036731158</v>
      </c>
      <c r="AL66" s="29">
        <f t="shared" si="107"/>
        <v>0.2846293262324574</v>
      </c>
      <c r="AM66" s="29">
        <f t="shared" si="108"/>
        <v>0.51360811340023105</v>
      </c>
      <c r="BU66" s="22">
        <v>2021</v>
      </c>
      <c r="BV66" s="10">
        <f t="shared" si="94"/>
        <v>142.23803113063693</v>
      </c>
      <c r="BW66" s="27">
        <v>316</v>
      </c>
      <c r="BX66" s="10">
        <v>109.4</v>
      </c>
      <c r="BY66" s="11">
        <f t="shared" si="121"/>
        <v>3.7248253880618781E-2</v>
      </c>
      <c r="BZ66" s="3">
        <f t="shared" si="97"/>
        <v>28.884826325411332</v>
      </c>
      <c r="CA66" s="1">
        <f t="shared" si="98"/>
        <v>-0.12505045732506664</v>
      </c>
      <c r="CB66" s="3">
        <v>224</v>
      </c>
      <c r="CE66" s="31">
        <v>33.880000000000003</v>
      </c>
      <c r="CF66" s="11">
        <f t="shared" si="114"/>
        <v>3.5755649047734449E-2</v>
      </c>
      <c r="CG66" s="3">
        <f t="shared" si="95"/>
        <v>661.15702479338836</v>
      </c>
      <c r="CH66" s="1">
        <f>LN(CG66/CG65)</f>
        <v>5.2523746796424853E-3</v>
      </c>
      <c r="CI66" s="6">
        <v>3796453</v>
      </c>
      <c r="CJ66" s="1">
        <f>LN(CI66/CI65)</f>
        <v>1.038267536054565E-2</v>
      </c>
      <c r="CK66" s="3">
        <f t="shared" si="116"/>
        <v>130.25337620971283</v>
      </c>
      <c r="CL66" s="1">
        <f t="shared" ref="CL66:CL67" si="151">LN(CK66/CK65)</f>
        <v>-1.2275730405713125E-2</v>
      </c>
      <c r="CM66" s="1">
        <f t="shared" ref="CM66:CM67" si="152">+CJ66-CL66</f>
        <v>2.2658405766258775E-2</v>
      </c>
      <c r="CN66" s="3">
        <f t="shared" si="110"/>
        <v>292.43504065206275</v>
      </c>
      <c r="CO66" s="1">
        <f t="shared" si="124"/>
        <v>-0.1260430736805162</v>
      </c>
      <c r="CP66" s="39">
        <f t="shared" si="111"/>
        <v>142.23803113063693</v>
      </c>
      <c r="CQ66" s="3"/>
      <c r="CR66" s="3">
        <f t="shared" si="118"/>
        <v>124.71450688315002</v>
      </c>
      <c r="CS66" s="3">
        <f>+CY66-CJ66</f>
        <v>-1.038267536054565E-2</v>
      </c>
      <c r="CT66" s="1">
        <f t="shared" si="125"/>
        <v>-0.10333935296775057</v>
      </c>
      <c r="CU66" s="12">
        <f t="shared" si="119"/>
        <v>0.42646909414502931</v>
      </c>
      <c r="CY66" s="19"/>
    </row>
    <row r="67" spans="1:103" x14ac:dyDescent="0.3">
      <c r="A67" s="2"/>
      <c r="B67" s="1"/>
      <c r="D67" s="45">
        <v>0.69230769230769229</v>
      </c>
      <c r="E67" s="45">
        <v>0.78947368421052622</v>
      </c>
      <c r="H67" s="22">
        <v>24</v>
      </c>
      <c r="I67" s="22">
        <v>2022</v>
      </c>
      <c r="J67" s="22">
        <v>51</v>
      </c>
      <c r="K67" s="22">
        <v>0.75</v>
      </c>
      <c r="L67" s="25">
        <f t="shared" si="66"/>
        <v>0.81818181818181823</v>
      </c>
      <c r="M67" s="26">
        <f t="shared" si="79"/>
        <v>-1.379870129870121E-2</v>
      </c>
      <c r="N67" s="26">
        <f t="shared" si="93"/>
        <v>9.7348120804033149E-3</v>
      </c>
      <c r="O67" s="26">
        <v>3.1E-2</v>
      </c>
      <c r="P67" s="10">
        <v>116.5</v>
      </c>
      <c r="Q67" s="9">
        <f t="shared" si="68"/>
        <v>6.2880383017874408E-2</v>
      </c>
      <c r="R67" s="9">
        <f t="shared" si="96"/>
        <v>3.9439886766777121E-2</v>
      </c>
      <c r="V67" s="53">
        <v>0.26500000000000001</v>
      </c>
      <c r="W67" s="53">
        <v>0.75</v>
      </c>
      <c r="X67" s="53">
        <f t="shared" ref="X67" si="153">1-(V67*W67)</f>
        <v>0.80125000000000002</v>
      </c>
      <c r="Y67" s="53">
        <f t="shared" ref="Y67" si="154">+(1-V67)</f>
        <v>0.73499999999999999</v>
      </c>
      <c r="Z67" s="53">
        <f t="shared" si="103"/>
        <v>2.6577021058847921</v>
      </c>
      <c r="AA67" s="9">
        <f t="shared" ref="AA67" si="155">LN(Z67/Z66)</f>
        <v>4.6181624602157835E-2</v>
      </c>
      <c r="AB67" s="3">
        <f>+AB43*L67+AG44*L66+AG45*L65+AG46*L64+AG47*L63+AG48*L62+AG49*L61+AG50*L60+AG51*L59+AG52*L58+AG53*L57+AG54*L56+AG55*L55+AG56*L54+AG57*L53+AG58*L52+AG59*L51+AG60*L50+AG61*L49+AG62*L48+AG63*L47+AG64*L46+AG65*L45+AG66*L44+AG67*L43</f>
        <v>234.44465781572316</v>
      </c>
      <c r="AC67" s="1">
        <f t="shared" si="80"/>
        <v>4.2484775194934606E-2</v>
      </c>
      <c r="AD67" s="40">
        <v>1136.5412000000001</v>
      </c>
      <c r="AE67" s="40">
        <v>254.35879999999997</v>
      </c>
      <c r="AF67" s="51">
        <v>116.5</v>
      </c>
      <c r="AG67" s="40">
        <f>+(AD67+AE67)/AF67</f>
        <v>11.939055793991416</v>
      </c>
      <c r="AH67" s="2">
        <f t="shared" si="104"/>
        <v>623.08406079028691</v>
      </c>
      <c r="AI67" s="2">
        <f t="shared" si="105"/>
        <v>1217.0840607902869</v>
      </c>
      <c r="AJ67" s="29">
        <f t="shared" si="150"/>
        <v>9.1903394200829339E-2</v>
      </c>
      <c r="AK67" s="1">
        <f t="shared" si="106"/>
        <v>0.19554935247895688</v>
      </c>
      <c r="AL67" s="1">
        <f t="shared" si="107"/>
        <v>0.29250239278364981</v>
      </c>
      <c r="AM67" s="1">
        <f t="shared" si="108"/>
        <v>0.51194825473739336</v>
      </c>
      <c r="BU67" s="22">
        <v>2022</v>
      </c>
      <c r="BV67" s="10">
        <f t="shared" si="94"/>
        <v>154.96548952463291</v>
      </c>
      <c r="BW67" s="27">
        <v>356</v>
      </c>
      <c r="BX67" s="10">
        <v>116.5</v>
      </c>
      <c r="BY67" s="11">
        <f t="shared" si="121"/>
        <v>6.2880383017874408E-2</v>
      </c>
      <c r="BZ67" s="3">
        <f t="shared" si="97"/>
        <v>30.557939914163089</v>
      </c>
      <c r="CA67" s="1">
        <f t="shared" si="98"/>
        <v>5.6308134247243916E-2</v>
      </c>
      <c r="CB67" s="3">
        <v>238</v>
      </c>
      <c r="CE67" s="3">
        <v>34.93</v>
      </c>
      <c r="CF67" s="11">
        <f t="shared" si="114"/>
        <v>3.0521189034886913E-2</v>
      </c>
      <c r="CG67" s="3">
        <f t="shared" ref="CG67" si="156">+(CB67*100)/CE67</f>
        <v>681.36272545090185</v>
      </c>
      <c r="CH67" s="1">
        <f>LN(CG67/CG66)</f>
        <v>3.0103432781548155E-2</v>
      </c>
      <c r="CI67" s="35">
        <v>3833111.5</v>
      </c>
      <c r="CJ67" s="1">
        <f>LN(CI67/CI66)</f>
        <v>9.609665690370358E-3</v>
      </c>
      <c r="CK67" s="3">
        <f t="shared" si="116"/>
        <v>136.11439863064027</v>
      </c>
      <c r="CL67" s="1">
        <f t="shared" si="151"/>
        <v>4.4014097262219012E-2</v>
      </c>
      <c r="CM67" s="1">
        <f t="shared" si="152"/>
        <v>-3.4404431571848651E-2</v>
      </c>
      <c r="CN67" s="3">
        <f>+AI67*1000000/CI67</f>
        <v>317.51856443265137</v>
      </c>
      <c r="CO67" s="1">
        <f t="shared" si="124"/>
        <v>8.2293728510458963E-2</v>
      </c>
      <c r="CP67" s="39">
        <f t="shared" si="111"/>
        <v>154.96548952463291</v>
      </c>
      <c r="CQ67" s="1"/>
      <c r="CR67" s="3">
        <f t="shared" si="118"/>
        <v>130.83231401536153</v>
      </c>
      <c r="CS67" s="10"/>
      <c r="CT67" s="1">
        <f t="shared" si="125"/>
        <v>4.7889277371487411E-2</v>
      </c>
      <c r="CU67" s="12">
        <f t="shared" si="119"/>
        <v>0.41204618775325902</v>
      </c>
      <c r="CY67" s="19"/>
    </row>
    <row r="68" spans="1:103" x14ac:dyDescent="0.3">
      <c r="A68" s="2"/>
      <c r="B68" s="1"/>
      <c r="H68" s="22"/>
      <c r="J68" s="22"/>
      <c r="K68" s="22"/>
      <c r="M68" s="26"/>
      <c r="N68" s="26"/>
      <c r="O68" s="26"/>
      <c r="P68" s="3"/>
      <c r="Q68" s="9"/>
      <c r="R68" s="9"/>
      <c r="V68" s="28"/>
      <c r="W68" s="28"/>
      <c r="X68" s="28"/>
      <c r="Y68" s="28"/>
      <c r="Z68" s="28"/>
      <c r="AA68" s="9"/>
      <c r="AB68" s="3"/>
      <c r="AC68" s="1"/>
      <c r="AD68" s="2"/>
      <c r="AE68" s="2"/>
      <c r="AF68" s="3"/>
      <c r="AG68" s="2"/>
      <c r="AH68" s="2"/>
      <c r="AI68" s="2"/>
      <c r="AJ68" s="29"/>
      <c r="AK68" s="1"/>
      <c r="AL68" s="1"/>
      <c r="AM68" s="1"/>
      <c r="BU68" s="22"/>
      <c r="BV68" s="10"/>
      <c r="BW68" s="27"/>
      <c r="BX68" s="3"/>
      <c r="BY68" s="11"/>
      <c r="BZ68" s="3"/>
      <c r="CA68" s="1"/>
      <c r="CB68" s="3"/>
      <c r="CE68" s="3"/>
      <c r="CF68" s="11"/>
      <c r="CG68" s="3"/>
      <c r="CH68" s="1"/>
      <c r="CI68" s="35"/>
      <c r="CJ68" s="1"/>
      <c r="CK68" s="3"/>
      <c r="CL68" s="1"/>
      <c r="CM68" s="1"/>
      <c r="CO68" s="1"/>
      <c r="CP68" s="39"/>
      <c r="CQ68" s="1"/>
      <c r="CR68" s="3"/>
      <c r="CS68" s="10"/>
      <c r="CT68" s="1"/>
      <c r="CU68" s="12"/>
      <c r="CY68" s="19"/>
    </row>
    <row r="69" spans="1:103" x14ac:dyDescent="0.3">
      <c r="A69" s="2"/>
      <c r="B69" s="1"/>
      <c r="H69" s="1"/>
      <c r="J69" s="22" t="s">
        <v>55</v>
      </c>
      <c r="N69" s="26"/>
      <c r="O69" s="26"/>
      <c r="P69" s="26"/>
      <c r="Q69" s="1">
        <f>AVERAGE(Q52:Q67)</f>
        <v>2.1416979436006834E-2</v>
      </c>
      <c r="R69" s="9"/>
      <c r="AA69" s="1">
        <f>AVERAGE(AA52:AA67)</f>
        <v>8.5641279624312054E-3</v>
      </c>
      <c r="AC69" s="1">
        <f>AVERAGE(AC52:AC67)</f>
        <v>3.5447720732528165E-2</v>
      </c>
      <c r="AJ69" s="1">
        <f>AVERAGE(AJ52:AJ67)</f>
        <v>3.600491731029367E-2</v>
      </c>
      <c r="AK69" s="1">
        <f>AVERAGE(AK52:AK67)</f>
        <v>0.26135048529817645</v>
      </c>
      <c r="AL69" s="1">
        <f>AVERAGE(AL52:AL67)</f>
        <v>0.27086534258212069</v>
      </c>
      <c r="AM69" s="1">
        <f>AVERAGE(AM52:AM67)</f>
        <v>0.46778417211970291</v>
      </c>
      <c r="AN69" s="1" t="e">
        <f t="shared" ref="AN69:BT69" si="157">AVERAGE(AN52:AN66)</f>
        <v>#DIV/0!</v>
      </c>
      <c r="AO69" s="1">
        <f t="shared" si="157"/>
        <v>15.5</v>
      </c>
      <c r="AP69" s="1">
        <f t="shared" si="157"/>
        <v>2013.5</v>
      </c>
      <c r="AQ69" s="1">
        <f t="shared" si="157"/>
        <v>51</v>
      </c>
      <c r="AR69" s="1">
        <f t="shared" si="157"/>
        <v>1</v>
      </c>
      <c r="AS69" s="1">
        <f t="shared" si="157"/>
        <v>1</v>
      </c>
      <c r="AT69" s="1">
        <f t="shared" si="157"/>
        <v>0</v>
      </c>
      <c r="AU69" s="1">
        <f t="shared" si="157"/>
        <v>56.389390963992113</v>
      </c>
      <c r="AV69" s="1">
        <f t="shared" si="157"/>
        <v>2.2518694020360956</v>
      </c>
      <c r="AW69" s="1">
        <f t="shared" si="157"/>
        <v>2.0429965339818223E-2</v>
      </c>
      <c r="AX69" s="1">
        <f t="shared" si="157"/>
        <v>1.1048473788154287</v>
      </c>
      <c r="AY69" s="1" t="e">
        <f t="shared" si="157"/>
        <v>#DIV/0!</v>
      </c>
      <c r="AZ69" s="1">
        <f t="shared" si="157"/>
        <v>15.5</v>
      </c>
      <c r="BA69" s="1">
        <f t="shared" si="157"/>
        <v>2013.5</v>
      </c>
      <c r="BB69" s="1">
        <f t="shared" si="157"/>
        <v>51</v>
      </c>
      <c r="BC69" s="1">
        <f t="shared" si="157"/>
        <v>0</v>
      </c>
      <c r="BD69" s="1">
        <f t="shared" si="157"/>
        <v>0.69607843137254899</v>
      </c>
      <c r="BE69" s="1">
        <f t="shared" si="157"/>
        <v>-2.7738915929626396E-2</v>
      </c>
      <c r="BF69" s="1">
        <f t="shared" si="157"/>
        <v>46.548619283632135</v>
      </c>
      <c r="BG69" s="1">
        <f t="shared" si="157"/>
        <v>2.2518694020360956</v>
      </c>
      <c r="BH69" s="1">
        <f t="shared" si="157"/>
        <v>2.4360090675419128E-2</v>
      </c>
      <c r="BI69" s="1" t="e">
        <f t="shared" si="157"/>
        <v>#DIV/0!</v>
      </c>
      <c r="BJ69" s="1" t="e">
        <f t="shared" si="157"/>
        <v>#DIV/0!</v>
      </c>
      <c r="BK69" s="1">
        <f t="shared" si="157"/>
        <v>15.5</v>
      </c>
      <c r="BL69" s="1">
        <f t="shared" si="157"/>
        <v>2013.5</v>
      </c>
      <c r="BM69" s="1">
        <f t="shared" si="157"/>
        <v>3.5000000000000017E-2</v>
      </c>
      <c r="BN69" s="1">
        <f t="shared" si="157"/>
        <v>40.945962335240338</v>
      </c>
      <c r="BO69" s="1">
        <f t="shared" si="157"/>
        <v>2.2518694020360956</v>
      </c>
      <c r="BP69" s="1">
        <f t="shared" si="157"/>
        <v>2.078963859205336E-2</v>
      </c>
      <c r="BQ69" s="1">
        <f t="shared" si="157"/>
        <v>4.590000000000001E-2</v>
      </c>
      <c r="BR69" s="1">
        <f t="shared" si="157"/>
        <v>36.625526349277393</v>
      </c>
      <c r="BS69" s="1">
        <f t="shared" si="157"/>
        <v>2.2518694020360956</v>
      </c>
      <c r="BT69" s="1">
        <f t="shared" si="157"/>
        <v>1.6271680103933948E-2</v>
      </c>
      <c r="BU69" s="1"/>
      <c r="BV69" s="10"/>
      <c r="BX69" s="4"/>
      <c r="BY69" s="11">
        <f>AVERAGE(BY52:BY67)</f>
        <v>2.1416979436006834E-2</v>
      </c>
      <c r="CA69" s="1">
        <f>AVERAGE(CA52:CA67)</f>
        <v>1.3999460154669737E-2</v>
      </c>
      <c r="CF69" s="1">
        <f>AVERAGE(CF52:CF67)</f>
        <v>2.7129349948330883E-2</v>
      </c>
      <c r="CH69" s="1">
        <f>AVERAGE(CH52:CH66)</f>
        <v>-1.0063843833193144E-2</v>
      </c>
      <c r="CI69" s="6"/>
      <c r="CJ69" s="1">
        <f>AVERAGE(CJ52:CJ67)</f>
        <v>1.4499629610606567E-2</v>
      </c>
      <c r="CL69" s="1">
        <f>AVERAGE(CL52:CL67)</f>
        <v>1.9270344535471041E-2</v>
      </c>
      <c r="CM69" s="1">
        <f>AVERAGE(CM52:CM67)</f>
        <v>-4.7707149248644729E-3</v>
      </c>
      <c r="CN69" s="55">
        <f>+(CN67+CN66+CN65)/3</f>
        <v>313.8905816969779</v>
      </c>
      <c r="CO69" s="1">
        <f>AVERAGE(CO52:CO67)</f>
        <v>2.1505287699687087E-2</v>
      </c>
      <c r="CP69" s="3">
        <f>+(CP65+CP66+CP67)/3</f>
        <v>148.74970439730018</v>
      </c>
      <c r="CQ69" t="s">
        <v>51</v>
      </c>
      <c r="CS69" s="3" t="e">
        <f>+(CS63+CS64+CS65)/3</f>
        <v>#REF!</v>
      </c>
      <c r="CT69" s="1">
        <f>AVERAGE(CT52:CT67)</f>
        <v>1.6796641973157667E-2</v>
      </c>
      <c r="CU69" s="12">
        <f>+(CU64+CU65+CU66)/3</f>
        <v>0.42069961088441737</v>
      </c>
      <c r="CY69" s="19"/>
    </row>
    <row r="70" spans="1:103" x14ac:dyDescent="0.3">
      <c r="A70" s="2"/>
      <c r="B70" s="1"/>
      <c r="H70" s="1"/>
      <c r="J70" s="22" t="s">
        <v>86</v>
      </c>
      <c r="AJ70" s="1"/>
      <c r="AK70" s="1"/>
      <c r="BX70" s="4"/>
      <c r="BY70" s="4"/>
      <c r="CA70" s="1"/>
      <c r="CI70" s="6"/>
      <c r="CJ70" s="1"/>
      <c r="CM70" s="54"/>
      <c r="CN70" s="42">
        <f>+CN69*0.84</f>
        <v>263.66808862546145</v>
      </c>
      <c r="CO70" s="42"/>
      <c r="CP70" s="42">
        <f>+CP69*0.84</f>
        <v>124.94975169373214</v>
      </c>
      <c r="CQ70" s="60" t="s">
        <v>52</v>
      </c>
      <c r="CR70" s="14"/>
      <c r="CS70" s="3" t="e">
        <f>+((#REF!+#REF!+#REF!)/3)/CN71</f>
        <v>#REF!</v>
      </c>
      <c r="CY70" s="19"/>
    </row>
    <row r="71" spans="1:103" x14ac:dyDescent="0.3">
      <c r="A71" s="2"/>
      <c r="B71" s="1"/>
      <c r="H71" s="1"/>
      <c r="BX71" s="4"/>
      <c r="BY71" s="4"/>
      <c r="CI71" s="6"/>
      <c r="CL71" s="3"/>
      <c r="CM71" s="54"/>
      <c r="CN71" s="55"/>
      <c r="CO71" s="57"/>
      <c r="CP71" s="38"/>
      <c r="CY71" s="19"/>
    </row>
    <row r="72" spans="1:103" x14ac:dyDescent="0.3">
      <c r="A72" s="2"/>
      <c r="B72" s="1"/>
      <c r="H72" s="1"/>
      <c r="BX72" s="4"/>
      <c r="BY72" s="36"/>
      <c r="CL72" s="3"/>
      <c r="CM72" s="56"/>
      <c r="CN72" s="58"/>
      <c r="CO72" s="56"/>
      <c r="CY72" s="19"/>
    </row>
    <row r="73" spans="1:103" x14ac:dyDescent="0.3">
      <c r="A73" s="2"/>
      <c r="B73" s="1"/>
      <c r="H73" s="1"/>
      <c r="BX73" s="4"/>
      <c r="BY73" s="4"/>
      <c r="CL73" s="3"/>
      <c r="CM73" s="56"/>
      <c r="CN73" s="56"/>
      <c r="CO73" s="56"/>
      <c r="CY73" s="19"/>
    </row>
    <row r="74" spans="1:103" x14ac:dyDescent="0.3">
      <c r="A74" s="2"/>
      <c r="B74" s="1"/>
      <c r="H74" s="1"/>
      <c r="BX74" s="4"/>
      <c r="BY74" s="4"/>
      <c r="CM74" s="56"/>
      <c r="CN74" s="56"/>
      <c r="CO74" s="56"/>
      <c r="CY74" s="19"/>
    </row>
    <row r="75" spans="1:103" x14ac:dyDescent="0.3">
      <c r="A75" s="2"/>
      <c r="B75" s="1"/>
      <c r="H75" s="1"/>
      <c r="BX75" s="4"/>
      <c r="BY75" s="4"/>
      <c r="CL75" s="3"/>
      <c r="CM75" s="54"/>
      <c r="CN75" s="56"/>
      <c r="CO75" s="54"/>
      <c r="CY75" s="19"/>
    </row>
    <row r="76" spans="1:103" x14ac:dyDescent="0.3">
      <c r="A76" s="2"/>
      <c r="B76" s="1"/>
      <c r="H76" s="1"/>
      <c r="BX76" s="4"/>
      <c r="BY76" s="4"/>
      <c r="CM76" s="54"/>
      <c r="CN76" s="56"/>
      <c r="CO76" s="54"/>
      <c r="CY76" s="19"/>
    </row>
    <row r="77" spans="1:103" x14ac:dyDescent="0.3">
      <c r="A77" s="2"/>
      <c r="B77" s="1"/>
      <c r="H77" s="1"/>
      <c r="BX77" s="4"/>
      <c r="BY77" s="4"/>
      <c r="CM77" s="54"/>
      <c r="CN77" s="59"/>
      <c r="CO77" s="54"/>
    </row>
    <row r="78" spans="1:103" x14ac:dyDescent="0.3">
      <c r="A78" s="2"/>
      <c r="B78" s="1"/>
      <c r="H78" s="1"/>
      <c r="BX78" s="4"/>
      <c r="BY78" s="4"/>
      <c r="CM78" s="54"/>
      <c r="CN78" s="56"/>
      <c r="CO78" s="54"/>
    </row>
    <row r="79" spans="1:103" x14ac:dyDescent="0.3">
      <c r="A79" s="2"/>
      <c r="B79" s="1"/>
      <c r="H79" s="1"/>
      <c r="BX79" s="4"/>
      <c r="BY79" s="4"/>
    </row>
    <row r="80" spans="1:103" x14ac:dyDescent="0.3">
      <c r="A80" s="2"/>
      <c r="B80" s="1"/>
      <c r="H80" s="1"/>
      <c r="BX80" s="4"/>
      <c r="BY80" s="4"/>
    </row>
    <row r="81" spans="1:77" x14ac:dyDescent="0.3">
      <c r="A81" s="2"/>
      <c r="B81" s="1"/>
      <c r="H81" s="1"/>
      <c r="BX81" s="4"/>
      <c r="BY81" s="4"/>
    </row>
    <row r="82" spans="1:77" x14ac:dyDescent="0.3">
      <c r="A82" s="2"/>
      <c r="B82" s="1"/>
      <c r="H82" s="1"/>
      <c r="BX82" s="4"/>
      <c r="BY82" s="4"/>
    </row>
    <row r="83" spans="1:77" x14ac:dyDescent="0.3">
      <c r="A83" s="2"/>
      <c r="B83" s="1"/>
      <c r="H83" s="1"/>
      <c r="BX83" s="4"/>
      <c r="BY83" s="4"/>
    </row>
    <row r="84" spans="1:77" x14ac:dyDescent="0.3">
      <c r="A84" s="2"/>
      <c r="B84" s="1"/>
      <c r="H84" s="1"/>
      <c r="I84" s="1"/>
      <c r="BX84" s="4"/>
      <c r="BY84" s="4"/>
    </row>
    <row r="85" spans="1:77" x14ac:dyDescent="0.3">
      <c r="A85" s="2"/>
      <c r="B85" s="1"/>
      <c r="BX85" s="4"/>
      <c r="BY85" s="4"/>
    </row>
    <row r="86" spans="1:77" x14ac:dyDescent="0.3">
      <c r="A86" s="2"/>
      <c r="B86" s="1"/>
      <c r="BX86" s="4"/>
      <c r="BY86" s="4"/>
    </row>
    <row r="87" spans="1:77" x14ac:dyDescent="0.3">
      <c r="A87" s="2"/>
      <c r="B87" s="1"/>
      <c r="BX87" s="4"/>
      <c r="BY87" s="4"/>
    </row>
    <row r="88" spans="1:77" x14ac:dyDescent="0.3">
      <c r="B88" s="1"/>
      <c r="BX88" s="4"/>
      <c r="BY88" s="4"/>
    </row>
    <row r="89" spans="1:77" x14ac:dyDescent="0.3">
      <c r="B89" s="1"/>
      <c r="BX89" s="4"/>
      <c r="BY89" s="4"/>
    </row>
    <row r="90" spans="1:77" x14ac:dyDescent="0.3">
      <c r="BX90" s="4"/>
      <c r="BY90" s="4"/>
    </row>
    <row r="91" spans="1:77" x14ac:dyDescent="0.3">
      <c r="BX91" s="4"/>
      <c r="BY91" s="4"/>
    </row>
    <row r="92" spans="1:77" x14ac:dyDescent="0.3">
      <c r="BX92" s="4"/>
      <c r="BY92" s="4"/>
    </row>
    <row r="93" spans="1:77" x14ac:dyDescent="0.3">
      <c r="BX93" s="4"/>
      <c r="BY93" s="4"/>
    </row>
    <row r="94" spans="1:77" x14ac:dyDescent="0.3">
      <c r="BX94" s="4"/>
      <c r="BY94" s="4"/>
    </row>
    <row r="95" spans="1:77" x14ac:dyDescent="0.3">
      <c r="BX95" s="4"/>
      <c r="BY95" s="4"/>
    </row>
    <row r="96" spans="1:77" x14ac:dyDescent="0.3">
      <c r="BX96" s="4"/>
      <c r="BY96" s="4"/>
    </row>
  </sheetData>
  <mergeCells count="6">
    <mergeCell ref="A3:G3"/>
    <mergeCell ref="DB8:DF8"/>
    <mergeCell ref="I6:AG6"/>
    <mergeCell ref="AP6:AV6"/>
    <mergeCell ref="AZ6:BH6"/>
    <mergeCell ref="BK6:BO6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TFP Calcs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2024-08-01T23:11:26Z</dcterms:created>
  <dcterms:modified xsi:type="dcterms:W3CDTF">2024-08-01T23:11:31Z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2024-08-01T23:11:31Z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61d00fb7-6e88-454e-8bb4-e6d8a9ab2526</vt:lpwstr>
  </property>
  <property fmtid="{D5CDD505-2E9C-101B-9397-08002B2CF9AE}" pid="8" name="MSIP_Label_b1a6f161-e42b-4c47-8f69-f6a81e023e2d_ContentBits">
    <vt:lpwstr>0</vt:lpwstr>
  </property>
</Properties>
</file>