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5 EDR Application\0. Applications and Adjudication Process\A. Complete Application and Evidence_IRM\Attachments\"/>
    </mc:Choice>
  </mc:AlternateContent>
  <xr:revisionPtr revIDLastSave="0" documentId="13_ncr:1_{D48A16D1-CA4A-419A-975A-3DD2444A1716}" xr6:coauthVersionLast="47" xr6:coauthVersionMax="47" xr10:uidLastSave="{00000000-0000-0000-0000-000000000000}"/>
  <bookViews>
    <workbookView xWindow="-120" yWindow="-120" windowWidth="29040" windowHeight="15840" activeTab="2" xr2:uid="{40FC9014-7E3C-4F78-955F-E2F2735F47D6}"/>
  </bookViews>
  <sheets>
    <sheet name="BRZ" sheetId="1" r:id="rId1"/>
    <sheet name="ERZ" sheetId="4" r:id="rId2"/>
    <sheet name="GRZ" sheetId="5" r:id="rId3"/>
    <sheet name="HRZ" sheetId="2" r:id="rId4"/>
    <sheet name="PRZ" sheetId="3" r:id="rId5"/>
  </sheets>
  <definedNames>
    <definedName name="_xlnm.Print_Area" localSheetId="0">BRZ!$A$1:$J$21</definedName>
    <definedName name="_xlnm.Print_Area" localSheetId="1">ERZ!$A$1:$K$18</definedName>
    <definedName name="_xlnm.Print_Area" localSheetId="2">GRZ!$A$1:$J$20</definedName>
    <definedName name="_xlnm.Print_Area" localSheetId="3">HRZ!$A$1:$J$19</definedName>
    <definedName name="_xlnm.Print_Area" localSheetId="4">PRZ!$A$1:$J$18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I18" i="1" l="1"/>
  <c r="H18" i="1"/>
  <c r="G18" i="1"/>
  <c r="F18" i="1"/>
  <c r="E18" i="1"/>
  <c r="D18" i="1"/>
  <c r="I17" i="5"/>
  <c r="G17" i="5"/>
  <c r="F17" i="5"/>
  <c r="E17" i="5"/>
  <c r="D17" i="5"/>
  <c r="C17" i="5"/>
  <c r="B3" i="3"/>
  <c r="B3" i="2"/>
  <c r="B4" i="5"/>
  <c r="E8" i="3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8" i="3"/>
  <c r="C15" i="3"/>
  <c r="D15" i="3" l="1"/>
  <c r="D11" i="2" l="1"/>
  <c r="D15" i="2"/>
  <c r="E15" i="2" s="1"/>
  <c r="D14" i="2"/>
  <c r="D13" i="2"/>
  <c r="D12" i="2"/>
  <c r="D8" i="2"/>
  <c r="E11" i="2" l="1"/>
  <c r="D10" i="2"/>
  <c r="E10" i="2" s="1"/>
  <c r="E8" i="2"/>
  <c r="E13" i="2"/>
  <c r="C16" i="2"/>
  <c r="D9" i="2"/>
  <c r="E9" i="2" s="1"/>
  <c r="E14" i="2"/>
  <c r="E12" i="2"/>
  <c r="D16" i="2" l="1"/>
  <c r="D11" i="5"/>
  <c r="E11" i="5" s="1"/>
  <c r="D9" i="5"/>
  <c r="E9" i="5" s="1"/>
  <c r="D16" i="5"/>
  <c r="E16" i="5" s="1"/>
  <c r="D15" i="5"/>
  <c r="D14" i="5"/>
  <c r="D13" i="5"/>
  <c r="D12" i="5"/>
  <c r="E15" i="5" l="1"/>
  <c r="D10" i="5"/>
  <c r="E14" i="5"/>
  <c r="E13" i="5"/>
  <c r="E12" i="5"/>
  <c r="E10" i="5" l="1"/>
  <c r="D8" i="4"/>
  <c r="E8" i="4" s="1"/>
  <c r="D14" i="4"/>
  <c r="D13" i="4"/>
  <c r="D12" i="4"/>
  <c r="E12" i="4" s="1"/>
  <c r="D11" i="4"/>
  <c r="E11" i="4" s="1"/>
  <c r="D10" i="4"/>
  <c r="D9" i="4"/>
  <c r="E9" i="4" l="1"/>
  <c r="E10" i="4"/>
  <c r="E14" i="4"/>
  <c r="E13" i="4"/>
  <c r="D15" i="4"/>
  <c r="C15" i="4"/>
  <c r="E15" i="4" l="1"/>
  <c r="B3" i="4"/>
  <c r="D8" i="1" l="1"/>
  <c r="E8" i="1" s="1"/>
  <c r="F8" i="1" s="1"/>
  <c r="D15" i="1"/>
  <c r="E15" i="1" s="1"/>
  <c r="D16" i="1"/>
  <c r="E16" i="1" s="1"/>
  <c r="D17" i="1"/>
  <c r="E17" i="1" s="1"/>
  <c r="D12" i="1"/>
  <c r="D11" i="1"/>
  <c r="F17" i="1" l="1"/>
  <c r="G17" i="1" s="1"/>
  <c r="D10" i="1"/>
  <c r="E10" i="1" s="1"/>
  <c r="F15" i="1"/>
  <c r="G15" i="1" s="1"/>
  <c r="F16" i="1"/>
  <c r="G16" i="1" s="1"/>
  <c r="E12" i="1"/>
  <c r="G8" i="1"/>
  <c r="E11" i="1"/>
  <c r="D9" i="1"/>
  <c r="D14" i="1"/>
  <c r="E14" i="1" s="1"/>
  <c r="D13" i="1"/>
  <c r="E13" i="1" s="1"/>
  <c r="F10" i="1" l="1"/>
  <c r="G10" i="1"/>
  <c r="F13" i="1"/>
  <c r="G13" i="1" s="1"/>
  <c r="F11" i="1"/>
  <c r="G11" i="1" s="1"/>
  <c r="F12" i="1"/>
  <c r="G12" i="1"/>
  <c r="F14" i="1"/>
  <c r="G14" i="1" s="1"/>
  <c r="E9" i="1"/>
  <c r="F9" i="1" l="1"/>
  <c r="G9" i="1" s="1"/>
  <c r="E16" i="2" l="1"/>
  <c r="C18" i="1"/>
  <c r="I15" i="4"/>
  <c r="H15" i="4"/>
  <c r="A15" i="3" l="1"/>
  <c r="A14" i="3"/>
  <c r="A13" i="3"/>
  <c r="A11" i="3"/>
  <c r="A10" i="3"/>
  <c r="A14" i="2"/>
  <c r="A13" i="2"/>
  <c r="A11" i="2"/>
  <c r="A15" i="5"/>
  <c r="A13" i="5"/>
  <c r="A15" i="4"/>
  <c r="A14" i="4"/>
  <c r="A13" i="4"/>
  <c r="A12" i="3" s="1"/>
  <c r="A12" i="4"/>
  <c r="A9" i="4"/>
  <c r="A8" i="4"/>
  <c r="A10" i="5"/>
  <c r="A9" i="2"/>
  <c r="A9" i="3"/>
  <c r="A8" i="3"/>
  <c r="A8" i="2"/>
  <c r="A9" i="5"/>
  <c r="F5" i="4" l="1"/>
  <c r="H17" i="5" l="1"/>
  <c r="I15" i="3"/>
  <c r="H16" i="2"/>
  <c r="I16" i="2"/>
  <c r="H3" i="5"/>
  <c r="G3" i="3"/>
  <c r="F12" i="3" l="1"/>
  <c r="G12" i="3" s="1"/>
  <c r="F8" i="3"/>
  <c r="G8" i="3" s="1"/>
  <c r="F14" i="3"/>
  <c r="G14" i="3" s="1"/>
  <c r="F11" i="3"/>
  <c r="G11" i="3" s="1"/>
  <c r="F10" i="3"/>
  <c r="G10" i="3" s="1"/>
  <c r="F13" i="3"/>
  <c r="G13" i="3" s="1"/>
  <c r="F9" i="3"/>
  <c r="G9" i="3" s="1"/>
  <c r="E15" i="3"/>
  <c r="J5" i="4"/>
  <c r="I5" i="4"/>
  <c r="H5" i="4"/>
  <c r="B5" i="4"/>
  <c r="F15" i="3" l="1"/>
  <c r="G15" i="3"/>
  <c r="G3" i="2" l="1"/>
  <c r="F15" i="2" l="1"/>
  <c r="G15" i="2" s="1"/>
  <c r="F11" i="2"/>
  <c r="G11" i="2" s="1"/>
  <c r="F10" i="2"/>
  <c r="G10" i="2" s="1"/>
  <c r="F13" i="2"/>
  <c r="G13" i="2" s="1"/>
  <c r="F12" i="2"/>
  <c r="G12" i="2" s="1"/>
  <c r="F14" i="2"/>
  <c r="G14" i="2" s="1"/>
  <c r="F8" i="2"/>
  <c r="G8" i="2" s="1"/>
  <c r="F9" i="2"/>
  <c r="G9" i="2" s="1"/>
  <c r="G4" i="5"/>
  <c r="F16" i="2" l="1"/>
  <c r="G16" i="2"/>
  <c r="F16" i="5"/>
  <c r="G16" i="5" s="1"/>
  <c r="J16" i="5" s="1"/>
  <c r="F9" i="5"/>
  <c r="G9" i="5" s="1"/>
  <c r="F14" i="5"/>
  <c r="G14" i="5" s="1"/>
  <c r="J14" i="5" s="1"/>
  <c r="F12" i="5"/>
  <c r="G12" i="5" s="1"/>
  <c r="J12" i="5" s="1"/>
  <c r="F13" i="5"/>
  <c r="G13" i="5" s="1"/>
  <c r="J13" i="5" s="1"/>
  <c r="F11" i="5"/>
  <c r="G11" i="5" s="1"/>
  <c r="J11" i="5" s="1"/>
  <c r="F15" i="5"/>
  <c r="G15" i="5" s="1"/>
  <c r="J15" i="5" s="1"/>
  <c r="F10" i="5"/>
  <c r="G10" i="5" s="1"/>
  <c r="J10" i="5" s="1"/>
  <c r="J9" i="5" l="1"/>
  <c r="H3" i="4"/>
  <c r="F12" i="4" l="1"/>
  <c r="G12" i="4" s="1"/>
  <c r="J12" i="4" s="1"/>
  <c r="F11" i="4"/>
  <c r="G11" i="4" s="1"/>
  <c r="J11" i="4" s="1"/>
  <c r="F8" i="4"/>
  <c r="F10" i="4"/>
  <c r="G10" i="4" s="1"/>
  <c r="J10" i="4" s="1"/>
  <c r="F9" i="4"/>
  <c r="G9" i="4" s="1"/>
  <c r="J9" i="4" s="1"/>
  <c r="F14" i="4"/>
  <c r="G14" i="4" s="1"/>
  <c r="J14" i="4" s="1"/>
  <c r="F13" i="4"/>
  <c r="G13" i="4" s="1"/>
  <c r="J13" i="4" s="1"/>
  <c r="G8" i="4" l="1"/>
  <c r="F15" i="4"/>
  <c r="H2" i="5"/>
  <c r="J8" i="4" l="1"/>
  <c r="G15" i="4"/>
  <c r="J14" i="1"/>
  <c r="I2" i="4" l="1"/>
  <c r="H2" i="3" l="1"/>
  <c r="J10" i="3" l="1"/>
  <c r="J13" i="3"/>
  <c r="J14" i="3"/>
  <c r="J11" i="3"/>
  <c r="J8" i="3"/>
  <c r="J12" i="3"/>
  <c r="J9" i="3"/>
  <c r="H2" i="2" l="1"/>
  <c r="J9" i="2"/>
  <c r="J17" i="1"/>
  <c r="J16" i="1"/>
  <c r="H2" i="1"/>
  <c r="J11" i="1" l="1"/>
  <c r="J13" i="2"/>
  <c r="J12" i="2"/>
  <c r="J11" i="2"/>
  <c r="J10" i="2"/>
  <c r="J8" i="2"/>
  <c r="J15" i="2"/>
  <c r="J14" i="2"/>
  <c r="J13" i="1"/>
  <c r="J10" i="1"/>
  <c r="J9" i="1"/>
  <c r="J15" i="1"/>
  <c r="J12" i="1"/>
  <c r="J8" i="1" l="1"/>
</calcChain>
</file>

<file path=xl/sharedStrings.xml><?xml version="1.0" encoding="utf-8"?>
<sst xmlns="http://schemas.openxmlformats.org/spreadsheetml/2006/main" count="175" uniqueCount="49">
  <si>
    <t>Rate Class</t>
  </si>
  <si>
    <t>Unit</t>
  </si>
  <si>
    <t>LRAM Proposed Rate Rider Recovery Period (in months)</t>
  </si>
  <si>
    <t>Total Metered kWh</t>
  </si>
  <si>
    <t>Metered kW 
or kVA</t>
  </si>
  <si>
    <t>Residential Service Classification</t>
  </si>
  <si>
    <t>General Service less than 50 kW Service Classification</t>
  </si>
  <si>
    <t>General Service 50 to 699 kW Service Classification</t>
  </si>
  <si>
    <t>General Service 700 to 4,999 kW Service Classification</t>
  </si>
  <si>
    <t>Large Use Service Classification</t>
  </si>
  <si>
    <t>Unmetered Scattered Load Service Classification</t>
  </si>
  <si>
    <t>Street Lighting Service Classification</t>
  </si>
  <si>
    <t>Total</t>
  </si>
  <si>
    <t>General Service 50 to 499 kW Service Classification</t>
  </si>
  <si>
    <t>General Service 500 to 4,999 kW Service Classification</t>
  </si>
  <si>
    <t>General Service 50 to 999 kW Service Classification</t>
  </si>
  <si>
    <t>General Service 1,000 to 4,999 kW Service Classification</t>
  </si>
  <si>
    <t>General Service 50 to 4,999 kW Service Classification</t>
  </si>
  <si>
    <t>Large Use with Dedicated Assets Service Classification</t>
  </si>
  <si>
    <t>Sentinel Lighting Service Classification</t>
  </si>
  <si>
    <t>A</t>
  </si>
  <si>
    <t>B</t>
  </si>
  <si>
    <t>D</t>
  </si>
  <si>
    <t>LRAM Proposed Rate Rider Recovery Period for Street Lighting (in months)</t>
  </si>
  <si>
    <t>kWh</t>
  </si>
  <si>
    <t>kW</t>
  </si>
  <si>
    <t/>
  </si>
  <si>
    <t>Embedded Distributor Service Classification</t>
  </si>
  <si>
    <t>Distributed Generation [Dgen] Service Classification</t>
  </si>
  <si>
    <t>Energy From Waste Service Classification</t>
  </si>
  <si>
    <t>(1) Source: LRAMVA Workform, 1. LRAMVA Summary.</t>
  </si>
  <si>
    <t>BRZ</t>
  </si>
  <si>
    <t>ERZ</t>
  </si>
  <si>
    <t>GRZ</t>
  </si>
  <si>
    <t>HRZ</t>
  </si>
  <si>
    <t>PRZ</t>
  </si>
  <si>
    <t>2025 PCI</t>
  </si>
  <si>
    <t>2025 Prospective LRAMVA Rate Rider</t>
  </si>
  <si>
    <t xml:space="preserve">3.3% Adjustment  </t>
  </si>
  <si>
    <t xml:space="preserve">4.5%% Adjustment  </t>
  </si>
  <si>
    <t xml:space="preserve">2025 Total LRAMVA Eligible Amount in 2023 Rates (1) </t>
  </si>
  <si>
    <t>(1) Source: 2024 LRAMVA Workform, 1. LRAMVA Summary.</t>
  </si>
  <si>
    <t>2025 Prospective LRAMVA Balance in 2024 Rates</t>
  </si>
  <si>
    <t>2025 Prospective LRAMVA Balance in 2025 Rates</t>
  </si>
  <si>
    <t>C=A+B</t>
  </si>
  <si>
    <t>E=C+D</t>
  </si>
  <si>
    <t>F</t>
  </si>
  <si>
    <t>G</t>
  </si>
  <si>
    <t>H=E/F or H=E/G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</si>
</sst>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;[Red]\(#,##0\)"/>
    <numFmt numFmtId="165" formatCode="0.0%"/>
    <numFmt numFmtId="166" formatCode="_ #,##0;[Red]\(#,##0\)"/>
    <numFmt numFmtId="167" formatCode="_ #,##0.0000;[Red]\(#,##0.0000\)"/>
    <numFmt numFmtId="168" formatCode="_(&quot;$&quot;* #,##0.0000_);_(&quot;$&quot;* \(#,##0.00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0" xfId="0" applyFont="1"/>
    <xf numFmtId="0" fontId="6" fillId="2" borderId="0" xfId="0" applyFont="1" applyFill="1"/>
    <xf numFmtId="165" fontId="0" fillId="0" borderId="0" xfId="1" applyNumberFormat="1" applyFont="1" applyProtection="1"/>
    <xf numFmtId="166" fontId="0" fillId="0" borderId="0" xfId="0" applyNumberFormat="1" applyAlignment="1">
      <alignment horizontal="right" vertical="top"/>
    </xf>
    <xf numFmtId="9" fontId="0" fillId="0" borderId="0" xfId="1" applyFont="1" applyAlignment="1" applyProtection="1">
      <alignment horizontal="right" vertical="top"/>
    </xf>
    <xf numFmtId="0" fontId="3" fillId="3" borderId="2" xfId="4" applyFont="1" applyFill="1" applyBorder="1" applyAlignment="1" applyProtection="1">
      <alignment horizontal="center"/>
      <protection locked="0"/>
    </xf>
    <xf numFmtId="0" fontId="3" fillId="0" borderId="0" xfId="4" applyFont="1" applyAlignment="1">
      <alignment horizontal="right" vertical="top" indent="2"/>
    </xf>
    <xf numFmtId="0" fontId="9" fillId="0" borderId="0" xfId="0" applyFont="1"/>
    <xf numFmtId="166" fontId="9" fillId="2" borderId="4" xfId="0" applyNumberFormat="1" applyFont="1" applyFill="1" applyBorder="1" applyAlignment="1">
      <alignment horizontal="right" vertical="top"/>
    </xf>
    <xf numFmtId="167" fontId="9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/>
    <xf numFmtId="166" fontId="9" fillId="2" borderId="0" xfId="0" applyNumberFormat="1" applyFont="1" applyFill="1"/>
    <xf numFmtId="164" fontId="9" fillId="2" borderId="0" xfId="0" applyNumberFormat="1" applyFont="1" applyFill="1"/>
    <xf numFmtId="0" fontId="7" fillId="0" borderId="0" xfId="0" applyFont="1"/>
    <xf numFmtId="0" fontId="10" fillId="0" borderId="0" xfId="0" applyFont="1"/>
    <xf numFmtId="165" fontId="9" fillId="0" borderId="0" xfId="1" applyNumberFormat="1" applyFont="1" applyProtection="1"/>
    <xf numFmtId="0" fontId="3" fillId="0" borderId="1" xfId="4" applyFont="1" applyBorder="1" applyAlignment="1">
      <alignment horizontal="right" vertical="top" indent="2"/>
    </xf>
    <xf numFmtId="10" fontId="3" fillId="3" borderId="2" xfId="4" applyNumberFormat="1" applyFont="1" applyFill="1" applyBorder="1" applyAlignment="1" applyProtection="1">
      <alignment horizontal="center"/>
      <protection locked="0"/>
    </xf>
    <xf numFmtId="0" fontId="9" fillId="2" borderId="0" xfId="0" quotePrefix="1" applyFont="1" applyFill="1" applyAlignment="1">
      <alignment horizontal="left" vertical="top" wrapText="1"/>
    </xf>
    <xf numFmtId="166" fontId="9" fillId="2" borderId="4" xfId="0" applyNumberFormat="1" applyFont="1" applyFill="1" applyBorder="1" applyAlignment="1">
      <alignment horizontal="center" vertical="top"/>
    </xf>
    <xf numFmtId="0" fontId="11" fillId="0" borderId="0" xfId="0" applyFont="1"/>
    <xf numFmtId="166" fontId="11" fillId="2" borderId="2" xfId="0" applyNumberFormat="1" applyFont="1" applyFill="1" applyBorder="1" applyAlignment="1">
      <alignment horizontal="right" vertical="top"/>
    </xf>
    <xf numFmtId="0" fontId="11" fillId="0" borderId="2" xfId="0" applyFont="1" applyBorder="1"/>
    <xf numFmtId="0" fontId="9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/>
    </xf>
    <xf numFmtId="164" fontId="9" fillId="2" borderId="4" xfId="0" applyNumberFormat="1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top"/>
    </xf>
    <xf numFmtId="6" fontId="11" fillId="2" borderId="2" xfId="0" applyNumberFormat="1" applyFont="1" applyFill="1" applyBorder="1" applyAlignment="1">
      <alignment horizontal="right" vertical="top"/>
    </xf>
    <xf numFmtId="0" fontId="9" fillId="2" borderId="7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166" fontId="11" fillId="0" borderId="2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6" fontId="11" fillId="0" borderId="2" xfId="0" applyNumberFormat="1" applyFont="1" applyBorder="1" applyAlignment="1">
      <alignment horizontal="right"/>
    </xf>
    <xf numFmtId="6" fontId="11" fillId="0" borderId="2" xfId="5" applyNumberFormat="1" applyFont="1" applyFill="1" applyBorder="1" applyAlignment="1" applyProtection="1">
      <alignment horizontal="right"/>
      <protection locked="0"/>
    </xf>
    <xf numFmtId="167" fontId="11" fillId="0" borderId="2" xfId="0" applyNumberFormat="1" applyFont="1" applyBorder="1" applyAlignment="1">
      <alignment horizontal="center" vertical="center"/>
    </xf>
    <xf numFmtId="6" fontId="11" fillId="0" borderId="2" xfId="0" applyNumberFormat="1" applyFont="1" applyBorder="1" applyAlignment="1">
      <alignment horizontal="right" vertical="top"/>
    </xf>
    <xf numFmtId="6" fontId="9" fillId="2" borderId="2" xfId="0" applyNumberFormat="1" applyFont="1" applyFill="1" applyBorder="1" applyAlignment="1">
      <alignment horizontal="right"/>
    </xf>
    <xf numFmtId="8" fontId="9" fillId="2" borderId="2" xfId="0" applyNumberFormat="1" applyFont="1" applyFill="1" applyBorder="1" applyAlignment="1">
      <alignment horizontal="right" vertical="top"/>
    </xf>
    <xf numFmtId="8" fontId="9" fillId="2" borderId="7" xfId="0" applyNumberFormat="1" applyFont="1" applyFill="1" applyBorder="1" applyAlignment="1">
      <alignment horizontal="right" vertical="top"/>
    </xf>
    <xf numFmtId="0" fontId="11" fillId="2" borderId="9" xfId="0" applyFont="1" applyFill="1" applyBorder="1" applyAlignment="1">
      <alignment horizontal="center" vertical="top"/>
    </xf>
    <xf numFmtId="8" fontId="9" fillId="0" borderId="2" xfId="0" applyNumberFormat="1" applyFont="1" applyBorder="1" applyAlignment="1">
      <alignment vertical="top"/>
    </xf>
    <xf numFmtId="8" fontId="11" fillId="0" borderId="2" xfId="0" applyNumberFormat="1" applyFont="1" applyBorder="1" applyAlignment="1">
      <alignment horizontal="center" vertical="top"/>
    </xf>
    <xf numFmtId="6" fontId="11" fillId="0" borderId="2" xfId="0" applyNumberFormat="1" applyFont="1" applyBorder="1" applyAlignment="1">
      <alignment horizontal="center" vertical="top"/>
    </xf>
    <xf numFmtId="168" fontId="9" fillId="2" borderId="4" xfId="5" applyNumberFormat="1" applyFont="1" applyFill="1" applyBorder="1" applyAlignment="1">
      <alignment horizontal="center" vertical="center"/>
    </xf>
    <xf numFmtId="0" fontId="3" fillId="0" borderId="0" xfId="4" applyFont="1" applyAlignment="1">
      <alignment vertical="top"/>
    </xf>
    <xf numFmtId="0" fontId="2" fillId="2" borderId="0" xfId="0" quotePrefix="1" applyFont="1" applyFill="1" applyAlignment="1">
      <alignment horizontal="left" vertical="top" wrapText="1"/>
    </xf>
    <xf numFmtId="0" fontId="8" fillId="4" borderId="3" xfId="3" applyFont="1" applyFill="1" applyBorder="1" applyAlignment="1">
      <alignment horizontal="center" vertical="center" wrapText="1"/>
    </xf>
    <xf numFmtId="0" fontId="3" fillId="0" borderId="0" xfId="4" applyFont="1" applyAlignment="1">
      <alignment horizontal="right" vertical="top" indent="2"/>
    </xf>
    <xf numFmtId="0" fontId="8" fillId="4" borderId="3" xfId="4" applyFont="1" applyFill="1" applyBorder="1" applyAlignment="1">
      <alignment horizontal="center" wrapText="1"/>
    </xf>
    <xf numFmtId="0" fontId="8" fillId="4" borderId="3" xfId="3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5" xfId="4" applyFont="1" applyFill="1" applyBorder="1" applyAlignment="1">
      <alignment horizontal="center"/>
    </xf>
    <xf numFmtId="0" fontId="8" fillId="4" borderId="6" xfId="4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5" xfId="4" applyFont="1" applyFill="1" applyBorder="1" applyAlignment="1">
      <alignment horizontal="center" wrapText="1"/>
    </xf>
    <xf numFmtId="0" fontId="8" fillId="4" borderId="6" xfId="4" applyFont="1" applyFill="1" applyBorder="1" applyAlignment="1">
      <alignment horizontal="center" wrapText="1"/>
    </xf>
    <xf numFmtId="0" fontId="8" fillId="4" borderId="8" xfId="4" applyFont="1" applyFill="1" applyBorder="1" applyAlignment="1">
      <alignment horizontal="center" wrapText="1"/>
    </xf>
  </cellXfs>
  <cellStyles count="6">
    <cellStyle name="Currency" xfId="5" builtinId="4"/>
    <cellStyle name="Normal" xfId="0" builtinId="0"/>
    <cellStyle name="Normal 2" xfId="2" xr:uid="{1D7514ED-B327-456D-B453-94A7698B5477}"/>
    <cellStyle name="Normal_6. Cost Allocation for Def-Var" xfId="3" xr:uid="{1C85FCF2-6085-4773-8D66-DB8BAF13C80F}"/>
    <cellStyle name="Normal_Sheet7" xfId="4" xr:uid="{A2E3AD5D-CDAC-4803-8A08-16C0E1363DB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0E67-189F-4D48-960E-2C21D49324A0}">
  <sheetPr>
    <pageSetUpPr fitToPage="1"/>
  </sheetPr>
  <dimension ref="A1:J24"/>
  <sheetViews>
    <sheetView showGridLines="0" zoomScaleNormal="100" zoomScaleSheetLayoutView="100" workbookViewId="0">
      <selection activeCell="H16" sqref="H16"/>
    </sheetView>
  </sheetViews>
  <sheetFormatPr defaultColWidth="9.140625" defaultRowHeight="15" x14ac:dyDescent="0.25"/>
  <cols>
    <col min="1" max="1" width="52" customWidth="1"/>
    <col min="2" max="2" width="6.7109375" customWidth="1"/>
    <col min="3" max="5" width="16.7109375" customWidth="1"/>
    <col min="6" max="6" width="11.140625" bestFit="1" customWidth="1"/>
    <col min="7" max="7" width="16.7109375" customWidth="1"/>
    <col min="8" max="8" width="13.7109375" bestFit="1" customWidth="1"/>
    <col min="9" max="9" width="11.85546875" bestFit="1" customWidth="1"/>
    <col min="10" max="10" width="16.710937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</row>
    <row r="2" spans="1:10" x14ac:dyDescent="0.25">
      <c r="A2" s="59" t="s">
        <v>2</v>
      </c>
      <c r="B2" s="59"/>
      <c r="C2" s="2"/>
      <c r="D2" s="2"/>
      <c r="E2" s="2"/>
      <c r="F2" s="2"/>
      <c r="G2" s="9">
        <v>12</v>
      </c>
      <c r="H2" s="4" t="str">
        <f>IF(G2&gt;0, "Rate Rider Recovery to be used below", "If no rate rider recovery period is proposed then the default recovery period of 12 months will be used")</f>
        <v>Rate Rider Recovery to be used below</v>
      </c>
      <c r="I2" s="4"/>
    </row>
    <row r="3" spans="1:10" x14ac:dyDescent="0.25">
      <c r="B3" s="10" t="s">
        <v>36</v>
      </c>
      <c r="C3" s="10"/>
      <c r="D3" s="10"/>
      <c r="E3" s="10"/>
      <c r="F3" s="22">
        <v>4.4999999999999998E-2</v>
      </c>
      <c r="G3" s="22">
        <v>3.3000000000000002E-2</v>
      </c>
      <c r="H3" s="4"/>
      <c r="I3" s="4"/>
    </row>
    <row r="5" spans="1:10" s="18" customFormat="1" ht="33" customHeight="1" x14ac:dyDescent="0.25">
      <c r="A5" s="63" t="s">
        <v>31</v>
      </c>
      <c r="B5" s="63" t="s">
        <v>1</v>
      </c>
      <c r="C5" s="62" t="s">
        <v>40</v>
      </c>
      <c r="D5" s="65" t="s">
        <v>39</v>
      </c>
      <c r="E5" s="61" t="s">
        <v>42</v>
      </c>
      <c r="F5" s="65" t="s">
        <v>38</v>
      </c>
      <c r="G5" s="61" t="s">
        <v>43</v>
      </c>
      <c r="H5" s="60" t="s">
        <v>3</v>
      </c>
      <c r="I5" s="60" t="s">
        <v>4</v>
      </c>
      <c r="J5" s="58" t="s">
        <v>37</v>
      </c>
    </row>
    <row r="6" spans="1:10" s="18" customFormat="1" ht="20.25" customHeight="1" x14ac:dyDescent="0.25">
      <c r="A6" s="64"/>
      <c r="B6" s="64"/>
      <c r="C6" s="62"/>
      <c r="D6" s="66"/>
      <c r="E6" s="61"/>
      <c r="F6" s="66"/>
      <c r="G6" s="61"/>
      <c r="H6" s="60"/>
      <c r="I6" s="60"/>
      <c r="J6" s="58"/>
    </row>
    <row r="7" spans="1:10" x14ac:dyDescent="0.25">
      <c r="A7" s="28"/>
      <c r="B7" s="29"/>
      <c r="C7" s="29" t="s">
        <v>20</v>
      </c>
      <c r="D7" s="29" t="s">
        <v>21</v>
      </c>
      <c r="E7" s="30" t="s">
        <v>44</v>
      </c>
      <c r="F7" s="29" t="s">
        <v>22</v>
      </c>
      <c r="G7" s="30" t="s">
        <v>45</v>
      </c>
      <c r="H7" s="24" t="s">
        <v>46</v>
      </c>
      <c r="I7" s="24" t="s">
        <v>47</v>
      </c>
      <c r="J7" s="13" t="s">
        <v>48</v>
      </c>
    </row>
    <row r="8" spans="1:10" x14ac:dyDescent="0.25">
      <c r="A8" s="28" t="s">
        <v>5</v>
      </c>
      <c r="B8" s="29" t="s">
        <v>24</v>
      </c>
      <c r="C8" s="48">
        <v>0</v>
      </c>
      <c r="D8" s="48">
        <f>+C8*$F$3</f>
        <v>0</v>
      </c>
      <c r="E8" s="48">
        <f>+C8+D8</f>
        <v>0</v>
      </c>
      <c r="F8" s="48">
        <f>+E8*$G$3</f>
        <v>0</v>
      </c>
      <c r="G8" s="48">
        <f>E8+F8</f>
        <v>0</v>
      </c>
      <c r="H8" s="12">
        <v>1506172492.9933801</v>
      </c>
      <c r="I8" s="12">
        <v>0</v>
      </c>
      <c r="J8" s="55">
        <f>IFERROR(IF(B8="kwh",G8/H8/($G$2/12),G8/I8/($G$2/12)),0)</f>
        <v>0</v>
      </c>
    </row>
    <row r="9" spans="1:10" x14ac:dyDescent="0.25">
      <c r="A9" s="31" t="s">
        <v>6</v>
      </c>
      <c r="B9" s="32" t="s">
        <v>24</v>
      </c>
      <c r="C9" s="48">
        <v>416563.80156750313</v>
      </c>
      <c r="D9" s="48">
        <f t="shared" ref="D9:D17" si="0">+C9*$F$3</f>
        <v>18745.37107053764</v>
      </c>
      <c r="E9" s="48">
        <f t="shared" ref="E9:E17" si="1">+C9+D9</f>
        <v>435309.17263804079</v>
      </c>
      <c r="F9" s="48">
        <f>+E9*$G$3</f>
        <v>14365.202697055347</v>
      </c>
      <c r="G9" s="48">
        <f>E9+F9</f>
        <v>449674.37533509615</v>
      </c>
      <c r="H9" s="12">
        <v>350464103.24597102</v>
      </c>
      <c r="I9" s="12">
        <v>0</v>
      </c>
      <c r="J9" s="55">
        <f t="shared" ref="J9:J17" si="2">IFERROR(IF(B9="kwh",G9/H9/($G$2/12),G9/I9/($G$2/12)),0)</f>
        <v>1.2830825501677558E-3</v>
      </c>
    </row>
    <row r="10" spans="1:10" x14ac:dyDescent="0.25">
      <c r="A10" s="31" t="s">
        <v>7</v>
      </c>
      <c r="B10" s="32" t="s">
        <v>25</v>
      </c>
      <c r="C10" s="48">
        <v>285354.79114204168</v>
      </c>
      <c r="D10" s="48">
        <f t="shared" si="0"/>
        <v>12840.965601391876</v>
      </c>
      <c r="E10" s="48">
        <f t="shared" si="1"/>
        <v>298195.75674343354</v>
      </c>
      <c r="F10" s="48">
        <f t="shared" ref="F10:F17" si="3">+E10*$G$3</f>
        <v>9840.4599725333064</v>
      </c>
      <c r="G10" s="48">
        <f t="shared" ref="G10:G17" si="4">E10+F10</f>
        <v>308036.21671596682</v>
      </c>
      <c r="H10" s="12">
        <v>1069528474</v>
      </c>
      <c r="I10" s="12">
        <v>3054412</v>
      </c>
      <c r="J10" s="55">
        <f t="shared" si="2"/>
        <v>0.10084959616317865</v>
      </c>
    </row>
    <row r="11" spans="1:10" x14ac:dyDescent="0.25">
      <c r="A11" s="31" t="s">
        <v>8</v>
      </c>
      <c r="B11" s="32" t="s">
        <v>25</v>
      </c>
      <c r="C11" s="48">
        <v>154633.46590986638</v>
      </c>
      <c r="D11" s="48">
        <f t="shared" si="0"/>
        <v>6958.5059659439867</v>
      </c>
      <c r="E11" s="48">
        <f t="shared" si="1"/>
        <v>161591.97187581036</v>
      </c>
      <c r="F11" s="48">
        <f t="shared" si="3"/>
        <v>5332.5350719017424</v>
      </c>
      <c r="G11" s="48">
        <f t="shared" si="4"/>
        <v>166924.5069477121</v>
      </c>
      <c r="H11" s="12">
        <v>889593911.34000003</v>
      </c>
      <c r="I11" s="12">
        <v>2098583.75</v>
      </c>
      <c r="J11" s="55">
        <f t="shared" si="2"/>
        <v>7.9541503620101942E-2</v>
      </c>
    </row>
    <row r="12" spans="1:10" x14ac:dyDescent="0.25">
      <c r="A12" s="31" t="s">
        <v>9</v>
      </c>
      <c r="B12" s="32" t="s">
        <v>25</v>
      </c>
      <c r="C12" s="48">
        <v>70253.962068454508</v>
      </c>
      <c r="D12" s="48">
        <f t="shared" si="0"/>
        <v>3161.4282930804529</v>
      </c>
      <c r="E12" s="48">
        <f t="shared" si="1"/>
        <v>73415.390361534955</v>
      </c>
      <c r="F12" s="48">
        <f t="shared" si="3"/>
        <v>2422.7078819306535</v>
      </c>
      <c r="G12" s="48">
        <f t="shared" si="4"/>
        <v>75838.098243465603</v>
      </c>
      <c r="H12" s="12">
        <v>339330586.66000003</v>
      </c>
      <c r="I12" s="12">
        <v>627713.76</v>
      </c>
      <c r="J12" s="55">
        <f t="shared" si="2"/>
        <v>0.12081637057544445</v>
      </c>
    </row>
    <row r="13" spans="1:10" x14ac:dyDescent="0.25">
      <c r="A13" s="31" t="s">
        <v>10</v>
      </c>
      <c r="B13" s="32" t="s">
        <v>24</v>
      </c>
      <c r="C13" s="48">
        <v>55581.03908006788</v>
      </c>
      <c r="D13" s="48">
        <f t="shared" si="0"/>
        <v>2501.1467586030544</v>
      </c>
      <c r="E13" s="48">
        <f t="shared" si="1"/>
        <v>58082.185838670935</v>
      </c>
      <c r="F13" s="48">
        <f t="shared" si="3"/>
        <v>1916.712132676141</v>
      </c>
      <c r="G13" s="48">
        <f t="shared" si="4"/>
        <v>59998.897971347076</v>
      </c>
      <c r="H13" s="12">
        <v>6124137.7399999993</v>
      </c>
      <c r="I13" s="12">
        <v>0</v>
      </c>
      <c r="J13" s="55">
        <f t="shared" si="2"/>
        <v>9.7971176545332047E-3</v>
      </c>
    </row>
    <row r="14" spans="1:10" x14ac:dyDescent="0.25">
      <c r="A14" s="31" t="s">
        <v>11</v>
      </c>
      <c r="B14" s="32" t="s">
        <v>25</v>
      </c>
      <c r="C14" s="48">
        <v>464263.47436042735</v>
      </c>
      <c r="D14" s="48">
        <f t="shared" si="0"/>
        <v>20891.856346219229</v>
      </c>
      <c r="E14" s="48">
        <f t="shared" si="1"/>
        <v>485155.33070664661</v>
      </c>
      <c r="F14" s="48">
        <f t="shared" si="3"/>
        <v>16010.125913319338</v>
      </c>
      <c r="G14" s="48">
        <f t="shared" si="4"/>
        <v>501165.45661996596</v>
      </c>
      <c r="H14" s="12">
        <v>20230130.140000001</v>
      </c>
      <c r="I14" s="12">
        <v>56827.18</v>
      </c>
      <c r="J14" s="55">
        <f t="shared" si="2"/>
        <v>8.8191153708483512</v>
      </c>
    </row>
    <row r="15" spans="1:10" x14ac:dyDescent="0.25">
      <c r="A15" s="31" t="s">
        <v>27</v>
      </c>
      <c r="B15" s="32" t="s">
        <v>25</v>
      </c>
      <c r="C15" s="48">
        <v>0</v>
      </c>
      <c r="D15" s="48">
        <f t="shared" si="0"/>
        <v>0</v>
      </c>
      <c r="E15" s="48">
        <f t="shared" si="1"/>
        <v>0</v>
      </c>
      <c r="F15" s="48">
        <f t="shared" si="3"/>
        <v>0</v>
      </c>
      <c r="G15" s="48">
        <f t="shared" si="4"/>
        <v>0</v>
      </c>
      <c r="H15" s="12">
        <v>0</v>
      </c>
      <c r="I15" s="12">
        <v>0</v>
      </c>
      <c r="J15" s="55">
        <f t="shared" si="2"/>
        <v>0</v>
      </c>
    </row>
    <row r="16" spans="1:10" x14ac:dyDescent="0.25">
      <c r="A16" s="31" t="s">
        <v>28</v>
      </c>
      <c r="B16" s="32" t="s">
        <v>24</v>
      </c>
      <c r="C16" s="48">
        <v>0</v>
      </c>
      <c r="D16" s="48">
        <f t="shared" si="0"/>
        <v>0</v>
      </c>
      <c r="E16" s="48">
        <f t="shared" si="1"/>
        <v>0</v>
      </c>
      <c r="F16" s="48">
        <f t="shared" si="3"/>
        <v>0</v>
      </c>
      <c r="G16" s="48">
        <f t="shared" si="4"/>
        <v>0</v>
      </c>
      <c r="H16" s="12">
        <v>288215.59999999998</v>
      </c>
      <c r="I16" s="12">
        <v>0</v>
      </c>
      <c r="J16" s="55">
        <f t="shared" si="2"/>
        <v>0</v>
      </c>
    </row>
    <row r="17" spans="1:10" x14ac:dyDescent="0.25">
      <c r="A17" s="31" t="s">
        <v>29</v>
      </c>
      <c r="B17" s="32" t="s">
        <v>25</v>
      </c>
      <c r="C17" s="48">
        <v>0</v>
      </c>
      <c r="D17" s="48">
        <f t="shared" si="0"/>
        <v>0</v>
      </c>
      <c r="E17" s="48">
        <f t="shared" si="1"/>
        <v>0</v>
      </c>
      <c r="F17" s="48">
        <f t="shared" si="3"/>
        <v>0</v>
      </c>
      <c r="G17" s="48">
        <f t="shared" si="4"/>
        <v>0</v>
      </c>
      <c r="H17" s="12">
        <v>0</v>
      </c>
      <c r="I17" s="12">
        <v>0</v>
      </c>
      <c r="J17" s="55">
        <f t="shared" si="2"/>
        <v>0</v>
      </c>
    </row>
    <row r="18" spans="1:10" s="18" customFormat="1" x14ac:dyDescent="0.25">
      <c r="A18" s="33" t="s">
        <v>12</v>
      </c>
      <c r="B18" s="34"/>
      <c r="C18" s="35">
        <f>SUM(C8:C17)</f>
        <v>1446650.5341283609</v>
      </c>
      <c r="D18" s="35">
        <f t="shared" ref="D18:I18" si="5">SUM(D8:D17)</f>
        <v>65099.274035776238</v>
      </c>
      <c r="E18" s="35">
        <f t="shared" si="5"/>
        <v>1511749.8081641372</v>
      </c>
      <c r="F18" s="35">
        <f t="shared" si="5"/>
        <v>49887.74366941653</v>
      </c>
      <c r="G18" s="35">
        <f t="shared" si="5"/>
        <v>1561637.5518335537</v>
      </c>
      <c r="H18" s="26">
        <f t="shared" si="5"/>
        <v>4181732051.7193508</v>
      </c>
      <c r="I18" s="26">
        <f t="shared" si="5"/>
        <v>5837536.6899999995</v>
      </c>
      <c r="J18" s="27"/>
    </row>
    <row r="19" spans="1:10" x14ac:dyDescent="0.25">
      <c r="A19" s="14"/>
      <c r="B19" s="15"/>
      <c r="C19" s="16"/>
      <c r="D19" s="16"/>
      <c r="E19" s="16"/>
      <c r="F19" s="16"/>
      <c r="G19" s="17"/>
      <c r="H19" s="15"/>
      <c r="I19" s="15"/>
      <c r="J19" s="11"/>
    </row>
    <row r="20" spans="1:10" x14ac:dyDescent="0.25">
      <c r="A20" s="11"/>
      <c r="B20" s="11"/>
      <c r="C20" s="16"/>
      <c r="D20" s="16"/>
      <c r="E20" s="16"/>
      <c r="F20" s="11"/>
      <c r="G20" s="11"/>
      <c r="H20" s="11"/>
      <c r="I20" s="11"/>
      <c r="J20" s="11"/>
    </row>
    <row r="21" spans="1:10" ht="25.5" x14ac:dyDescent="0.25">
      <c r="A21" s="57" t="s">
        <v>41</v>
      </c>
      <c r="C21" s="16"/>
      <c r="D21" s="16"/>
      <c r="E21" s="16"/>
    </row>
    <row r="22" spans="1:10" x14ac:dyDescent="0.25">
      <c r="G22" s="6"/>
      <c r="H22" s="6"/>
      <c r="I22" s="7"/>
    </row>
    <row r="23" spans="1:10" x14ac:dyDescent="0.25">
      <c r="I23" s="8"/>
    </row>
    <row r="24" spans="1:10" x14ac:dyDescent="0.25">
      <c r="I24" s="7"/>
    </row>
  </sheetData>
  <protectedRanges>
    <protectedRange sqref="I5:I7" name="Range1_1"/>
    <protectedRange sqref="G8:G17" name="Range1_1_1"/>
  </protectedRanges>
  <mergeCells count="11">
    <mergeCell ref="J5:J6"/>
    <mergeCell ref="A2:B2"/>
    <mergeCell ref="H5:H6"/>
    <mergeCell ref="I5:I6"/>
    <mergeCell ref="G5:G6"/>
    <mergeCell ref="C5:C6"/>
    <mergeCell ref="A5:A6"/>
    <mergeCell ref="B5:B6"/>
    <mergeCell ref="F5:F6"/>
    <mergeCell ref="D5:D6"/>
    <mergeCell ref="E5:E6"/>
  </mergeCells>
  <pageMargins left="0.70866141732283505" right="0.70866141732283505" top="0.74803149606299202" bottom="0.74803149606299202" header="0.31496062992126" footer="0.31496062992126"/>
  <pageSetup scale="68" orientation="landscape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DEAC-0DA8-4664-8121-C97474D82EA9}">
  <sheetPr>
    <pageSetUpPr fitToPage="1"/>
  </sheetPr>
  <dimension ref="A1:J18"/>
  <sheetViews>
    <sheetView showGridLines="0" zoomScaleNormal="100" zoomScaleSheetLayoutView="100" workbookViewId="0">
      <selection activeCell="I11" sqref="I11"/>
    </sheetView>
  </sheetViews>
  <sheetFormatPr defaultColWidth="9.140625" defaultRowHeight="15" x14ac:dyDescent="0.25"/>
  <cols>
    <col min="1" max="1" width="48.7109375" customWidth="1"/>
    <col min="2" max="2" width="6.7109375" customWidth="1"/>
    <col min="3" max="3" width="16.7109375" customWidth="1"/>
    <col min="4" max="5" width="16.5703125" customWidth="1"/>
    <col min="6" max="6" width="14.5703125" customWidth="1"/>
    <col min="7" max="7" width="16.7109375" customWidth="1"/>
    <col min="8" max="8" width="14" bestFit="1" customWidth="1"/>
    <col min="9" max="9" width="12" bestFit="1" customWidth="1"/>
    <col min="10" max="10" width="14.28515625" customWidth="1"/>
    <col min="11" max="11" width="16.710937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</row>
    <row r="2" spans="1:10" x14ac:dyDescent="0.25">
      <c r="A2" s="59" t="s">
        <v>2</v>
      </c>
      <c r="B2" s="59"/>
      <c r="C2" s="10"/>
      <c r="D2" s="10"/>
      <c r="E2" s="10"/>
      <c r="F2" s="2"/>
      <c r="G2" s="21"/>
      <c r="H2" s="9">
        <v>12</v>
      </c>
      <c r="I2" s="4" t="str">
        <f>IF(H2&gt;0, "Rate Rider Recovery to be used below", "If no rate rider recovery period is proposed then the default recovery period of 12 months will be used")</f>
        <v>Rate Rider Recovery to be used below</v>
      </c>
      <c r="J2" s="3"/>
    </row>
    <row r="3" spans="1:10" x14ac:dyDescent="0.25">
      <c r="B3" s="10" t="str">
        <f>BRZ!B3</f>
        <v>2025 PCI</v>
      </c>
      <c r="C3" s="10"/>
      <c r="D3" s="22">
        <v>4.4999999999999998E-2</v>
      </c>
      <c r="E3" s="10"/>
      <c r="F3" s="10"/>
      <c r="H3" s="22">
        <f>BRZ!G3</f>
        <v>3.3000000000000002E-2</v>
      </c>
      <c r="I3" s="4"/>
      <c r="J3" s="4"/>
    </row>
    <row r="5" spans="1:10" s="11" customFormat="1" ht="12.6" customHeight="1" x14ac:dyDescent="0.2">
      <c r="A5" s="67" t="s">
        <v>32</v>
      </c>
      <c r="B5" s="67" t="str">
        <f>BRZ!B5</f>
        <v>Unit</v>
      </c>
      <c r="C5" s="62" t="s">
        <v>40</v>
      </c>
      <c r="D5" s="65" t="s">
        <v>39</v>
      </c>
      <c r="E5" s="61" t="s">
        <v>42</v>
      </c>
      <c r="F5" s="67" t="str">
        <f>BRZ!F5</f>
        <v xml:space="preserve">3.3% Adjustment  </v>
      </c>
      <c r="G5" s="61" t="s">
        <v>43</v>
      </c>
      <c r="H5" s="67" t="str">
        <f>BRZ!H5</f>
        <v>Total Metered kWh</v>
      </c>
      <c r="I5" s="67" t="str">
        <f>BRZ!I5</f>
        <v>Metered kW 
or kVA</v>
      </c>
      <c r="J5" s="67" t="str">
        <f>BRZ!J5</f>
        <v>2025 Prospective LRAMVA Rate Rider</v>
      </c>
    </row>
    <row r="6" spans="1:10" s="11" customFormat="1" ht="45.6" customHeight="1" x14ac:dyDescent="0.2">
      <c r="A6" s="68" t="s">
        <v>0</v>
      </c>
      <c r="B6" s="68" t="s">
        <v>0</v>
      </c>
      <c r="C6" s="62"/>
      <c r="D6" s="66"/>
      <c r="E6" s="61"/>
      <c r="F6" s="68" t="s">
        <v>0</v>
      </c>
      <c r="G6" s="61"/>
      <c r="H6" s="68" t="s">
        <v>0</v>
      </c>
      <c r="I6" s="68" t="s">
        <v>0</v>
      </c>
      <c r="J6" s="68" t="s">
        <v>0</v>
      </c>
    </row>
    <row r="7" spans="1:10" x14ac:dyDescent="0.25">
      <c r="A7" s="28"/>
      <c r="B7" s="29"/>
      <c r="C7" s="29" t="s">
        <v>20</v>
      </c>
      <c r="D7" s="29" t="s">
        <v>21</v>
      </c>
      <c r="E7" s="30" t="s">
        <v>44</v>
      </c>
      <c r="F7" s="29" t="s">
        <v>22</v>
      </c>
      <c r="G7" s="30" t="s">
        <v>45</v>
      </c>
      <c r="H7" s="24" t="s">
        <v>46</v>
      </c>
      <c r="I7" s="24" t="s">
        <v>47</v>
      </c>
      <c r="J7" s="13" t="s">
        <v>48</v>
      </c>
    </row>
    <row r="8" spans="1:10" s="11" customFormat="1" ht="12.75" x14ac:dyDescent="0.2">
      <c r="A8" s="28" t="str">
        <f>+BRZ!A8</f>
        <v>Residential Service Classification</v>
      </c>
      <c r="B8" s="29" t="s">
        <v>24</v>
      </c>
      <c r="C8" s="48">
        <v>0</v>
      </c>
      <c r="D8" s="48">
        <f t="shared" ref="D8:D14" si="0">C8*$D$3</f>
        <v>0</v>
      </c>
      <c r="E8" s="48">
        <f>C8+D8</f>
        <v>0</v>
      </c>
      <c r="F8" s="48">
        <f>E8*$H$3</f>
        <v>0</v>
      </c>
      <c r="G8" s="48">
        <f>E8+F8</f>
        <v>0</v>
      </c>
      <c r="H8" s="12">
        <v>1532308288.22803</v>
      </c>
      <c r="I8" s="12">
        <v>0</v>
      </c>
      <c r="J8" s="55">
        <f t="shared" ref="J8:J14" si="1">ROUND(IFERROR(IF(B8="kwh",G8/H8/($H$2/12),G8/I8/($H$2/12)),0),4)</f>
        <v>0</v>
      </c>
    </row>
    <row r="9" spans="1:10" s="11" customFormat="1" ht="12.75" x14ac:dyDescent="0.2">
      <c r="A9" s="28" t="str">
        <f>+BRZ!A9</f>
        <v>General Service less than 50 kW Service Classification</v>
      </c>
      <c r="B9" s="32" t="s">
        <v>24</v>
      </c>
      <c r="C9" s="49">
        <v>60.202056453330442</v>
      </c>
      <c r="D9" s="49">
        <f t="shared" si="0"/>
        <v>2.7090925403998698</v>
      </c>
      <c r="E9" s="49">
        <f t="shared" ref="E9:E14" si="2">C9+D9</f>
        <v>62.911148993730315</v>
      </c>
      <c r="F9" s="49">
        <f t="shared" ref="F9:F14" si="3">E9*$H$3</f>
        <v>2.0760679167931007</v>
      </c>
      <c r="G9" s="49">
        <f t="shared" ref="G9:G14" si="4">E9+F9</f>
        <v>64.987216910523415</v>
      </c>
      <c r="H9" s="12">
        <v>675022579.15999997</v>
      </c>
      <c r="I9" s="12">
        <v>0</v>
      </c>
      <c r="J9" s="55">
        <f t="shared" si="1"/>
        <v>0</v>
      </c>
    </row>
    <row r="10" spans="1:10" s="11" customFormat="1" ht="12.75" x14ac:dyDescent="0.2">
      <c r="A10" s="28" t="s">
        <v>13</v>
      </c>
      <c r="B10" s="32" t="s">
        <v>25</v>
      </c>
      <c r="C10" s="49">
        <v>1449577.0741053922</v>
      </c>
      <c r="D10" s="49">
        <f t="shared" si="0"/>
        <v>65230.968334742647</v>
      </c>
      <c r="E10" s="49">
        <f t="shared" si="2"/>
        <v>1514808.0424401348</v>
      </c>
      <c r="F10" s="49">
        <f t="shared" si="3"/>
        <v>49988.665400524449</v>
      </c>
      <c r="G10" s="49">
        <f t="shared" si="4"/>
        <v>1564796.7078406592</v>
      </c>
      <c r="H10" s="12">
        <v>1960455061</v>
      </c>
      <c r="I10" s="12">
        <v>5582111.2704721298</v>
      </c>
      <c r="J10" s="55">
        <f t="shared" si="1"/>
        <v>0.28029999999999999</v>
      </c>
    </row>
    <row r="11" spans="1:10" s="11" customFormat="1" ht="12.75" x14ac:dyDescent="0.2">
      <c r="A11" s="28" t="s">
        <v>14</v>
      </c>
      <c r="B11" s="32" t="s">
        <v>25</v>
      </c>
      <c r="C11" s="49">
        <v>565078.12216517096</v>
      </c>
      <c r="D11" s="49">
        <f t="shared" si="0"/>
        <v>25428.515497432694</v>
      </c>
      <c r="E11" s="49">
        <f t="shared" si="2"/>
        <v>590506.63766260364</v>
      </c>
      <c r="F11" s="49">
        <f t="shared" si="3"/>
        <v>19486.71904286592</v>
      </c>
      <c r="G11" s="49">
        <f t="shared" si="4"/>
        <v>609993.35670546954</v>
      </c>
      <c r="H11" s="12">
        <v>1729348668.22</v>
      </c>
      <c r="I11" s="12">
        <v>3998220.6218388351</v>
      </c>
      <c r="J11" s="55">
        <f t="shared" si="1"/>
        <v>0.15260000000000001</v>
      </c>
    </row>
    <row r="12" spans="1:10" s="11" customFormat="1" ht="12.75" x14ac:dyDescent="0.2">
      <c r="A12" s="28" t="str">
        <f>+BRZ!A12</f>
        <v>Large Use Service Classification</v>
      </c>
      <c r="B12" s="32" t="s">
        <v>25</v>
      </c>
      <c r="C12" s="49">
        <v>154636.11254728504</v>
      </c>
      <c r="D12" s="49">
        <f t="shared" si="0"/>
        <v>6958.6250646278268</v>
      </c>
      <c r="E12" s="49">
        <f t="shared" si="2"/>
        <v>161594.73761191286</v>
      </c>
      <c r="F12" s="49">
        <f t="shared" si="3"/>
        <v>5332.626341193125</v>
      </c>
      <c r="G12" s="49">
        <f t="shared" si="4"/>
        <v>166927.36395310599</v>
      </c>
      <c r="H12" s="12">
        <v>996695363.26999998</v>
      </c>
      <c r="I12" s="12">
        <v>1697447.5753761965</v>
      </c>
      <c r="J12" s="55">
        <f t="shared" si="1"/>
        <v>9.8299999999999998E-2</v>
      </c>
    </row>
    <row r="13" spans="1:10" s="11" customFormat="1" ht="12.75" x14ac:dyDescent="0.2">
      <c r="A13" s="28" t="str">
        <f>+BRZ!A13</f>
        <v>Unmetered Scattered Load Service Classification</v>
      </c>
      <c r="B13" s="32" t="s">
        <v>24</v>
      </c>
      <c r="C13" s="49">
        <v>24721.28278354869</v>
      </c>
      <c r="D13" s="49">
        <f t="shared" si="0"/>
        <v>1112.457725259691</v>
      </c>
      <c r="E13" s="49">
        <f t="shared" si="2"/>
        <v>25833.74050880838</v>
      </c>
      <c r="F13" s="49">
        <f t="shared" si="3"/>
        <v>852.51343679067656</v>
      </c>
      <c r="G13" s="49">
        <f t="shared" si="4"/>
        <v>26686.253945599055</v>
      </c>
      <c r="H13" s="12">
        <v>10958274.430000002</v>
      </c>
      <c r="I13" s="12">
        <v>0</v>
      </c>
      <c r="J13" s="55">
        <f t="shared" si="1"/>
        <v>2.3999999999999998E-3</v>
      </c>
    </row>
    <row r="14" spans="1:10" s="11" customFormat="1" ht="12.75" x14ac:dyDescent="0.2">
      <c r="A14" s="28" t="str">
        <f>+BRZ!A14</f>
        <v>Street Lighting Service Classification</v>
      </c>
      <c r="B14" s="36" t="s">
        <v>25</v>
      </c>
      <c r="C14" s="50">
        <v>-346128.93676387199</v>
      </c>
      <c r="D14" s="50">
        <f t="shared" si="0"/>
        <v>-15575.802154374238</v>
      </c>
      <c r="E14" s="50">
        <f t="shared" si="2"/>
        <v>-361704.73891824624</v>
      </c>
      <c r="F14" s="50">
        <f t="shared" si="3"/>
        <v>-11936.256384302127</v>
      </c>
      <c r="G14" s="50">
        <f t="shared" si="4"/>
        <v>-373640.99530254834</v>
      </c>
      <c r="H14" s="12">
        <v>13659481.560000001</v>
      </c>
      <c r="I14" s="12">
        <v>35207.004587755226</v>
      </c>
      <c r="J14" s="55">
        <f t="shared" si="1"/>
        <v>-10.6127</v>
      </c>
    </row>
    <row r="15" spans="1:10" s="25" customFormat="1" ht="12.75" x14ac:dyDescent="0.2">
      <c r="A15" s="37" t="str">
        <f>+BRZ!A18</f>
        <v>Total</v>
      </c>
      <c r="B15" s="34"/>
      <c r="C15" s="35">
        <f>SUM(C8:C14)</f>
        <v>1847943.8568939785</v>
      </c>
      <c r="D15" s="35">
        <f>SUM(D8:D14)</f>
        <v>83157.473560229017</v>
      </c>
      <c r="E15" s="35">
        <f>SUM(E8:E14)</f>
        <v>1931101.330454207</v>
      </c>
      <c r="F15" s="35">
        <f>SUM(F8:F14)</f>
        <v>63726.343904988833</v>
      </c>
      <c r="G15" s="35">
        <f>SUM(G8:G14)</f>
        <v>1994827.6743591956</v>
      </c>
      <c r="H15" s="26">
        <f t="shared" ref="H15:I15" si="5">SUM(H8:H14)</f>
        <v>6918447715.8680315</v>
      </c>
      <c r="I15" s="26">
        <f t="shared" si="5"/>
        <v>11312986.472274916</v>
      </c>
      <c r="J15" s="27"/>
    </row>
    <row r="16" spans="1:10" s="11" customFormat="1" ht="12.75" x14ac:dyDescent="0.2">
      <c r="A16" s="11" t="s">
        <v>26</v>
      </c>
    </row>
    <row r="17" spans="1:1" x14ac:dyDescent="0.25">
      <c r="A17" t="s">
        <v>26</v>
      </c>
    </row>
    <row r="18" spans="1:1" x14ac:dyDescent="0.25">
      <c r="A18" s="23" t="s">
        <v>30</v>
      </c>
    </row>
  </sheetData>
  <protectedRanges>
    <protectedRange sqref="G8:G14" name="Range1_1_1_1"/>
    <protectedRange sqref="I7" name="Range1_1_1"/>
  </protectedRanges>
  <mergeCells count="11">
    <mergeCell ref="J5:J6"/>
    <mergeCell ref="G5:G6"/>
    <mergeCell ref="A2:B2"/>
    <mergeCell ref="H5:H6"/>
    <mergeCell ref="I5:I6"/>
    <mergeCell ref="A5:A6"/>
    <mergeCell ref="B5:B6"/>
    <mergeCell ref="F5:F6"/>
    <mergeCell ref="C5:C6"/>
    <mergeCell ref="D5:D6"/>
    <mergeCell ref="E5:E6"/>
  </mergeCells>
  <pageMargins left="0.70866141732283505" right="0.70866141732283505" top="0.74803149606299202" bottom="0.74803149606299202" header="0.31496062992126" footer="0.31496062992126"/>
  <pageSetup scale="63" orientation="landscape" r:id="rId1"/>
  <headerFooter>
    <oddFooter>&amp;A</oddFooter>
  </headerFooter>
  <ignoredErrors>
    <ignoredError sqref="H3" unlockedFormula="1"/>
    <ignoredError sqref="F8:F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16BE-1BF4-4F3D-A020-685BB12BC506}">
  <sheetPr>
    <pageSetUpPr fitToPage="1"/>
  </sheetPr>
  <dimension ref="A1:K22"/>
  <sheetViews>
    <sheetView showGridLines="0" tabSelected="1" zoomScaleNormal="100" zoomScaleSheetLayoutView="100" workbookViewId="0">
      <selection activeCell="H20" sqref="H20"/>
    </sheetView>
  </sheetViews>
  <sheetFormatPr defaultColWidth="9.140625" defaultRowHeight="15" x14ac:dyDescent="0.25"/>
  <cols>
    <col min="1" max="1" width="49.7109375" customWidth="1"/>
    <col min="2" max="2" width="6.7109375" customWidth="1"/>
    <col min="3" max="3" width="17.7109375" customWidth="1"/>
    <col min="4" max="4" width="16.5703125" customWidth="1"/>
    <col min="5" max="5" width="16.7109375" customWidth="1"/>
    <col min="6" max="6" width="12.42578125" customWidth="1"/>
    <col min="7" max="7" width="16.7109375" customWidth="1"/>
    <col min="8" max="8" width="13.7109375" bestFit="1" customWidth="1"/>
    <col min="9" max="9" width="11.85546875" bestFit="1" customWidth="1"/>
    <col min="10" max="10" width="16.7109375" customWidth="1"/>
  </cols>
  <sheetData>
    <row r="1" spans="1:11" x14ac:dyDescent="0.25">
      <c r="A1" s="2"/>
      <c r="B1" s="2"/>
      <c r="C1" s="2"/>
      <c r="D1" s="2"/>
      <c r="F1" s="2"/>
      <c r="G1" s="2"/>
      <c r="H1" s="2"/>
    </row>
    <row r="2" spans="1:11" x14ac:dyDescent="0.25">
      <c r="A2" s="59" t="s">
        <v>2</v>
      </c>
      <c r="B2" s="59"/>
      <c r="C2" s="10"/>
      <c r="D2" s="10"/>
      <c r="F2" s="21"/>
      <c r="G2" s="9">
        <v>12</v>
      </c>
      <c r="H2" s="4" t="str">
        <f>IF(G2&gt;0, "Rate Rider Recovery to be used below", "If no rate rider recovery period is proposed then the default recovery period of 12 months will be used")</f>
        <v>Rate Rider Recovery to be used below</v>
      </c>
      <c r="I2" s="3"/>
    </row>
    <row r="3" spans="1:11" x14ac:dyDescent="0.25">
      <c r="A3" s="56" t="s">
        <v>23</v>
      </c>
      <c r="B3" s="56"/>
      <c r="C3" s="10"/>
      <c r="D3" s="10"/>
      <c r="F3" s="21"/>
      <c r="G3" s="9">
        <v>12</v>
      </c>
      <c r="H3" s="4" t="str">
        <f>IF(G3&gt;0, "Rate Rider Recovery to be used below", "If no rate rider recovery period is proposed then the default recovery period of 12 months will be used")</f>
        <v>Rate Rider Recovery to be used below</v>
      </c>
      <c r="I3" s="3"/>
    </row>
    <row r="4" spans="1:11" x14ac:dyDescent="0.25">
      <c r="B4" s="10" t="str">
        <f>BRZ!B3</f>
        <v>2025 PCI</v>
      </c>
      <c r="C4" s="10"/>
      <c r="D4" s="10"/>
      <c r="E4" s="10"/>
      <c r="F4" s="22">
        <v>4.4999999999999998E-2</v>
      </c>
      <c r="G4" s="22">
        <f>BRZ!G3</f>
        <v>3.3000000000000002E-2</v>
      </c>
      <c r="H4" s="4"/>
      <c r="I4" s="4"/>
    </row>
    <row r="6" spans="1:11" s="11" customFormat="1" ht="12.6" customHeight="1" x14ac:dyDescent="0.2">
      <c r="A6" s="67" t="s">
        <v>33</v>
      </c>
      <c r="B6" s="63" t="s">
        <v>1</v>
      </c>
      <c r="C6" s="62" t="s">
        <v>40</v>
      </c>
      <c r="D6" s="65" t="s">
        <v>39</v>
      </c>
      <c r="E6" s="61" t="s">
        <v>42</v>
      </c>
      <c r="F6" s="65" t="s">
        <v>38</v>
      </c>
      <c r="G6" s="61" t="s">
        <v>43</v>
      </c>
      <c r="H6" s="60" t="s">
        <v>3</v>
      </c>
      <c r="I6" s="60" t="s">
        <v>4</v>
      </c>
      <c r="J6" s="58" t="s">
        <v>37</v>
      </c>
    </row>
    <row r="7" spans="1:11" s="11" customFormat="1" ht="46.9" customHeight="1" x14ac:dyDescent="0.2">
      <c r="A7" s="69" t="s">
        <v>0</v>
      </c>
      <c r="B7" s="64"/>
      <c r="C7" s="62"/>
      <c r="D7" s="66"/>
      <c r="E7" s="61"/>
      <c r="F7" s="66"/>
      <c r="G7" s="61"/>
      <c r="H7" s="60"/>
      <c r="I7" s="60"/>
      <c r="J7" s="58"/>
    </row>
    <row r="8" spans="1:11" x14ac:dyDescent="0.25">
      <c r="A8" s="28"/>
      <c r="B8" s="29"/>
      <c r="C8" s="29" t="s">
        <v>20</v>
      </c>
      <c r="D8" s="29" t="s">
        <v>21</v>
      </c>
      <c r="E8" s="30" t="s">
        <v>44</v>
      </c>
      <c r="F8" s="29" t="s">
        <v>22</v>
      </c>
      <c r="G8" s="30" t="s">
        <v>45</v>
      </c>
      <c r="H8" s="24" t="s">
        <v>46</v>
      </c>
      <c r="I8" s="24" t="s">
        <v>47</v>
      </c>
      <c r="J8" s="13" t="s">
        <v>48</v>
      </c>
    </row>
    <row r="9" spans="1:11" s="11" customFormat="1" ht="12.75" x14ac:dyDescent="0.2">
      <c r="A9" s="28" t="str">
        <f>+BRZ!A8</f>
        <v>Residential Service Classification</v>
      </c>
      <c r="B9" s="29" t="s">
        <v>24</v>
      </c>
      <c r="C9" s="48">
        <v>0</v>
      </c>
      <c r="D9" s="48">
        <f>C9*$F$4</f>
        <v>0</v>
      </c>
      <c r="E9" s="48">
        <f>C9+D9</f>
        <v>0</v>
      </c>
      <c r="F9" s="48">
        <f>+E9*$G$4</f>
        <v>0</v>
      </c>
      <c r="G9" s="48">
        <f>E9+F9</f>
        <v>0</v>
      </c>
      <c r="H9" s="12">
        <v>388134977.47295684</v>
      </c>
      <c r="I9" s="12">
        <v>0</v>
      </c>
      <c r="J9" s="55">
        <f>IFERROR(IF(B9="kwh",G9/H9/($G$2/12),G9/I9/($G$2/12)),0)</f>
        <v>0</v>
      </c>
      <c r="K9" s="19"/>
    </row>
    <row r="10" spans="1:11" s="11" customFormat="1" ht="12.75" x14ac:dyDescent="0.2">
      <c r="A10" s="38" t="str">
        <f>+BRZ!A9</f>
        <v>General Service less than 50 kW Service Classification</v>
      </c>
      <c r="B10" s="39" t="s">
        <v>24</v>
      </c>
      <c r="C10" s="52">
        <v>65520.331057098789</v>
      </c>
      <c r="D10" s="52">
        <f t="shared" ref="D10:D16" si="0">C10*$F$4</f>
        <v>2948.4148975694452</v>
      </c>
      <c r="E10" s="48">
        <f t="shared" ref="E10:E16" si="1">C10+D10</f>
        <v>68468.745954668237</v>
      </c>
      <c r="F10" s="48">
        <f>+E10*$G$4</f>
        <v>2259.4686165040521</v>
      </c>
      <c r="G10" s="48">
        <f t="shared" ref="G10:G16" si="2">E10+F10</f>
        <v>70728.214571172284</v>
      </c>
      <c r="H10" s="12">
        <v>144231817.30970931</v>
      </c>
      <c r="I10" s="12">
        <v>0</v>
      </c>
      <c r="J10" s="55">
        <f t="shared" ref="J10:J16" si="3">IFERROR(IF(B10="kwh",G10/H10/($G$2/12),G10/I10/($G$2/12)),0)</f>
        <v>4.9037872426787373E-4</v>
      </c>
      <c r="K10" s="19"/>
    </row>
    <row r="11" spans="1:11" s="11" customFormat="1" ht="12.75" x14ac:dyDescent="0.2">
      <c r="A11" s="38" t="s">
        <v>15</v>
      </c>
      <c r="B11" s="39" t="s">
        <v>25</v>
      </c>
      <c r="C11" s="52">
        <v>160365.91484589627</v>
      </c>
      <c r="D11" s="52">
        <f t="shared" si="0"/>
        <v>7216.4661680653317</v>
      </c>
      <c r="E11" s="48">
        <f t="shared" si="1"/>
        <v>167582.3810139616</v>
      </c>
      <c r="F11" s="48">
        <f t="shared" ref="F11:F16" si="4">+E11*$G$4</f>
        <v>5530.2185734607328</v>
      </c>
      <c r="G11" s="48">
        <f t="shared" si="2"/>
        <v>173112.59958742233</v>
      </c>
      <c r="H11" s="12">
        <v>390659922.39000005</v>
      </c>
      <c r="I11" s="12">
        <v>1038211.5500000002</v>
      </c>
      <c r="J11" s="55">
        <f t="shared" si="3"/>
        <v>0.16674116136294409</v>
      </c>
    </row>
    <row r="12" spans="1:11" s="11" customFormat="1" ht="12.75" x14ac:dyDescent="0.2">
      <c r="A12" s="38" t="s">
        <v>16</v>
      </c>
      <c r="B12" s="39" t="s">
        <v>25</v>
      </c>
      <c r="C12" s="52">
        <v>200552.37816991555</v>
      </c>
      <c r="D12" s="52">
        <f t="shared" si="0"/>
        <v>9024.8570176461999</v>
      </c>
      <c r="E12" s="48">
        <f t="shared" si="1"/>
        <v>209577.23518756175</v>
      </c>
      <c r="F12" s="48">
        <f t="shared" si="4"/>
        <v>6916.0487611895378</v>
      </c>
      <c r="G12" s="48">
        <f t="shared" si="2"/>
        <v>216493.28394875128</v>
      </c>
      <c r="H12" s="12">
        <v>519650012.52999997</v>
      </c>
      <c r="I12" s="12">
        <v>1084318.1600000001</v>
      </c>
      <c r="J12" s="55">
        <f t="shared" si="3"/>
        <v>0.19965845075282262</v>
      </c>
    </row>
    <row r="13" spans="1:11" s="11" customFormat="1" ht="12.75" x14ac:dyDescent="0.2">
      <c r="A13" s="38" t="str">
        <f>+BRZ!A12</f>
        <v>Large Use Service Classification</v>
      </c>
      <c r="B13" s="39" t="s">
        <v>25</v>
      </c>
      <c r="C13" s="52">
        <v>318089.02423575398</v>
      </c>
      <c r="D13" s="52">
        <f t="shared" si="0"/>
        <v>14314.006090608929</v>
      </c>
      <c r="E13" s="48">
        <f t="shared" si="1"/>
        <v>332403.03032636293</v>
      </c>
      <c r="F13" s="48">
        <f t="shared" si="4"/>
        <v>10969.300000769977</v>
      </c>
      <c r="G13" s="48">
        <f t="shared" si="2"/>
        <v>343372.33032713289</v>
      </c>
      <c r="H13" s="12">
        <v>210718239.08000001</v>
      </c>
      <c r="I13" s="12">
        <v>408185.34000000008</v>
      </c>
      <c r="J13" s="55">
        <f t="shared" si="3"/>
        <v>0.84121671377794416</v>
      </c>
    </row>
    <row r="14" spans="1:11" s="11" customFormat="1" ht="12.75" x14ac:dyDescent="0.2">
      <c r="A14" s="38" t="s">
        <v>10</v>
      </c>
      <c r="B14" s="39" t="s">
        <v>24</v>
      </c>
      <c r="C14" s="52">
        <v>0</v>
      </c>
      <c r="D14" s="52">
        <f t="shared" si="0"/>
        <v>0</v>
      </c>
      <c r="E14" s="48">
        <f t="shared" si="1"/>
        <v>0</v>
      </c>
      <c r="F14" s="48">
        <f t="shared" si="4"/>
        <v>0</v>
      </c>
      <c r="G14" s="48">
        <f t="shared" si="2"/>
        <v>0</v>
      </c>
      <c r="H14" s="12">
        <v>1925676</v>
      </c>
      <c r="I14" s="12">
        <v>0</v>
      </c>
      <c r="J14" s="55">
        <f t="shared" si="3"/>
        <v>0</v>
      </c>
    </row>
    <row r="15" spans="1:11" s="11" customFormat="1" ht="12.75" x14ac:dyDescent="0.2">
      <c r="A15" s="38" t="str">
        <f>+BRZ!A14</f>
        <v>Street Lighting Service Classification</v>
      </c>
      <c r="B15" s="39" t="s">
        <v>25</v>
      </c>
      <c r="C15" s="52">
        <v>189762.91007966033</v>
      </c>
      <c r="D15" s="52">
        <f t="shared" si="0"/>
        <v>8539.3309535847147</v>
      </c>
      <c r="E15" s="48">
        <f t="shared" si="1"/>
        <v>198302.24103324505</v>
      </c>
      <c r="F15" s="48">
        <f t="shared" si="4"/>
        <v>6543.9739540970868</v>
      </c>
      <c r="G15" s="48">
        <f t="shared" si="2"/>
        <v>204846.21498734213</v>
      </c>
      <c r="H15" s="12">
        <v>3609788.48</v>
      </c>
      <c r="I15" s="12">
        <v>10085.459999999999</v>
      </c>
      <c r="J15" s="55">
        <f>IFERROR(IF(B15="kwh",G15/H15/($G$3/12),G15/I15/($G$3/12)),0)</f>
        <v>20.311043322500129</v>
      </c>
    </row>
    <row r="16" spans="1:11" s="11" customFormat="1" ht="12.75" x14ac:dyDescent="0.2">
      <c r="A16" s="38" t="s">
        <v>19</v>
      </c>
      <c r="B16" s="39" t="s">
        <v>25</v>
      </c>
      <c r="C16" s="52">
        <v>0</v>
      </c>
      <c r="D16" s="52">
        <f t="shared" si="0"/>
        <v>0</v>
      </c>
      <c r="E16" s="48">
        <f t="shared" si="1"/>
        <v>0</v>
      </c>
      <c r="F16" s="48">
        <f t="shared" si="4"/>
        <v>0</v>
      </c>
      <c r="G16" s="48">
        <f t="shared" si="2"/>
        <v>0</v>
      </c>
      <c r="H16" s="12">
        <v>10392</v>
      </c>
      <c r="I16" s="12">
        <v>29.04</v>
      </c>
      <c r="J16" s="55">
        <f t="shared" si="3"/>
        <v>0</v>
      </c>
    </row>
    <row r="17" spans="1:10" s="25" customFormat="1" ht="12.75" x14ac:dyDescent="0.2">
      <c r="A17" s="33" t="s">
        <v>12</v>
      </c>
      <c r="B17" s="34" t="s">
        <v>26</v>
      </c>
      <c r="C17" s="47">
        <f t="shared" ref="C17:G17" si="5">SUM(C9:C16)</f>
        <v>934290.55838832492</v>
      </c>
      <c r="D17" s="47">
        <f t="shared" si="5"/>
        <v>42043.075127474622</v>
      </c>
      <c r="E17" s="47">
        <f t="shared" si="5"/>
        <v>976333.63351579965</v>
      </c>
      <c r="F17" s="47">
        <f t="shared" si="5"/>
        <v>32219.009906021387</v>
      </c>
      <c r="G17" s="47">
        <f t="shared" si="5"/>
        <v>1008552.6434218209</v>
      </c>
      <c r="H17" s="41">
        <f>SUM(H9:H16)</f>
        <v>1658940825.2626662</v>
      </c>
      <c r="I17" s="41">
        <f t="shared" ref="I17" si="6">SUM(I9:I16)</f>
        <v>2540829.5500000007</v>
      </c>
      <c r="J17" s="27"/>
    </row>
    <row r="18" spans="1:10" s="11" customFormat="1" ht="12.75" x14ac:dyDescent="0.2">
      <c r="A18" s="11" t="s">
        <v>26</v>
      </c>
      <c r="C18" s="51"/>
    </row>
    <row r="19" spans="1:10" s="11" customFormat="1" ht="12.75" x14ac:dyDescent="0.2"/>
    <row r="20" spans="1:10" s="11" customFormat="1" ht="12.75" x14ac:dyDescent="0.2">
      <c r="A20" s="23" t="s">
        <v>30</v>
      </c>
      <c r="G20" s="20"/>
      <c r="H20" s="20"/>
    </row>
    <row r="21" spans="1:10" x14ac:dyDescent="0.25">
      <c r="C21" s="11"/>
      <c r="E21" s="11"/>
    </row>
    <row r="22" spans="1:10" x14ac:dyDescent="0.25">
      <c r="E22" s="11"/>
    </row>
  </sheetData>
  <protectedRanges>
    <protectedRange sqref="I8" name="Range1_1_1"/>
    <protectedRange sqref="I6:I7" name="Range1_1_3"/>
  </protectedRanges>
  <mergeCells count="11">
    <mergeCell ref="J6:J7"/>
    <mergeCell ref="G6:G7"/>
    <mergeCell ref="A2:B2"/>
    <mergeCell ref="H6:H7"/>
    <mergeCell ref="I6:I7"/>
    <mergeCell ref="E6:E7"/>
    <mergeCell ref="A6:A7"/>
    <mergeCell ref="B6:B7"/>
    <mergeCell ref="F6:F7"/>
    <mergeCell ref="C6:C7"/>
    <mergeCell ref="D6:D7"/>
  </mergeCells>
  <pageMargins left="0.70866141732283505" right="0.70866141732283505" top="0.74803149606299202" bottom="0.74803149606299202" header="0.31496062992126" footer="0.31496062992126"/>
  <pageSetup scale="68" orientation="landscape" r:id="rId1"/>
  <headerFooter>
    <oddFooter>&amp;A</oddFooter>
  </headerFooter>
  <ignoredErrors>
    <ignoredError sqref="G4" unlockedFormula="1"/>
    <ignoredError sqref="J15 F9:F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D4B6-82E1-4E70-94BC-E8AE00D701FB}">
  <sheetPr>
    <pageSetUpPr fitToPage="1"/>
  </sheetPr>
  <dimension ref="A1:J19"/>
  <sheetViews>
    <sheetView showGridLines="0" zoomScaleNormal="100" zoomScaleSheetLayoutView="100" workbookViewId="0">
      <selection activeCell="D13" sqref="D13"/>
    </sheetView>
  </sheetViews>
  <sheetFormatPr defaultColWidth="9.140625" defaultRowHeight="15" x14ac:dyDescent="0.25"/>
  <cols>
    <col min="1" max="1" width="48.5703125" customWidth="1"/>
    <col min="2" max="2" width="6.7109375" customWidth="1"/>
    <col min="3" max="3" width="17.42578125" customWidth="1"/>
    <col min="4" max="4" width="16.5703125" customWidth="1"/>
    <col min="5" max="5" width="16.7109375" customWidth="1"/>
    <col min="6" max="6" width="11.7109375" customWidth="1"/>
    <col min="7" max="10" width="16.7109375" customWidth="1"/>
    <col min="11" max="11" width="17.7109375" bestFit="1" customWidth="1"/>
  </cols>
  <sheetData>
    <row r="1" spans="1:10" x14ac:dyDescent="0.25">
      <c r="A1" s="2"/>
      <c r="B1" s="2"/>
      <c r="C1" s="2"/>
      <c r="D1" s="2"/>
      <c r="E1" s="2"/>
      <c r="F1" s="2"/>
      <c r="H1" s="2"/>
      <c r="I1" s="2"/>
    </row>
    <row r="2" spans="1:10" x14ac:dyDescent="0.25">
      <c r="A2" s="59" t="s">
        <v>2</v>
      </c>
      <c r="B2" s="59"/>
      <c r="C2" s="10"/>
      <c r="D2" s="10"/>
      <c r="E2" s="2"/>
      <c r="F2" s="21"/>
      <c r="G2" s="9">
        <v>12</v>
      </c>
      <c r="H2" s="4" t="str">
        <f>IF(G2&gt;0, "Rate Rider Recovery to be used below", "If no rate rider recovery period is proposed then the default recovery period of 12 months will be used")</f>
        <v>Rate Rider Recovery to be used below</v>
      </c>
      <c r="J2" s="3"/>
    </row>
    <row r="3" spans="1:10" x14ac:dyDescent="0.25">
      <c r="B3" s="10" t="str">
        <f>BRZ!B3</f>
        <v>2025 PCI</v>
      </c>
      <c r="C3" s="10"/>
      <c r="D3" s="10"/>
      <c r="E3" s="10"/>
      <c r="F3" s="22">
        <v>4.4999999999999998E-2</v>
      </c>
      <c r="G3" s="22">
        <f>BRZ!G3</f>
        <v>3.3000000000000002E-2</v>
      </c>
      <c r="H3" s="4"/>
      <c r="I3" s="4"/>
    </row>
    <row r="5" spans="1:10" s="11" customFormat="1" ht="12.75" x14ac:dyDescent="0.2">
      <c r="A5" s="67" t="s">
        <v>34</v>
      </c>
      <c r="B5" s="63" t="s">
        <v>1</v>
      </c>
      <c r="C5" s="62" t="s">
        <v>40</v>
      </c>
      <c r="D5" s="65" t="s">
        <v>39</v>
      </c>
      <c r="E5" s="61" t="s">
        <v>42</v>
      </c>
      <c r="F5" s="65" t="s">
        <v>38</v>
      </c>
      <c r="G5" s="61" t="s">
        <v>43</v>
      </c>
      <c r="H5" s="60" t="s">
        <v>3</v>
      </c>
      <c r="I5" s="60" t="s">
        <v>4</v>
      </c>
      <c r="J5" s="58" t="s">
        <v>37</v>
      </c>
    </row>
    <row r="6" spans="1:10" s="11" customFormat="1" ht="43.9" customHeight="1" x14ac:dyDescent="0.2">
      <c r="A6" s="68" t="s">
        <v>0</v>
      </c>
      <c r="B6" s="64"/>
      <c r="C6" s="62"/>
      <c r="D6" s="66"/>
      <c r="E6" s="61"/>
      <c r="F6" s="66"/>
      <c r="G6" s="61"/>
      <c r="H6" s="60"/>
      <c r="I6" s="60"/>
      <c r="J6" s="58"/>
    </row>
    <row r="7" spans="1:10" x14ac:dyDescent="0.25">
      <c r="A7" s="28"/>
      <c r="B7" s="29"/>
      <c r="C7" s="29" t="s">
        <v>20</v>
      </c>
      <c r="D7" s="29" t="s">
        <v>21</v>
      </c>
      <c r="E7" s="30" t="s">
        <v>44</v>
      </c>
      <c r="F7" s="29" t="s">
        <v>22</v>
      </c>
      <c r="G7" s="30" t="s">
        <v>45</v>
      </c>
      <c r="H7" s="24" t="s">
        <v>46</v>
      </c>
      <c r="I7" s="24" t="s">
        <v>47</v>
      </c>
      <c r="J7" s="13" t="s">
        <v>48</v>
      </c>
    </row>
    <row r="8" spans="1:10" s="11" customFormat="1" ht="12.75" x14ac:dyDescent="0.2">
      <c r="A8" s="28" t="str">
        <f>+BRZ!A8</f>
        <v>Residential Service Classification</v>
      </c>
      <c r="B8" s="29" t="s">
        <v>24</v>
      </c>
      <c r="C8" s="48">
        <v>0</v>
      </c>
      <c r="D8" s="48">
        <f t="shared" ref="D8:D15" si="0">C8*$F$3</f>
        <v>0</v>
      </c>
      <c r="E8" s="48">
        <f>C8+D8</f>
        <v>0</v>
      </c>
      <c r="F8" s="48">
        <f t="shared" ref="F8:F15" si="1">E8*$G$3</f>
        <v>0</v>
      </c>
      <c r="G8" s="48">
        <f t="shared" ref="G8:G15" si="2">E8+F8</f>
        <v>0</v>
      </c>
      <c r="H8" s="12">
        <v>1657486848.4439731</v>
      </c>
      <c r="I8" s="12">
        <v>0</v>
      </c>
      <c r="J8" s="55">
        <f t="shared" ref="J8:J15" si="3">IFERROR(IF(B8="kwh",G8/H8/($G$2/12),G8/I8/($G$2/12)),0)</f>
        <v>0</v>
      </c>
    </row>
    <row r="9" spans="1:10" s="11" customFormat="1" ht="12.75" x14ac:dyDescent="0.2">
      <c r="A9" s="28" t="str">
        <f>+BRZ!A9</f>
        <v>General Service less than 50 kW Service Classification</v>
      </c>
      <c r="B9" s="29" t="s">
        <v>24</v>
      </c>
      <c r="C9" s="48">
        <v>331053.56586480001</v>
      </c>
      <c r="D9" s="48">
        <f t="shared" si="0"/>
        <v>14897.410463916</v>
      </c>
      <c r="E9" s="48">
        <f t="shared" ref="E9:E15" si="4">C9+D9</f>
        <v>345950.97632871603</v>
      </c>
      <c r="F9" s="48">
        <f t="shared" si="1"/>
        <v>11416.38221884763</v>
      </c>
      <c r="G9" s="48">
        <f t="shared" si="2"/>
        <v>357367.35854756366</v>
      </c>
      <c r="H9" s="12">
        <v>561539589.15438223</v>
      </c>
      <c r="I9" s="12">
        <v>0</v>
      </c>
      <c r="J9" s="55">
        <f t="shared" si="3"/>
        <v>6.3640634685387045E-4</v>
      </c>
    </row>
    <row r="10" spans="1:10" s="11" customFormat="1" ht="12.75" x14ac:dyDescent="0.2">
      <c r="A10" s="28" t="s">
        <v>17</v>
      </c>
      <c r="B10" s="29" t="s">
        <v>25</v>
      </c>
      <c r="C10" s="48">
        <v>-79045.753551337635</v>
      </c>
      <c r="D10" s="48">
        <f t="shared" si="0"/>
        <v>-3557.0589098101937</v>
      </c>
      <c r="E10" s="48">
        <f t="shared" si="4"/>
        <v>-82602.812461147827</v>
      </c>
      <c r="F10" s="48">
        <f t="shared" si="1"/>
        <v>-2725.8928112178783</v>
      </c>
      <c r="G10" s="48">
        <f t="shared" si="2"/>
        <v>-85328.705272365711</v>
      </c>
      <c r="H10" s="12">
        <v>1811633307.5027714</v>
      </c>
      <c r="I10" s="12">
        <v>4805215.9552352568</v>
      </c>
      <c r="J10" s="55">
        <f t="shared" si="3"/>
        <v>-1.7757517261924628E-2</v>
      </c>
    </row>
    <row r="11" spans="1:10" s="11" customFormat="1" ht="12.75" x14ac:dyDescent="0.2">
      <c r="A11" s="28" t="str">
        <f>+BRZ!A12</f>
        <v>Large Use Service Classification</v>
      </c>
      <c r="B11" s="29" t="s">
        <v>25</v>
      </c>
      <c r="C11" s="48">
        <v>27660.836416015503</v>
      </c>
      <c r="D11" s="48">
        <f t="shared" si="0"/>
        <v>1244.7376387206975</v>
      </c>
      <c r="E11" s="48">
        <f t="shared" si="4"/>
        <v>28905.5740547362</v>
      </c>
      <c r="F11" s="48">
        <f t="shared" si="1"/>
        <v>953.88394380629461</v>
      </c>
      <c r="G11" s="48">
        <f t="shared" si="2"/>
        <v>29859.457998542493</v>
      </c>
      <c r="H11" s="12">
        <v>180612105.7186676</v>
      </c>
      <c r="I11" s="12">
        <v>417365.41816406255</v>
      </c>
      <c r="J11" s="55">
        <f t="shared" si="3"/>
        <v>7.1542721794945197E-2</v>
      </c>
    </row>
    <row r="12" spans="1:10" s="11" customFormat="1" ht="12.75" x14ac:dyDescent="0.2">
      <c r="A12" s="28" t="s">
        <v>18</v>
      </c>
      <c r="B12" s="29" t="s">
        <v>25</v>
      </c>
      <c r="C12" s="48">
        <v>28857.194779763813</v>
      </c>
      <c r="D12" s="48">
        <f t="shared" si="0"/>
        <v>1298.5737650893716</v>
      </c>
      <c r="E12" s="48">
        <f t="shared" si="4"/>
        <v>30155.768544853185</v>
      </c>
      <c r="F12" s="48">
        <f t="shared" si="1"/>
        <v>995.14036198015515</v>
      </c>
      <c r="G12" s="48">
        <f t="shared" si="2"/>
        <v>31150.908906833341</v>
      </c>
      <c r="H12" s="12">
        <v>905271908.2055124</v>
      </c>
      <c r="I12" s="12">
        <v>1646341.2504829941</v>
      </c>
      <c r="J12" s="55">
        <f t="shared" si="3"/>
        <v>1.8921295264693432E-2</v>
      </c>
    </row>
    <row r="13" spans="1:10" s="11" customFormat="1" ht="12.75" x14ac:dyDescent="0.2">
      <c r="A13" s="28" t="str">
        <f>+BRZ!A13</f>
        <v>Unmetered Scattered Load Service Classification</v>
      </c>
      <c r="B13" s="29" t="s">
        <v>24</v>
      </c>
      <c r="C13" s="48">
        <v>50569.463119425811</v>
      </c>
      <c r="D13" s="48">
        <f t="shared" si="0"/>
        <v>2275.6258403741613</v>
      </c>
      <c r="E13" s="48">
        <f t="shared" si="4"/>
        <v>52845.08895979997</v>
      </c>
      <c r="F13" s="48">
        <f t="shared" si="1"/>
        <v>1743.8879356733992</v>
      </c>
      <c r="G13" s="48">
        <f t="shared" si="2"/>
        <v>54588.976895473366</v>
      </c>
      <c r="H13" s="12">
        <v>11006324.870732566</v>
      </c>
      <c r="I13" s="12">
        <v>0</v>
      </c>
      <c r="J13" s="55">
        <f t="shared" si="3"/>
        <v>4.9597824466033587E-3</v>
      </c>
    </row>
    <row r="14" spans="1:10" s="11" customFormat="1" ht="12.75" x14ac:dyDescent="0.2">
      <c r="A14" s="28" t="str">
        <f>+BRZ!A14</f>
        <v>Street Lighting Service Classification</v>
      </c>
      <c r="B14" s="29" t="s">
        <v>25</v>
      </c>
      <c r="C14" s="48">
        <v>208172.89827748487</v>
      </c>
      <c r="D14" s="48">
        <f t="shared" si="0"/>
        <v>9367.7804224868196</v>
      </c>
      <c r="E14" s="48">
        <f t="shared" si="4"/>
        <v>217540.6786999717</v>
      </c>
      <c r="F14" s="48">
        <f t="shared" si="1"/>
        <v>7178.8423970990661</v>
      </c>
      <c r="G14" s="48">
        <f t="shared" si="2"/>
        <v>224719.52109707077</v>
      </c>
      <c r="H14" s="12">
        <v>16789771.81488261</v>
      </c>
      <c r="I14" s="12">
        <v>48733.908156655394</v>
      </c>
      <c r="J14" s="55">
        <f t="shared" si="3"/>
        <v>4.6111532934052555</v>
      </c>
    </row>
    <row r="15" spans="1:10" s="11" customFormat="1" ht="12.75" x14ac:dyDescent="0.2">
      <c r="A15" s="28" t="s">
        <v>19</v>
      </c>
      <c r="B15" s="29" t="s">
        <v>25</v>
      </c>
      <c r="C15" s="48">
        <v>0</v>
      </c>
      <c r="D15" s="48">
        <f t="shared" si="0"/>
        <v>0</v>
      </c>
      <c r="E15" s="48">
        <f t="shared" si="4"/>
        <v>0</v>
      </c>
      <c r="F15" s="48">
        <f t="shared" si="1"/>
        <v>0</v>
      </c>
      <c r="G15" s="48">
        <f t="shared" si="2"/>
        <v>0</v>
      </c>
      <c r="H15" s="12">
        <v>420155.2814978963</v>
      </c>
      <c r="I15" s="12">
        <v>1039.0705861644078</v>
      </c>
      <c r="J15" s="55">
        <f t="shared" si="3"/>
        <v>0</v>
      </c>
    </row>
    <row r="16" spans="1:10" s="25" customFormat="1" ht="12.75" x14ac:dyDescent="0.2">
      <c r="A16" s="33" t="s">
        <v>12</v>
      </c>
      <c r="B16" s="40"/>
      <c r="C16" s="53">
        <f>SUM(C8:C15)</f>
        <v>567268.20490615233</v>
      </c>
      <c r="D16" s="53">
        <f>SUM(D8:D15)</f>
        <v>25527.069220776855</v>
      </c>
      <c r="E16" s="35">
        <f>SUM(E8:E15)</f>
        <v>592795.27412692923</v>
      </c>
      <c r="F16" s="35">
        <f t="shared" ref="F16:I16" si="5">SUM(F8:F15)</f>
        <v>19562.244046188665</v>
      </c>
      <c r="G16" s="35">
        <f t="shared" si="5"/>
        <v>612357.51817311789</v>
      </c>
      <c r="H16" s="35">
        <f t="shared" si="5"/>
        <v>5144760010.9924192</v>
      </c>
      <c r="I16" s="35">
        <f t="shared" si="5"/>
        <v>6918695.6026251335</v>
      </c>
      <c r="J16" s="27"/>
    </row>
    <row r="17" spans="1:10" x14ac:dyDescent="0.25">
      <c r="A17" s="5" t="s">
        <v>26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5" t="s">
        <v>26</v>
      </c>
    </row>
    <row r="19" spans="1:10" x14ac:dyDescent="0.25">
      <c r="A19" s="23" t="s">
        <v>30</v>
      </c>
    </row>
  </sheetData>
  <protectedRanges>
    <protectedRange sqref="G8:G15" name="Range1_1_1_1"/>
    <protectedRange sqref="I5:I6" name="Range1_1_1"/>
    <protectedRange sqref="I7" name="Range1_1_2"/>
  </protectedRanges>
  <mergeCells count="11">
    <mergeCell ref="J5:J6"/>
    <mergeCell ref="G5:G6"/>
    <mergeCell ref="A2:B2"/>
    <mergeCell ref="H5:H6"/>
    <mergeCell ref="I5:I6"/>
    <mergeCell ref="E5:E6"/>
    <mergeCell ref="F5:F6"/>
    <mergeCell ref="A5:A6"/>
    <mergeCell ref="B5:B6"/>
    <mergeCell ref="C5:C6"/>
    <mergeCell ref="D5:D6"/>
  </mergeCells>
  <pageMargins left="0.70866141732283505" right="0.70866141732283505" top="0.74803149606299202" bottom="0.74803149606299202" header="0.31496062992126" footer="0.31496062992126"/>
  <pageSetup scale="66" orientation="landscape" r:id="rId1"/>
  <headerFooter>
    <oddFooter>&amp;A</oddFooter>
  </headerFooter>
  <ignoredErrors>
    <ignoredError sqref="G3" unlockedFormula="1"/>
    <ignoredError sqref="F8:F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787E-AE18-4331-9AD3-03F1A1618B6B}">
  <sheetPr>
    <pageSetUpPr fitToPage="1"/>
  </sheetPr>
  <dimension ref="A1:J18"/>
  <sheetViews>
    <sheetView showGridLines="0" zoomScaleNormal="100" zoomScaleSheetLayoutView="100" workbookViewId="0">
      <selection activeCell="H18" sqref="H18"/>
    </sheetView>
  </sheetViews>
  <sheetFormatPr defaultColWidth="9.140625" defaultRowHeight="15" x14ac:dyDescent="0.25"/>
  <cols>
    <col min="1" max="1" width="48" customWidth="1"/>
    <col min="2" max="2" width="6.7109375" customWidth="1"/>
    <col min="3" max="3" width="17.140625" customWidth="1"/>
    <col min="4" max="4" width="14.85546875" customWidth="1"/>
    <col min="5" max="5" width="16.7109375" customWidth="1"/>
    <col min="6" max="6" width="12.42578125" customWidth="1"/>
    <col min="7" max="8" width="16.7109375" customWidth="1"/>
    <col min="9" max="9" width="11.85546875" bestFit="1" customWidth="1"/>
    <col min="10" max="10" width="16.7109375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</row>
    <row r="2" spans="1:10" x14ac:dyDescent="0.25">
      <c r="A2" s="59" t="s">
        <v>2</v>
      </c>
      <c r="B2" s="59"/>
      <c r="C2" s="10"/>
      <c r="D2" s="10"/>
      <c r="E2" s="2"/>
      <c r="F2" s="21"/>
      <c r="G2" s="9">
        <v>12</v>
      </c>
      <c r="H2" s="4" t="str">
        <f>IF(G2&gt;0, "Rate Rider Recovery to be used below", "If no rate rider recovery period is proposed then the default recovery period of 12 months will be used")</f>
        <v>Rate Rider Recovery to be used below</v>
      </c>
      <c r="I2" s="3"/>
    </row>
    <row r="3" spans="1:10" x14ac:dyDescent="0.25">
      <c r="B3" s="10" t="str">
        <f>BRZ!B3</f>
        <v>2025 PCI</v>
      </c>
      <c r="C3" s="10"/>
      <c r="D3" s="10"/>
      <c r="E3" s="10"/>
      <c r="F3" s="22">
        <v>4.4999999999999998E-2</v>
      </c>
      <c r="G3" s="22">
        <f>BRZ!G3</f>
        <v>3.3000000000000002E-2</v>
      </c>
      <c r="H3" s="4"/>
      <c r="I3" s="4"/>
    </row>
    <row r="5" spans="1:10" s="18" customFormat="1" ht="33" customHeight="1" x14ac:dyDescent="0.25">
      <c r="A5" s="63" t="s">
        <v>35</v>
      </c>
      <c r="B5" s="63" t="s">
        <v>1</v>
      </c>
      <c r="C5" s="62" t="s">
        <v>40</v>
      </c>
      <c r="D5" s="65" t="s">
        <v>39</v>
      </c>
      <c r="E5" s="61" t="s">
        <v>42</v>
      </c>
      <c r="F5" s="65" t="s">
        <v>38</v>
      </c>
      <c r="G5" s="61" t="s">
        <v>43</v>
      </c>
      <c r="H5" s="60" t="s">
        <v>3</v>
      </c>
      <c r="I5" s="60" t="s">
        <v>4</v>
      </c>
      <c r="J5" s="58" t="s">
        <v>37</v>
      </c>
    </row>
    <row r="6" spans="1:10" s="18" customFormat="1" ht="25.9" customHeight="1" x14ac:dyDescent="0.25">
      <c r="A6" s="64"/>
      <c r="B6" s="64"/>
      <c r="C6" s="62"/>
      <c r="D6" s="66"/>
      <c r="E6" s="61"/>
      <c r="F6" s="66"/>
      <c r="G6" s="61"/>
      <c r="H6" s="60"/>
      <c r="I6" s="60"/>
      <c r="J6" s="58"/>
    </row>
    <row r="7" spans="1:10" x14ac:dyDescent="0.25">
      <c r="A7" s="28"/>
      <c r="B7" s="29"/>
      <c r="C7" s="29" t="s">
        <v>20</v>
      </c>
      <c r="D7" s="29" t="s">
        <v>21</v>
      </c>
      <c r="E7" s="30" t="s">
        <v>44</v>
      </c>
      <c r="F7" s="29" t="s">
        <v>22</v>
      </c>
      <c r="G7" s="30" t="s">
        <v>45</v>
      </c>
      <c r="H7" s="24" t="s">
        <v>46</v>
      </c>
      <c r="I7" s="24" t="s">
        <v>47</v>
      </c>
      <c r="J7" s="13" t="s">
        <v>48</v>
      </c>
    </row>
    <row r="8" spans="1:10" s="42" customFormat="1" ht="12.75" x14ac:dyDescent="0.2">
      <c r="A8" s="28" t="str">
        <f>+BRZ!A8</f>
        <v>Residential Service Classification</v>
      </c>
      <c r="B8" s="29" t="s">
        <v>24</v>
      </c>
      <c r="C8" s="48">
        <v>0</v>
      </c>
      <c r="D8" s="48">
        <f>C8*$F$3</f>
        <v>0</v>
      </c>
      <c r="E8" s="48">
        <f>C8+D8</f>
        <v>0</v>
      </c>
      <c r="F8" s="48">
        <f>E8*$G$3</f>
        <v>0</v>
      </c>
      <c r="G8" s="48">
        <f>E8+F8</f>
        <v>0</v>
      </c>
      <c r="H8" s="12">
        <v>2907298100.1030498</v>
      </c>
      <c r="I8" s="12">
        <v>0</v>
      </c>
      <c r="J8" s="55">
        <f>IFERROR(IF(B8="kwh",G8/H8/($G$2/12),G8/I8/($G$2/12)),0)</f>
        <v>0</v>
      </c>
    </row>
    <row r="9" spans="1:10" s="42" customFormat="1" ht="12.75" x14ac:dyDescent="0.2">
      <c r="A9" s="28" t="str">
        <f>+BRZ!A9</f>
        <v>General Service less than 50 kW Service Classification</v>
      </c>
      <c r="B9" s="29" t="s">
        <v>24</v>
      </c>
      <c r="C9" s="48">
        <v>517055.71044439531</v>
      </c>
      <c r="D9" s="48">
        <f t="shared" ref="D9:D14" si="0">C9*$F$3</f>
        <v>23267.506969997787</v>
      </c>
      <c r="E9" s="48">
        <f t="shared" ref="E9:E14" si="1">C9+D9</f>
        <v>540323.21741439309</v>
      </c>
      <c r="F9" s="48">
        <f t="shared" ref="F9:F14" si="2">E9*$G$3</f>
        <v>17830.666174674974</v>
      </c>
      <c r="G9" s="48">
        <f t="shared" ref="G9:G14" si="3">E9+F9</f>
        <v>558153.88358906808</v>
      </c>
      <c r="H9" s="12">
        <v>1002426174.2</v>
      </c>
      <c r="I9" s="12">
        <v>0</v>
      </c>
      <c r="J9" s="55">
        <f t="shared" ref="J9:J14" si="4">IFERROR(IF(B9="kwh",G9/H9/($G$2/12),G9/I9/($G$2/12)),0)</f>
        <v>5.5680298255830209E-4</v>
      </c>
    </row>
    <row r="10" spans="1:10" s="42" customFormat="1" ht="12.75" x14ac:dyDescent="0.2">
      <c r="A10" s="28" t="str">
        <f>+HRZ!A10</f>
        <v>General Service 50 to 4,999 kW Service Classification</v>
      </c>
      <c r="B10" s="29" t="s">
        <v>25</v>
      </c>
      <c r="C10" s="48">
        <v>2252984.269710754</v>
      </c>
      <c r="D10" s="48">
        <f t="shared" si="0"/>
        <v>101384.29213698393</v>
      </c>
      <c r="E10" s="48">
        <f t="shared" si="1"/>
        <v>2354368.561847738</v>
      </c>
      <c r="F10" s="48">
        <f t="shared" si="2"/>
        <v>77694.162540975361</v>
      </c>
      <c r="G10" s="48">
        <f t="shared" si="3"/>
        <v>2432062.7243887135</v>
      </c>
      <c r="H10" s="12">
        <v>4700075806</v>
      </c>
      <c r="I10" s="12">
        <v>12213078.832717678</v>
      </c>
      <c r="J10" s="55">
        <f t="shared" si="4"/>
        <v>0.199135922866022</v>
      </c>
    </row>
    <row r="11" spans="1:10" s="42" customFormat="1" ht="12.75" x14ac:dyDescent="0.2">
      <c r="A11" s="28" t="str">
        <f>+BRZ!A12</f>
        <v>Large Use Service Classification</v>
      </c>
      <c r="B11" s="29" t="s">
        <v>25</v>
      </c>
      <c r="C11" s="48">
        <v>36705.940295943736</v>
      </c>
      <c r="D11" s="48">
        <f t="shared" si="0"/>
        <v>1651.7673133174681</v>
      </c>
      <c r="E11" s="48">
        <f t="shared" si="1"/>
        <v>38357.707609261204</v>
      </c>
      <c r="F11" s="48">
        <f t="shared" si="2"/>
        <v>1265.8043511056198</v>
      </c>
      <c r="G11" s="48">
        <f t="shared" si="3"/>
        <v>39623.511960366821</v>
      </c>
      <c r="H11" s="12">
        <v>164275588.94</v>
      </c>
      <c r="I11" s="12">
        <v>264790.82720489503</v>
      </c>
      <c r="J11" s="55">
        <f t="shared" si="4"/>
        <v>0.14964080281265243</v>
      </c>
    </row>
    <row r="12" spans="1:10" s="42" customFormat="1" ht="12.75" x14ac:dyDescent="0.2">
      <c r="A12" s="28" t="str">
        <f>+ERZ!A13</f>
        <v>Unmetered Scattered Load Service Classification</v>
      </c>
      <c r="B12" s="29" t="s">
        <v>24</v>
      </c>
      <c r="C12" s="48">
        <v>10574.844865317405</v>
      </c>
      <c r="D12" s="48">
        <f t="shared" si="0"/>
        <v>475.86801893928322</v>
      </c>
      <c r="E12" s="48">
        <f t="shared" si="1"/>
        <v>11050.712884256689</v>
      </c>
      <c r="F12" s="48">
        <f t="shared" si="2"/>
        <v>364.67352518047073</v>
      </c>
      <c r="G12" s="48">
        <f t="shared" si="3"/>
        <v>11415.38640943716</v>
      </c>
      <c r="H12" s="12">
        <v>14867634.290000001</v>
      </c>
      <c r="I12" s="12">
        <v>0</v>
      </c>
      <c r="J12" s="55">
        <f t="shared" si="4"/>
        <v>7.6780113007724241E-4</v>
      </c>
    </row>
    <row r="13" spans="1:10" s="42" customFormat="1" ht="12.75" x14ac:dyDescent="0.2">
      <c r="A13" s="28" t="str">
        <f>+BRZ!A14</f>
        <v>Street Lighting Service Classification</v>
      </c>
      <c r="B13" s="29" t="s">
        <v>25</v>
      </c>
      <c r="C13" s="48">
        <v>337077.22265875596</v>
      </c>
      <c r="D13" s="48">
        <f t="shared" si="0"/>
        <v>15168.475019644018</v>
      </c>
      <c r="E13" s="48">
        <f t="shared" si="1"/>
        <v>352245.69767839997</v>
      </c>
      <c r="F13" s="48">
        <f t="shared" si="2"/>
        <v>11624.1080233872</v>
      </c>
      <c r="G13" s="48">
        <f t="shared" si="3"/>
        <v>363869.80570178718</v>
      </c>
      <c r="H13" s="12">
        <v>38969355.780000001</v>
      </c>
      <c r="I13" s="12">
        <v>110574.40280701756</v>
      </c>
      <c r="J13" s="55">
        <f t="shared" si="4"/>
        <v>3.2907236798451365</v>
      </c>
    </row>
    <row r="14" spans="1:10" s="42" customFormat="1" ht="12.75" x14ac:dyDescent="0.2">
      <c r="A14" s="28" t="str">
        <f>+HRZ!A15</f>
        <v>Sentinel Lighting Service Classification</v>
      </c>
      <c r="B14" s="29" t="s">
        <v>25</v>
      </c>
      <c r="C14" s="48">
        <v>820.93928729967126</v>
      </c>
      <c r="D14" s="48">
        <f t="shared" si="0"/>
        <v>36.942267928485208</v>
      </c>
      <c r="E14" s="48">
        <f t="shared" si="1"/>
        <v>857.88155522815646</v>
      </c>
      <c r="F14" s="48">
        <f t="shared" si="2"/>
        <v>28.310091322529164</v>
      </c>
      <c r="G14" s="48">
        <f t="shared" si="3"/>
        <v>886.19164655068562</v>
      </c>
      <c r="H14" s="12">
        <v>244141.19093000001</v>
      </c>
      <c r="I14" s="12">
        <v>664.15708416121981</v>
      </c>
      <c r="J14" s="55">
        <f t="shared" si="4"/>
        <v>1.3343103125518545</v>
      </c>
    </row>
    <row r="15" spans="1:10" s="43" customFormat="1" ht="12.75" x14ac:dyDescent="0.2">
      <c r="A15" s="33" t="str">
        <f>+BRZ!A18</f>
        <v>Total</v>
      </c>
      <c r="B15" s="40"/>
      <c r="C15" s="54">
        <f>SUM(C8:C14)</f>
        <v>3155218.9272624659</v>
      </c>
      <c r="D15" s="54">
        <f>SUM(D8:D14)</f>
        <v>141984.85172681097</v>
      </c>
      <c r="E15" s="44">
        <f>SUM(E8:E14)</f>
        <v>3297203.7789892773</v>
      </c>
      <c r="F15" s="44">
        <f>SUM(F8:F14)</f>
        <v>108807.72470664616</v>
      </c>
      <c r="G15" s="45">
        <f>SUM(G8:G14)</f>
        <v>3406011.5036959234</v>
      </c>
      <c r="H15" s="41">
        <f t="shared" ref="H15:I15" si="5">SUM(H8:H14)</f>
        <v>8828156800.5039825</v>
      </c>
      <c r="I15" s="41">
        <f t="shared" si="5"/>
        <v>12589108.219813751</v>
      </c>
      <c r="J15" s="46"/>
    </row>
    <row r="16" spans="1:10" x14ac:dyDescent="0.25">
      <c r="A16" t="s">
        <v>26</v>
      </c>
    </row>
    <row r="17" spans="1:1" x14ac:dyDescent="0.25">
      <c r="A17" t="s">
        <v>26</v>
      </c>
    </row>
    <row r="18" spans="1:1" ht="25.5" x14ac:dyDescent="0.25">
      <c r="A18" s="23" t="s">
        <v>30</v>
      </c>
    </row>
  </sheetData>
  <protectedRanges>
    <protectedRange sqref="G8:G14" name="Range1_1_1_1_1"/>
    <protectedRange sqref="I5:I7" name="Range1_1_1"/>
  </protectedRanges>
  <mergeCells count="11">
    <mergeCell ref="J5:J6"/>
    <mergeCell ref="G5:G6"/>
    <mergeCell ref="A2:B2"/>
    <mergeCell ref="H5:H6"/>
    <mergeCell ref="I5:I6"/>
    <mergeCell ref="E5:E6"/>
    <mergeCell ref="F5:F6"/>
    <mergeCell ref="A5:A6"/>
    <mergeCell ref="B5:B6"/>
    <mergeCell ref="C5:C6"/>
    <mergeCell ref="D5:D6"/>
  </mergeCells>
  <pageMargins left="0.70866141732283505" right="0.70866141732283505" top="0.74803149606299202" bottom="0.74803149606299202" header="0.31496062992126" footer="0.31496062992126"/>
  <pageSetup scale="69" orientation="landscape" r:id="rId1"/>
  <headerFooter>
    <oddFooter>&amp;A</oddFooter>
  </headerFooter>
  <ignoredErrors>
    <ignoredError sqref="G3 G15" unlockedFormula="1"/>
    <ignoredError sqref="G16 G8:G14" formula="1" unlockedFormula="1"/>
    <ignoredError sqref="F8:F14 F16 F15 H15:J15 J14 H16:J16 J8 J9 J10 J11 J12 J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BRZ</vt:lpstr>
      <vt:lpstr>ERZ</vt:lpstr>
      <vt:lpstr>GRZ</vt:lpstr>
      <vt:lpstr>HRZ</vt:lpstr>
      <vt:lpstr>PRZ</vt:lpstr>
      <vt:lpstr>BRZ!Print_Area</vt:lpstr>
      <vt:lpstr>ERZ!Print_Area</vt:lpstr>
      <vt:lpstr>GRZ!Print_Area</vt:lpstr>
      <vt:lpstr>HRZ!Print_Area</vt:lpstr>
      <vt:lpstr>PRZ!Print_Area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Yan</dc:creator>
  <cp:lastModifiedBy>Angela Yan</cp:lastModifiedBy>
  <cp:lastPrinted>2024-08-13T15:04:57Z</cp:lastPrinted>
  <dcterms:created xsi:type="dcterms:W3CDTF">2023-07-21T15:24:45Z</dcterms:created>
  <dcterms:modified xsi:type="dcterms:W3CDTF">2024-08-15T16:42:32Z</dcterms:modified>
</cp:coreProperties>
</file>