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2025RateAppSettlement/Settlement Agreement/Final Settlement Submission/a) Settlement Proposal Schedules/"/>
    </mc:Choice>
  </mc:AlternateContent>
  <xr:revisionPtr revIDLastSave="0" documentId="13_ncr:1_{E3F8B9F8-4044-4251-A7F2-6B3AB8F9A5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endix 2-M" sheetId="1" r:id="rId1"/>
  </sheets>
  <externalReferences>
    <externalReference r:id="rId2"/>
  </externalReferences>
  <definedNames>
    <definedName name="EBNUMBER">'[1]LDC Info'!$E$16</definedName>
    <definedName name="RebaseYear">'[1]LDC Info'!$E$28</definedName>
    <definedName name="TestYear">'[1]LDC Info'!$E$24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G34" i="1" l="1"/>
  <c r="E34" i="1"/>
  <c r="C33" i="1"/>
  <c r="C32" i="1"/>
  <c r="D33" i="1"/>
  <c r="D32" i="1"/>
  <c r="K30" i="1"/>
  <c r="K29" i="1"/>
  <c r="K28" i="1"/>
  <c r="K27" i="1"/>
  <c r="H29" i="1"/>
  <c r="I29" i="1" s="1"/>
  <c r="H28" i="1"/>
  <c r="I28" i="1" s="1"/>
  <c r="H27" i="1"/>
  <c r="I27" i="1" s="1"/>
  <c r="G35" i="1"/>
  <c r="G36" i="1" l="1"/>
  <c r="H35" i="1"/>
  <c r="I35" i="1" l="1"/>
  <c r="I36" i="1" s="1"/>
  <c r="H36" i="1"/>
  <c r="L16" i="1" l="1"/>
  <c r="J34" i="1" l="1"/>
  <c r="J35" i="1"/>
  <c r="M32" i="1"/>
  <c r="M17" i="1"/>
  <c r="M16" i="1"/>
  <c r="L32" i="1"/>
  <c r="L17" i="1"/>
  <c r="D31" i="1"/>
  <c r="J36" i="1" l="1"/>
  <c r="K33" i="1"/>
  <c r="K35" i="1" s="1"/>
  <c r="D28" i="1"/>
  <c r="D27" i="1"/>
  <c r="C31" i="1"/>
  <c r="C27" i="1"/>
  <c r="M27" i="1" s="1"/>
  <c r="C28" i="1"/>
  <c r="D30" i="1"/>
  <c r="C30" i="1"/>
  <c r="D35" i="1" l="1"/>
  <c r="L27" i="1"/>
  <c r="C35" i="1"/>
  <c r="L30" i="1"/>
  <c r="M30" i="1"/>
  <c r="M31" i="1"/>
  <c r="L31" i="1"/>
  <c r="M33" i="1"/>
  <c r="L33" i="1"/>
  <c r="D34" i="1"/>
  <c r="L34" i="1" s="1"/>
  <c r="F35" i="1"/>
  <c r="F34" i="1"/>
  <c r="M28" i="1" l="1"/>
  <c r="L28" i="1"/>
  <c r="M35" i="1" l="1"/>
  <c r="L35" i="1"/>
  <c r="K36" i="1"/>
  <c r="C34" i="1" l="1"/>
  <c r="C36" i="1" l="1"/>
  <c r="M34" i="1"/>
  <c r="D36" i="1"/>
  <c r="L36" i="1" s="1"/>
  <c r="F36" i="1" l="1"/>
</calcChain>
</file>

<file path=xl/sharedStrings.xml><?xml version="1.0" encoding="utf-8"?>
<sst xmlns="http://schemas.openxmlformats.org/spreadsheetml/2006/main" count="45" uniqueCount="45">
  <si>
    <t>TO BE UPDATED AT THE DRAFT RATE ORDER STAGE</t>
  </si>
  <si>
    <t>Regulatory Cost Schedule</t>
  </si>
  <si>
    <t>Regulatory Cost Category</t>
  </si>
  <si>
    <t>Regulatory Costs (Ongoing)</t>
  </si>
  <si>
    <t>OEB Annual Assessment</t>
  </si>
  <si>
    <t>OEB Section 30 Costs (OEB-initiated)</t>
  </si>
  <si>
    <t>Intervenor costs</t>
  </si>
  <si>
    <t>Regulatory Costs (One-Time)</t>
  </si>
  <si>
    <t>Legal costs</t>
  </si>
  <si>
    <t>Incremental operating expenses associated with staff resources allocated to this application.</t>
  </si>
  <si>
    <t>OEB Section 30 Costs (application-related)</t>
  </si>
  <si>
    <t>Total</t>
  </si>
  <si>
    <t>Notes:</t>
  </si>
  <si>
    <t>2</t>
  </si>
  <si>
    <t>Sum of all ongoing costs.</t>
  </si>
  <si>
    <t>3</t>
  </si>
  <si>
    <t>Sum of all one-time costs.</t>
  </si>
  <si>
    <r>
      <t xml:space="preserve">Sub-total - Ongoing Costs </t>
    </r>
    <r>
      <rPr>
        <vertAlign val="superscript"/>
        <sz val="10"/>
        <rFont val="Calibri"/>
        <family val="2"/>
        <scheme val="minor"/>
      </rPr>
      <t>2</t>
    </r>
  </si>
  <si>
    <r>
      <t xml:space="preserve">Sub-total - One-time Costs </t>
    </r>
    <r>
      <rPr>
        <vertAlign val="superscript"/>
        <sz val="10"/>
        <rFont val="Calibri"/>
        <family val="2"/>
        <scheme val="minor"/>
      </rPr>
      <t>3</t>
    </r>
  </si>
  <si>
    <t>Operating Expenses - Printing</t>
  </si>
  <si>
    <t>Operating Expenses - Miscellaneous</t>
  </si>
  <si>
    <t>OEB Appendix 2-M</t>
  </si>
  <si>
    <t>EB-2023-0195</t>
  </si>
  <si>
    <t>Consultants and Expert Witness costs</t>
  </si>
  <si>
    <t>2025                    Test Year</t>
  </si>
  <si>
    <t>2020                          OEB Approved</t>
  </si>
  <si>
    <t>2020                      Actuals</t>
  </si>
  <si>
    <t>2022                     Actuals</t>
  </si>
  <si>
    <t>2024                     Bridge</t>
  </si>
  <si>
    <t>(D)</t>
  </si>
  <si>
    <t>(E)</t>
  </si>
  <si>
    <t>(F)</t>
  </si>
  <si>
    <t>2020 Actuals vs. Test Year
  % Change</t>
  </si>
  <si>
    <t>2020 OEB Approved vs. Test Year                                       % Change</t>
  </si>
  <si>
    <t>(A)</t>
  </si>
  <si>
    <t>(B)</t>
  </si>
  <si>
    <t>(C)</t>
  </si>
  <si>
    <t>(G) = [(F)-(B)]/(B)</t>
  </si>
  <si>
    <t>(J) = [(F)-(A)]/(A)</t>
  </si>
  <si>
    <t>2023
Actuals</t>
  </si>
  <si>
    <t xml:space="preserve">2023 Bridge vs. Actuals
$ Change  </t>
  </si>
  <si>
    <t xml:space="preserve">2023 Bridge vs. Actuals
% Change  </t>
  </si>
  <si>
    <t xml:space="preserve">2021 Actuals </t>
  </si>
  <si>
    <t>Settlement Proposal</t>
  </si>
  <si>
    <t>Schedule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</si>
</sst>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0" fillId="0" borderId="0" xfId="0" applyFont="1" applyProtection="1"/>
    <xf numFmtId="0" fontId="4" fillId="0" borderId="0" xfId="0" applyFont="1" applyAlignment="1" applyProtection="1">
      <alignment horizontal="right" vertical="top"/>
    </xf>
    <xf numFmtId="0" fontId="4" fillId="2" borderId="1" xfId="0" applyFont="1" applyFill="1" applyBorder="1" applyAlignment="1" applyProtection="1">
      <alignment horizontal="right" vertical="top"/>
      <protection locked="0"/>
    </xf>
    <xf numFmtId="0" fontId="5" fillId="0" borderId="0" xfId="3" applyFont="1" applyProtection="1"/>
    <xf numFmtId="0" fontId="4" fillId="2" borderId="0" xfId="0" applyFont="1" applyFill="1" applyAlignment="1" applyProtection="1">
      <alignment horizontal="right" vertical="top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top"/>
    </xf>
    <xf numFmtId="0" fontId="3" fillId="0" borderId="13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vertical="top" wrapText="1"/>
    </xf>
    <xf numFmtId="0" fontId="7" fillId="0" borderId="14" xfId="0" applyFont="1" applyBorder="1" applyAlignment="1" applyProtection="1">
      <alignment vertical="top" wrapText="1"/>
    </xf>
    <xf numFmtId="0" fontId="3" fillId="0" borderId="17" xfId="0" applyFont="1" applyBorder="1" applyAlignment="1" applyProtection="1">
      <alignment horizontal="center" vertical="top"/>
    </xf>
    <xf numFmtId="0" fontId="3" fillId="0" borderId="0" xfId="0" applyFont="1" applyProtection="1"/>
    <xf numFmtId="0" fontId="9" fillId="0" borderId="0" xfId="0" quotePrefix="1" applyFont="1" applyAlignment="1" applyProtection="1">
      <alignment horizontal="center"/>
    </xf>
    <xf numFmtId="0" fontId="7" fillId="0" borderId="0" xfId="0" applyFont="1" applyProtection="1"/>
    <xf numFmtId="3" fontId="0" fillId="0" borderId="0" xfId="0" applyNumberFormat="1" applyFont="1" applyProtection="1"/>
    <xf numFmtId="0" fontId="10" fillId="0" borderId="0" xfId="0" applyFont="1" applyAlignment="1">
      <alignment horizont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0" fillId="0" borderId="0" xfId="0" applyFont="1"/>
    <xf numFmtId="15" fontId="4" fillId="2" borderId="0" xfId="0" applyNumberFormat="1" applyFont="1" applyFill="1" applyAlignment="1" applyProtection="1">
      <alignment horizontal="right" vertical="top"/>
      <protection locked="0"/>
    </xf>
    <xf numFmtId="164" fontId="0" fillId="0" borderId="0" xfId="0" applyNumberFormat="1" applyFont="1"/>
    <xf numFmtId="0" fontId="11" fillId="0" borderId="6" xfId="0" quotePrefix="1" applyFont="1" applyBorder="1" applyAlignment="1" applyProtection="1">
      <alignment horizontal="center"/>
    </xf>
    <xf numFmtId="0" fontId="11" fillId="0" borderId="6" xfId="0" applyFont="1" applyBorder="1" applyAlignment="1" applyProtection="1">
      <alignment vertical="top" wrapText="1"/>
    </xf>
    <xf numFmtId="0" fontId="11" fillId="2" borderId="10" xfId="0" applyFont="1" applyFill="1" applyBorder="1" applyAlignment="1" applyProtection="1">
      <alignment vertical="top"/>
      <protection locked="0"/>
    </xf>
    <xf numFmtId="0" fontId="11" fillId="0" borderId="15" xfId="0" applyFont="1" applyBorder="1" applyAlignment="1" applyProtection="1">
      <alignment vertical="top" wrapText="1"/>
    </xf>
    <xf numFmtId="0" fontId="11" fillId="0" borderId="18" xfId="0" applyFont="1" applyBorder="1" applyAlignment="1" applyProtection="1">
      <alignment vertical="top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11" fillId="0" borderId="14" xfId="0" quotePrefix="1" applyFont="1" applyBorder="1" applyAlignment="1" applyProtection="1">
      <alignment horizontal="center"/>
    </xf>
    <xf numFmtId="44" fontId="0" fillId="0" borderId="0" xfId="0" applyNumberFormat="1" applyFont="1" applyProtection="1"/>
    <xf numFmtId="164" fontId="11" fillId="3" borderId="10" xfId="1" applyNumberFormat="1" applyFont="1" applyFill="1" applyBorder="1" applyAlignment="1" applyProtection="1">
      <alignment vertical="top"/>
      <protection locked="0"/>
    </xf>
    <xf numFmtId="164" fontId="11" fillId="4" borderId="10" xfId="1" applyNumberFormat="1" applyFont="1" applyFill="1" applyBorder="1" applyAlignment="1" applyProtection="1">
      <alignment vertical="top"/>
    </xf>
    <xf numFmtId="164" fontId="11" fillId="5" borderId="10" xfId="1" applyNumberFormat="1" applyFont="1" applyFill="1" applyBorder="1" applyAlignment="1" applyProtection="1">
      <alignment vertical="top"/>
      <protection locked="0"/>
    </xf>
    <xf numFmtId="10" fontId="11" fillId="5" borderId="10" xfId="1" applyNumberFormat="1" applyFont="1" applyFill="1" applyBorder="1" applyAlignment="1" applyProtection="1">
      <alignment vertical="top"/>
      <protection locked="0"/>
    </xf>
    <xf numFmtId="164" fontId="11" fillId="5" borderId="16" xfId="1" applyNumberFormat="1" applyFont="1" applyFill="1" applyBorder="1" applyAlignment="1" applyProtection="1">
      <alignment vertical="top"/>
    </xf>
    <xf numFmtId="10" fontId="11" fillId="5" borderId="16" xfId="2" applyNumberFormat="1" applyFont="1" applyFill="1" applyBorder="1" applyAlignment="1" applyProtection="1">
      <alignment vertical="top"/>
    </xf>
    <xf numFmtId="164" fontId="11" fillId="5" borderId="18" xfId="1" applyNumberFormat="1" applyFont="1" applyFill="1" applyBorder="1" applyAlignment="1" applyProtection="1">
      <alignment vertical="top"/>
    </xf>
    <xf numFmtId="10" fontId="11" fillId="5" borderId="18" xfId="1" applyNumberFormat="1" applyFont="1" applyFill="1" applyBorder="1" applyAlignment="1" applyProtection="1">
      <alignment vertical="top"/>
    </xf>
    <xf numFmtId="0" fontId="11" fillId="0" borderId="7" xfId="0" quotePrefix="1" applyFont="1" applyBorder="1" applyAlignment="1" applyProtection="1">
      <alignment horizontal="right"/>
    </xf>
    <xf numFmtId="10" fontId="11" fillId="0" borderId="7" xfId="0" quotePrefix="1" applyNumberFormat="1" applyFont="1" applyBorder="1" applyAlignment="1" applyProtection="1">
      <alignment horizontal="right"/>
    </xf>
    <xf numFmtId="0" fontId="7" fillId="0" borderId="16" xfId="0" applyFont="1" applyBorder="1" applyAlignment="1" applyProtection="1">
      <alignment horizontal="left" vertical="top" wrapText="1"/>
    </xf>
    <xf numFmtId="164" fontId="11" fillId="5" borderId="10" xfId="1" applyNumberFormat="1" applyFont="1" applyFill="1" applyBorder="1" applyAlignment="1" applyProtection="1">
      <alignment horizontal="left" vertical="top"/>
      <protection locked="0"/>
    </xf>
    <xf numFmtId="164" fontId="11" fillId="5" borderId="10" xfId="1" applyNumberFormat="1" applyFont="1" applyFill="1" applyBorder="1" applyAlignment="1" applyProtection="1">
      <alignment vertical="top"/>
    </xf>
    <xf numFmtId="10" fontId="11" fillId="5" borderId="10" xfId="1" applyNumberFormat="1" applyFont="1" applyFill="1" applyBorder="1" applyAlignment="1" applyProtection="1">
      <alignment vertical="top"/>
    </xf>
    <xf numFmtId="10" fontId="11" fillId="0" borderId="7" xfId="0" quotePrefix="1" applyNumberFormat="1" applyFont="1" applyBorder="1" applyAlignment="1" applyProtection="1">
      <alignment horizontal="right" vertical="top"/>
    </xf>
    <xf numFmtId="0" fontId="3" fillId="0" borderId="13" xfId="0" applyFont="1" applyBorder="1" applyAlignment="1" applyProtection="1">
      <alignment horizontal="center" vertical="center"/>
    </xf>
    <xf numFmtId="164" fontId="11" fillId="0" borderId="10" xfId="1" applyNumberFormat="1" applyFont="1" applyFill="1" applyBorder="1" applyAlignment="1" applyProtection="1">
      <alignment vertical="top"/>
      <protection locked="0"/>
    </xf>
    <xf numFmtId="164" fontId="7" fillId="0" borderId="10" xfId="1" applyNumberFormat="1" applyFont="1" applyFill="1" applyBorder="1" applyAlignment="1" applyProtection="1">
      <alignment vertical="top"/>
      <protection locked="0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10" fontId="11" fillId="0" borderId="7" xfId="0" quotePrefix="1" applyNumberFormat="1" applyFont="1" applyBorder="1" applyAlignment="1" applyProtection="1">
      <alignment horizontal="center" vertical="center"/>
    </xf>
    <xf numFmtId="164" fontId="11" fillId="6" borderId="10" xfId="1" applyNumberFormat="1" applyFont="1" applyFill="1" applyBorder="1" applyAlignment="1" applyProtection="1">
      <alignment vertical="top"/>
      <protection locked="0"/>
    </xf>
    <xf numFmtId="164" fontId="11" fillId="7" borderId="10" xfId="1" applyNumberFormat="1" applyFont="1" applyFill="1" applyBorder="1" applyAlignment="1" applyProtection="1">
      <alignment vertical="top"/>
      <protection locked="0"/>
    </xf>
    <xf numFmtId="164" fontId="11" fillId="6" borderId="16" xfId="1" applyNumberFormat="1" applyFont="1" applyFill="1" applyBorder="1" applyAlignment="1" applyProtection="1">
      <alignment vertical="top"/>
    </xf>
    <xf numFmtId="164" fontId="11" fillId="6" borderId="18" xfId="1" applyNumberFormat="1" applyFont="1" applyFill="1" applyBorder="1" applyAlignment="1" applyProtection="1">
      <alignment vertical="top"/>
    </xf>
    <xf numFmtId="0" fontId="3" fillId="7" borderId="3" xfId="0" applyFont="1" applyFill="1" applyBorder="1" applyAlignment="1" applyProtection="1">
      <alignment horizontal="center" vertical="center" wrapText="1"/>
    </xf>
    <xf numFmtId="0" fontId="2" fillId="7" borderId="22" xfId="0" quotePrefix="1" applyFont="1" applyFill="1" applyBorder="1" applyAlignment="1" applyProtection="1">
      <alignment horizontal="center"/>
    </xf>
    <xf numFmtId="0" fontId="11" fillId="7" borderId="6" xfId="0" quotePrefix="1" applyFont="1" applyFill="1" applyBorder="1" applyAlignment="1" applyProtection="1">
      <alignment horizontal="center"/>
    </xf>
    <xf numFmtId="164" fontId="11" fillId="6" borderId="10" xfId="1" applyNumberFormat="1" applyFont="1" applyFill="1" applyBorder="1" applyAlignment="1" applyProtection="1">
      <alignment vertical="top"/>
    </xf>
    <xf numFmtId="0" fontId="3" fillId="8" borderId="3" xfId="0" applyFont="1" applyFill="1" applyBorder="1" applyAlignment="1" applyProtection="1">
      <alignment horizontal="center" vertical="center" wrapText="1"/>
    </xf>
    <xf numFmtId="0" fontId="2" fillId="8" borderId="22" xfId="0" quotePrefix="1" applyFont="1" applyFill="1" applyBorder="1" applyAlignment="1" applyProtection="1">
      <alignment horizontal="center"/>
    </xf>
    <xf numFmtId="0" fontId="11" fillId="8" borderId="6" xfId="0" quotePrefix="1" applyFont="1" applyFill="1" applyBorder="1" applyAlignment="1" applyProtection="1">
      <alignment horizontal="center"/>
    </xf>
    <xf numFmtId="164" fontId="11" fillId="9" borderId="10" xfId="1" applyNumberFormat="1" applyFont="1" applyFill="1" applyBorder="1" applyAlignment="1" applyProtection="1">
      <alignment vertical="top"/>
      <protection locked="0"/>
    </xf>
    <xf numFmtId="164" fontId="11" fillId="9" borderId="10" xfId="1" applyNumberFormat="1" applyFont="1" applyFill="1" applyBorder="1" applyAlignment="1" applyProtection="1">
      <alignment vertical="top"/>
    </xf>
    <xf numFmtId="165" fontId="11" fillId="9" borderId="10" xfId="2" applyNumberFormat="1" applyFont="1" applyFill="1" applyBorder="1" applyAlignment="1" applyProtection="1">
      <alignment vertical="top"/>
      <protection locked="0"/>
    </xf>
    <xf numFmtId="164" fontId="11" fillId="9" borderId="16" xfId="1" applyNumberFormat="1" applyFont="1" applyFill="1" applyBorder="1" applyAlignment="1" applyProtection="1">
      <alignment vertical="top"/>
    </xf>
    <xf numFmtId="9" fontId="11" fillId="9" borderId="16" xfId="2" applyFont="1" applyFill="1" applyBorder="1" applyAlignment="1" applyProtection="1">
      <alignment vertical="top"/>
    </xf>
    <xf numFmtId="164" fontId="11" fillId="9" borderId="18" xfId="1" applyNumberFormat="1" applyFont="1" applyFill="1" applyBorder="1" applyAlignment="1" applyProtection="1">
      <alignment vertical="top"/>
    </xf>
    <xf numFmtId="164" fontId="11" fillId="9" borderId="18" xfId="2" applyNumberFormat="1" applyFont="1" applyFill="1" applyBorder="1" applyAlignment="1" applyProtection="1">
      <alignment vertical="top"/>
    </xf>
    <xf numFmtId="164" fontId="0" fillId="0" borderId="0" xfId="0" applyNumberFormat="1" applyFont="1" applyProtection="1"/>
    <xf numFmtId="0" fontId="7" fillId="0" borderId="6" xfId="0" quotePrefix="1" applyFont="1" applyBorder="1" applyAlignment="1" applyProtection="1">
      <alignment horizontal="center"/>
    </xf>
    <xf numFmtId="164" fontId="7" fillId="5" borderId="10" xfId="1" applyNumberFormat="1" applyFont="1" applyFill="1" applyBorder="1" applyAlignment="1" applyProtection="1">
      <alignment vertical="top"/>
      <protection locked="0"/>
    </xf>
    <xf numFmtId="164" fontId="7" fillId="3" borderId="6" xfId="1" applyNumberFormat="1" applyFont="1" applyFill="1" applyBorder="1" applyAlignment="1" applyProtection="1">
      <alignment vertical="top"/>
      <protection locked="0"/>
    </xf>
    <xf numFmtId="164" fontId="7" fillId="3" borderId="10" xfId="1" applyNumberFormat="1" applyFont="1" applyFill="1" applyBorder="1" applyAlignment="1" applyProtection="1">
      <alignment vertical="top"/>
      <protection locked="0"/>
    </xf>
    <xf numFmtId="0" fontId="7" fillId="4" borderId="10" xfId="0" applyFont="1" applyFill="1" applyBorder="1" applyAlignment="1" applyProtection="1">
      <alignment vertical="top"/>
    </xf>
    <xf numFmtId="164" fontId="7" fillId="4" borderId="10" xfId="1" applyNumberFormat="1" applyFont="1" applyFill="1" applyBorder="1" applyAlignment="1" applyProtection="1">
      <alignment vertical="top"/>
    </xf>
    <xf numFmtId="164" fontId="7" fillId="5" borderId="10" xfId="1" applyNumberFormat="1" applyFont="1" applyFill="1" applyBorder="1" applyAlignment="1" applyProtection="1">
      <alignment vertical="top"/>
    </xf>
    <xf numFmtId="164" fontId="7" fillId="0" borderId="10" xfId="1" applyNumberFormat="1" applyFont="1" applyFill="1" applyBorder="1" applyAlignment="1" applyProtection="1">
      <alignment vertical="top"/>
    </xf>
    <xf numFmtId="164" fontId="7" fillId="5" borderId="16" xfId="1" applyNumberFormat="1" applyFont="1" applyFill="1" applyBorder="1" applyAlignment="1" applyProtection="1">
      <alignment vertical="top"/>
    </xf>
    <xf numFmtId="164" fontId="7" fillId="5" borderId="16" xfId="2" applyNumberFormat="1" applyFont="1" applyFill="1" applyBorder="1" applyAlignment="1" applyProtection="1">
      <alignment vertical="top"/>
    </xf>
    <xf numFmtId="164" fontId="7" fillId="5" borderId="18" xfId="1" applyNumberFormat="1" applyFont="1" applyFill="1" applyBorder="1" applyAlignment="1" applyProtection="1">
      <alignment vertical="top"/>
    </xf>
    <xf numFmtId="0" fontId="2" fillId="7" borderId="6" xfId="0" quotePrefix="1" applyFont="1" applyFill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0" borderId="11" xfId="0" quotePrefix="1" applyFont="1" applyBorder="1" applyAlignment="1" applyProtection="1">
      <alignment horizontal="center"/>
    </xf>
    <xf numFmtId="0" fontId="3" fillId="0" borderId="12" xfId="0" quotePrefix="1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8" xfId="0" quotePrefix="1" applyFont="1" applyBorder="1" applyAlignment="1" applyProtection="1">
      <alignment horizontal="center"/>
    </xf>
    <xf numFmtId="0" fontId="3" fillId="0" borderId="9" xfId="0" quotePrefix="1" applyFon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s/regulatorylegal/2020cir/Exhibits/Exhibit4A/Tab02-OMandA%20Programs/S18-Legal%20and%20Regulatory/Copy%20of%202019-Filing-Requirements-Chapter2-Appendices-201807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Hidden_CAPEX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Hidden_REG Improvement"/>
      <sheetName val="Hidden_REG Expansion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>
        <row r="24">
          <cell r="E24">
            <v>2019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43"/>
  <sheetViews>
    <sheetView tabSelected="1" zoomScaleNormal="100" zoomScaleSheetLayoutView="100" workbookViewId="0"/>
  </sheetViews>
  <sheetFormatPr defaultColWidth="8.7265625" defaultRowHeight="14.5" x14ac:dyDescent="0.35"/>
  <cols>
    <col min="1" max="1" width="3.7265625" style="18" customWidth="1"/>
    <col min="2" max="2" width="38.26953125" style="18" customWidth="1"/>
    <col min="3" max="3" width="16" style="18" customWidth="1"/>
    <col min="4" max="5" width="15.453125" style="18" customWidth="1"/>
    <col min="6" max="6" width="15" style="18" customWidth="1"/>
    <col min="7" max="7" width="14.54296875" style="18" customWidth="1"/>
    <col min="8" max="9" width="14.54296875" style="18" hidden="1" customWidth="1"/>
    <col min="10" max="10" width="14.7265625" style="18" customWidth="1"/>
    <col min="11" max="11" width="15.26953125" style="18" bestFit="1" customWidth="1"/>
    <col min="12" max="12" width="16" style="18" customWidth="1"/>
    <col min="13" max="13" width="16.26953125" style="18" customWidth="1"/>
    <col min="14" max="14" width="3.26953125" style="18" customWidth="1"/>
    <col min="15" max="15" width="8.7265625" style="18"/>
    <col min="16" max="16" width="46" style="18" customWidth="1"/>
    <col min="17" max="16384" width="8.7265625" style="18"/>
  </cols>
  <sheetData>
    <row r="1" spans="1:16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22</v>
      </c>
    </row>
    <row r="2" spans="1:1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" t="s">
        <v>43</v>
      </c>
    </row>
    <row r="3" spans="1:16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</row>
    <row r="4" spans="1:1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44</v>
      </c>
    </row>
    <row r="5" spans="1:16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</row>
    <row r="7" spans="1:16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9">
        <v>45520</v>
      </c>
    </row>
    <row r="8" spans="1:1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6" ht="18.5" x14ac:dyDescent="0.45">
      <c r="A9" s="87" t="s">
        <v>21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6" ht="18.5" x14ac:dyDescent="0.45">
      <c r="A10" s="87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6" x14ac:dyDescent="0.35">
      <c r="A11" s="1"/>
      <c r="B11" s="4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6" ht="22.15" customHeight="1" thickBo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ht="57.75" customHeight="1" x14ac:dyDescent="0.35">
      <c r="A13" s="88" t="s">
        <v>2</v>
      </c>
      <c r="B13" s="89"/>
      <c r="C13" s="6" t="s">
        <v>25</v>
      </c>
      <c r="D13" s="6" t="s">
        <v>26</v>
      </c>
      <c r="E13" s="57" t="s">
        <v>42</v>
      </c>
      <c r="F13" s="6" t="s">
        <v>27</v>
      </c>
      <c r="G13" s="57" t="s">
        <v>39</v>
      </c>
      <c r="H13" s="61" t="s">
        <v>40</v>
      </c>
      <c r="I13" s="61" t="s">
        <v>41</v>
      </c>
      <c r="J13" s="6" t="s">
        <v>28</v>
      </c>
      <c r="K13" s="6" t="s">
        <v>24</v>
      </c>
      <c r="L13" s="26" t="s">
        <v>32</v>
      </c>
      <c r="M13" s="17" t="s">
        <v>33</v>
      </c>
      <c r="P13" s="16"/>
    </row>
    <row r="14" spans="1:16" ht="18" customHeight="1" x14ac:dyDescent="0.35">
      <c r="A14" s="47"/>
      <c r="B14" s="48"/>
      <c r="C14" s="49" t="s">
        <v>34</v>
      </c>
      <c r="D14" s="49" t="s">
        <v>35</v>
      </c>
      <c r="E14" s="83"/>
      <c r="F14" s="49" t="s">
        <v>36</v>
      </c>
      <c r="G14" s="58" t="s">
        <v>29</v>
      </c>
      <c r="H14" s="62"/>
      <c r="I14" s="62"/>
      <c r="J14" s="50" t="s">
        <v>30</v>
      </c>
      <c r="K14" s="50" t="s">
        <v>31</v>
      </c>
      <c r="L14" s="51" t="s">
        <v>37</v>
      </c>
      <c r="M14" s="52" t="s">
        <v>38</v>
      </c>
      <c r="P14" s="16"/>
    </row>
    <row r="15" spans="1:16" x14ac:dyDescent="0.35">
      <c r="A15" s="90" t="s">
        <v>3</v>
      </c>
      <c r="B15" s="91"/>
      <c r="C15" s="21"/>
      <c r="D15" s="21"/>
      <c r="E15" s="59"/>
      <c r="F15" s="21"/>
      <c r="G15" s="59"/>
      <c r="H15" s="63"/>
      <c r="I15" s="63"/>
      <c r="J15" s="72"/>
      <c r="K15" s="72"/>
      <c r="L15" s="27"/>
      <c r="M15" s="37"/>
    </row>
    <row r="16" spans="1:16" x14ac:dyDescent="0.35">
      <c r="A16" s="7">
        <v>1</v>
      </c>
      <c r="B16" s="22" t="s">
        <v>4</v>
      </c>
      <c r="C16" s="31">
        <v>4297340</v>
      </c>
      <c r="D16" s="31">
        <v>3249707.01</v>
      </c>
      <c r="E16" s="53">
        <v>3028234</v>
      </c>
      <c r="F16" s="31">
        <v>3429195</v>
      </c>
      <c r="G16" s="53">
        <v>3818529</v>
      </c>
      <c r="H16" s="64"/>
      <c r="I16" s="64"/>
      <c r="J16" s="46">
        <v>4216315.01</v>
      </c>
      <c r="K16" s="73">
        <v>4289585.8458524002</v>
      </c>
      <c r="L16" s="42">
        <f>(K16-D16)/D16</f>
        <v>0.31999156620965669</v>
      </c>
      <c r="M16" s="38">
        <f>(K16-C16)/C16</f>
        <v>-1.8044078773380332E-3</v>
      </c>
      <c r="P16" s="84"/>
    </row>
    <row r="17" spans="1:16" x14ac:dyDescent="0.35">
      <c r="A17" s="7">
        <v>2</v>
      </c>
      <c r="B17" s="22" t="s">
        <v>5</v>
      </c>
      <c r="C17" s="31">
        <v>156060</v>
      </c>
      <c r="D17" s="31">
        <v>117410.48</v>
      </c>
      <c r="E17" s="53">
        <v>139964</v>
      </c>
      <c r="F17" s="31">
        <v>168171.94</v>
      </c>
      <c r="G17" s="53">
        <v>148850.31</v>
      </c>
      <c r="H17" s="64"/>
      <c r="I17" s="64"/>
      <c r="J17" s="46">
        <v>170464.07</v>
      </c>
      <c r="K17" s="73">
        <v>173889.34741839999</v>
      </c>
      <c r="L17" s="42">
        <f>(K17-D17)/D17</f>
        <v>0.48103770139088092</v>
      </c>
      <c r="M17" s="38">
        <f>(K17-C17)/C17</f>
        <v>0.11424674752274762</v>
      </c>
      <c r="P17" s="84"/>
    </row>
    <row r="18" spans="1:16" hidden="1" x14ac:dyDescent="0.35">
      <c r="A18" s="7">
        <v>13</v>
      </c>
      <c r="B18" s="23"/>
      <c r="C18" s="29"/>
      <c r="D18" s="29"/>
      <c r="E18" s="53"/>
      <c r="F18" s="29"/>
      <c r="G18" s="53"/>
      <c r="H18" s="64"/>
      <c r="I18" s="64"/>
      <c r="J18" s="74"/>
      <c r="K18" s="75"/>
      <c r="L18" s="32"/>
      <c r="M18" s="38"/>
    </row>
    <row r="19" spans="1:16" hidden="1" x14ac:dyDescent="0.35">
      <c r="A19" s="7">
        <v>14</v>
      </c>
      <c r="B19" s="23"/>
      <c r="C19" s="29"/>
      <c r="D19" s="29"/>
      <c r="E19" s="53"/>
      <c r="F19" s="29"/>
      <c r="G19" s="53"/>
      <c r="H19" s="64"/>
      <c r="I19" s="64"/>
      <c r="J19" s="74"/>
      <c r="K19" s="75"/>
      <c r="L19" s="32"/>
      <c r="M19" s="38"/>
    </row>
    <row r="20" spans="1:16" hidden="1" x14ac:dyDescent="0.35">
      <c r="A20" s="7">
        <v>15</v>
      </c>
      <c r="B20" s="23"/>
      <c r="C20" s="29"/>
      <c r="D20" s="29"/>
      <c r="E20" s="53"/>
      <c r="F20" s="29"/>
      <c r="G20" s="53"/>
      <c r="H20" s="64"/>
      <c r="I20" s="64"/>
      <c r="J20" s="74"/>
      <c r="K20" s="75"/>
      <c r="L20" s="32"/>
      <c r="M20" s="38"/>
    </row>
    <row r="21" spans="1:16" hidden="1" x14ac:dyDescent="0.35">
      <c r="A21" s="7">
        <v>16</v>
      </c>
      <c r="B21" s="23"/>
      <c r="C21" s="29"/>
      <c r="D21" s="29"/>
      <c r="E21" s="53"/>
      <c r="F21" s="29"/>
      <c r="G21" s="53"/>
      <c r="H21" s="64"/>
      <c r="I21" s="64"/>
      <c r="J21" s="74"/>
      <c r="K21" s="75"/>
      <c r="L21" s="32"/>
      <c r="M21" s="38"/>
    </row>
    <row r="22" spans="1:16" hidden="1" x14ac:dyDescent="0.35">
      <c r="A22" s="7">
        <v>17</v>
      </c>
      <c r="B22" s="23"/>
      <c r="C22" s="29"/>
      <c r="D22" s="29"/>
      <c r="E22" s="53"/>
      <c r="F22" s="29"/>
      <c r="G22" s="53"/>
      <c r="H22" s="64"/>
      <c r="I22" s="64"/>
      <c r="J22" s="74"/>
      <c r="K22" s="75"/>
      <c r="L22" s="32"/>
      <c r="M22" s="38"/>
    </row>
    <row r="23" spans="1:16" hidden="1" x14ac:dyDescent="0.35">
      <c r="A23" s="7">
        <v>18</v>
      </c>
      <c r="B23" s="23"/>
      <c r="C23" s="29"/>
      <c r="D23" s="29"/>
      <c r="E23" s="53"/>
      <c r="F23" s="29"/>
      <c r="G23" s="53"/>
      <c r="H23" s="64"/>
      <c r="I23" s="64"/>
      <c r="J23" s="74"/>
      <c r="K23" s="75"/>
      <c r="L23" s="32"/>
      <c r="M23" s="38"/>
    </row>
    <row r="24" spans="1:16" hidden="1" x14ac:dyDescent="0.35">
      <c r="A24" s="7">
        <v>19</v>
      </c>
      <c r="B24" s="23"/>
      <c r="C24" s="29"/>
      <c r="D24" s="29"/>
      <c r="E24" s="53"/>
      <c r="F24" s="29"/>
      <c r="G24" s="53"/>
      <c r="H24" s="64"/>
      <c r="I24" s="64"/>
      <c r="J24" s="74"/>
      <c r="K24" s="75"/>
      <c r="L24" s="32"/>
      <c r="M24" s="38"/>
    </row>
    <row r="25" spans="1:16" hidden="1" x14ac:dyDescent="0.35">
      <c r="A25" s="7">
        <v>20</v>
      </c>
      <c r="B25" s="23"/>
      <c r="C25" s="29"/>
      <c r="D25" s="29"/>
      <c r="E25" s="53"/>
      <c r="F25" s="29"/>
      <c r="G25" s="53"/>
      <c r="H25" s="64"/>
      <c r="I25" s="64"/>
      <c r="J25" s="74"/>
      <c r="K25" s="75"/>
      <c r="L25" s="32"/>
      <c r="M25" s="38"/>
    </row>
    <row r="26" spans="1:16" x14ac:dyDescent="0.35">
      <c r="A26" s="85" t="s">
        <v>7</v>
      </c>
      <c r="B26" s="86"/>
      <c r="C26" s="30"/>
      <c r="D26" s="30"/>
      <c r="E26" s="60"/>
      <c r="F26" s="30"/>
      <c r="G26" s="60"/>
      <c r="H26" s="65"/>
      <c r="I26" s="65"/>
      <c r="J26" s="76"/>
      <c r="K26" s="77"/>
      <c r="L26" s="32"/>
      <c r="M26" s="38"/>
      <c r="N26" s="30"/>
    </row>
    <row r="27" spans="1:16" x14ac:dyDescent="0.35">
      <c r="A27" s="8">
        <v>2</v>
      </c>
      <c r="B27" s="9" t="s">
        <v>8</v>
      </c>
      <c r="C27" s="41">
        <f>3745000/5</f>
        <v>749000</v>
      </c>
      <c r="D27" s="41">
        <f>3173427/5</f>
        <v>634685.4</v>
      </c>
      <c r="E27" s="53">
        <v>0</v>
      </c>
      <c r="F27" s="31">
        <v>39569</v>
      </c>
      <c r="G27" s="53">
        <v>679096</v>
      </c>
      <c r="H27" s="64" t="e">
        <f>G27-#REF!</f>
        <v>#REF!</v>
      </c>
      <c r="I27" s="66" t="e">
        <f>H27/#REF!</f>
        <v>#REF!</v>
      </c>
      <c r="J27" s="73">
        <v>1909125</v>
      </c>
      <c r="K27" s="78">
        <f>(F27+G27+J27)/5</f>
        <v>525558</v>
      </c>
      <c r="L27" s="42">
        <f>(K27-D27)/D27</f>
        <v>-0.17193935767232083</v>
      </c>
      <c r="M27" s="38">
        <f>(K27-C27)/C27</f>
        <v>-0.29832042723631508</v>
      </c>
      <c r="N27" s="20"/>
    </row>
    <row r="28" spans="1:16" x14ac:dyDescent="0.35">
      <c r="A28" s="8">
        <v>3</v>
      </c>
      <c r="B28" s="10" t="s">
        <v>23</v>
      </c>
      <c r="C28" s="41">
        <f>3728000/5</f>
        <v>745600</v>
      </c>
      <c r="D28" s="41">
        <f>3447033/5</f>
        <v>689406.6</v>
      </c>
      <c r="E28" s="53">
        <v>0</v>
      </c>
      <c r="F28" s="31">
        <v>943470.48</v>
      </c>
      <c r="G28" s="53">
        <v>2089917</v>
      </c>
      <c r="H28" s="64" t="e">
        <f>G28-#REF!</f>
        <v>#REF!</v>
      </c>
      <c r="I28" s="66" t="e">
        <f>H28/#REF!</f>
        <v>#REF!</v>
      </c>
      <c r="J28" s="46">
        <v>1010012.77</v>
      </c>
      <c r="K28" s="78">
        <f>(F28+G28+J28)/5</f>
        <v>808680.05</v>
      </c>
      <c r="L28" s="42">
        <f>(K28-D28)/D28</f>
        <v>0.17300886008343999</v>
      </c>
      <c r="M28" s="38">
        <f>(K28-C28)/C28</f>
        <v>8.4603071351931389E-2</v>
      </c>
    </row>
    <row r="29" spans="1:16" ht="43.9" customHeight="1" x14ac:dyDescent="0.35">
      <c r="A29" s="44">
        <v>4</v>
      </c>
      <c r="B29" s="10" t="s">
        <v>9</v>
      </c>
      <c r="C29" s="31">
        <v>0</v>
      </c>
      <c r="D29" s="31">
        <v>0</v>
      </c>
      <c r="E29" s="53">
        <v>0</v>
      </c>
      <c r="F29" s="31">
        <v>266529.44</v>
      </c>
      <c r="G29" s="54">
        <v>195399</v>
      </c>
      <c r="H29" s="64" t="e">
        <f>G29-#REF!</f>
        <v>#REF!</v>
      </c>
      <c r="I29" s="66" t="e">
        <f>H29/#REF!</f>
        <v>#REF!</v>
      </c>
      <c r="J29" s="46">
        <v>97699.5</v>
      </c>
      <c r="K29" s="79">
        <f>(F29+G29+J29)/5</f>
        <v>111925.58799999999</v>
      </c>
      <c r="L29" s="42"/>
      <c r="M29" s="43"/>
    </row>
    <row r="30" spans="1:16" x14ac:dyDescent="0.35">
      <c r="A30" s="8">
        <v>6</v>
      </c>
      <c r="B30" s="24" t="s">
        <v>6</v>
      </c>
      <c r="C30" s="41">
        <f>1100000/5</f>
        <v>220000</v>
      </c>
      <c r="D30" s="41">
        <f>827228.27/5</f>
        <v>165445.65400000001</v>
      </c>
      <c r="E30" s="53">
        <v>0</v>
      </c>
      <c r="F30" s="31">
        <v>0</v>
      </c>
      <c r="G30" s="53">
        <v>5874</v>
      </c>
      <c r="H30" s="64"/>
      <c r="I30" s="64"/>
      <c r="J30" s="46">
        <v>20845</v>
      </c>
      <c r="K30" s="78">
        <f>1000000/5</f>
        <v>200000</v>
      </c>
      <c r="L30" s="42">
        <f t="shared" ref="L30:L36" si="0">(K30-D30)/D30</f>
        <v>0.2088561721905369</v>
      </c>
      <c r="M30" s="38">
        <f t="shared" ref="M30:M35" si="1">(K30-C30)/C30</f>
        <v>-9.0909090909090912E-2</v>
      </c>
    </row>
    <row r="31" spans="1:16" x14ac:dyDescent="0.35">
      <c r="A31" s="8">
        <v>7</v>
      </c>
      <c r="B31" s="9" t="s">
        <v>10</v>
      </c>
      <c r="C31" s="41">
        <f>700000/5</f>
        <v>140000</v>
      </c>
      <c r="D31" s="41">
        <f>494243.73/5</f>
        <v>98848.745999999999</v>
      </c>
      <c r="E31" s="53">
        <v>0</v>
      </c>
      <c r="F31" s="31">
        <v>0</v>
      </c>
      <c r="G31" s="53"/>
      <c r="H31" s="64"/>
      <c r="I31" s="64"/>
      <c r="J31" s="73">
        <v>0</v>
      </c>
      <c r="K31" s="78">
        <v>120000</v>
      </c>
      <c r="L31" s="42">
        <f t="shared" si="0"/>
        <v>0.21397594664478597</v>
      </c>
      <c r="M31" s="38">
        <f t="shared" si="1"/>
        <v>-0.14285714285714285</v>
      </c>
    </row>
    <row r="32" spans="1:16" x14ac:dyDescent="0.35">
      <c r="A32" s="8">
        <v>8</v>
      </c>
      <c r="B32" s="40" t="s">
        <v>19</v>
      </c>
      <c r="C32" s="45">
        <f>154534/5</f>
        <v>30906.799999999999</v>
      </c>
      <c r="D32" s="31">
        <f>93180/5</f>
        <v>18636</v>
      </c>
      <c r="E32" s="53">
        <v>0</v>
      </c>
      <c r="F32" s="31">
        <v>0</v>
      </c>
      <c r="G32" s="53"/>
      <c r="H32" s="64"/>
      <c r="I32" s="64"/>
      <c r="J32" s="73">
        <v>0</v>
      </c>
      <c r="K32" s="78">
        <v>0</v>
      </c>
      <c r="L32" s="42">
        <f t="shared" si="0"/>
        <v>-1</v>
      </c>
      <c r="M32" s="38">
        <f t="shared" si="1"/>
        <v>-1</v>
      </c>
    </row>
    <row r="33" spans="1:13" x14ac:dyDescent="0.35">
      <c r="A33" s="8">
        <v>9</v>
      </c>
      <c r="B33" s="40" t="s">
        <v>20</v>
      </c>
      <c r="C33" s="45">
        <f>14416/5</f>
        <v>2883.2</v>
      </c>
      <c r="D33" s="41">
        <f>40434/5</f>
        <v>8086.8</v>
      </c>
      <c r="E33" s="53">
        <v>0</v>
      </c>
      <c r="F33" s="31">
        <v>0</v>
      </c>
      <c r="G33" s="53"/>
      <c r="H33" s="64"/>
      <c r="I33" s="64"/>
      <c r="J33" s="73"/>
      <c r="K33" s="78">
        <f>50000/5</f>
        <v>10000</v>
      </c>
      <c r="L33" s="42">
        <f t="shared" si="0"/>
        <v>0.23658307365088785</v>
      </c>
      <c r="M33" s="38">
        <f t="shared" si="1"/>
        <v>2.4683684794672587</v>
      </c>
    </row>
    <row r="34" spans="1:13" x14ac:dyDescent="0.35">
      <c r="A34" s="8">
        <v>1</v>
      </c>
      <c r="B34" s="40" t="s">
        <v>17</v>
      </c>
      <c r="C34" s="41">
        <f>SUM(C16:C25)</f>
        <v>4453400</v>
      </c>
      <c r="D34" s="41">
        <f>SUM(D16:D25)</f>
        <v>3367117.4899999998</v>
      </c>
      <c r="E34" s="53">
        <f>SUM(E16:E25)</f>
        <v>3168198</v>
      </c>
      <c r="F34" s="41">
        <f>SUM(F16:F25)</f>
        <v>3597366.94</v>
      </c>
      <c r="G34" s="53">
        <f>SUM(G16:G25)</f>
        <v>3967379.31</v>
      </c>
      <c r="H34" s="65"/>
      <c r="I34" s="65"/>
      <c r="J34" s="73">
        <f t="shared" ref="J34" si="2">SUM(J16:J25)</f>
        <v>4386779.08</v>
      </c>
      <c r="K34" s="73">
        <v>4464275.1932708006</v>
      </c>
      <c r="L34" s="42">
        <f t="shared" si="0"/>
        <v>0.32584479351529871</v>
      </c>
      <c r="M34" s="38">
        <f t="shared" si="1"/>
        <v>2.4419978602417559E-3</v>
      </c>
    </row>
    <row r="35" spans="1:13" ht="16.149999999999999" customHeight="1" thickBot="1" x14ac:dyDescent="0.4">
      <c r="A35" s="8">
        <v>2</v>
      </c>
      <c r="B35" s="39" t="s">
        <v>18</v>
      </c>
      <c r="C35" s="33">
        <f t="shared" ref="C35:J35" si="3">SUM(C27:C33)</f>
        <v>1888390</v>
      </c>
      <c r="D35" s="33">
        <f t="shared" si="3"/>
        <v>1615109.2000000002</v>
      </c>
      <c r="E35" s="55"/>
      <c r="F35" s="33">
        <f t="shared" si="3"/>
        <v>1249568.92</v>
      </c>
      <c r="G35" s="55">
        <f>SUM(G27:G33)</f>
        <v>2970286</v>
      </c>
      <c r="H35" s="67" t="e">
        <f>G35-#REF!</f>
        <v>#REF!</v>
      </c>
      <c r="I35" s="68" t="e">
        <f>H35/#REF!</f>
        <v>#REF!</v>
      </c>
      <c r="J35" s="80">
        <f t="shared" si="3"/>
        <v>3037682.27</v>
      </c>
      <c r="K35" s="81">
        <f>SUM(K27:K33)</f>
        <v>1776163.638</v>
      </c>
      <c r="L35" s="34">
        <f t="shared" si="0"/>
        <v>9.9717367717303468E-2</v>
      </c>
      <c r="M35" s="34">
        <f t="shared" si="1"/>
        <v>-5.9429652772997082E-2</v>
      </c>
    </row>
    <row r="36" spans="1:13" ht="15.5" thickTop="1" thickBot="1" x14ac:dyDescent="0.4">
      <c r="A36" s="11">
        <v>3</v>
      </c>
      <c r="B36" s="25" t="s">
        <v>11</v>
      </c>
      <c r="C36" s="35">
        <f>SUM(C34:C35)</f>
        <v>6341790</v>
      </c>
      <c r="D36" s="35">
        <f>D34+D35</f>
        <v>4982226.6899999995</v>
      </c>
      <c r="E36" s="56">
        <v>3168198</v>
      </c>
      <c r="F36" s="35">
        <f t="shared" ref="F36:J36" si="4">F34+F35</f>
        <v>4846935.8599999994</v>
      </c>
      <c r="G36" s="56">
        <f t="shared" si="4"/>
        <v>6937665.3100000005</v>
      </c>
      <c r="H36" s="69" t="e">
        <f>H34+H35</f>
        <v>#REF!</v>
      </c>
      <c r="I36" s="70" t="e">
        <f>I34+I35</f>
        <v>#REF!</v>
      </c>
      <c r="J36" s="82">
        <f t="shared" si="4"/>
        <v>7424461.3499999996</v>
      </c>
      <c r="K36" s="82">
        <f>SUM(K34:K35)</f>
        <v>6240438.8312708009</v>
      </c>
      <c r="L36" s="36">
        <f t="shared" si="0"/>
        <v>0.25254012303298096</v>
      </c>
      <c r="M36" s="36">
        <f>(K36-C36)/C36</f>
        <v>-1.5981476638172992E-2</v>
      </c>
    </row>
    <row r="37" spans="1:13" x14ac:dyDescent="0.35">
      <c r="A37" s="1"/>
      <c r="B37" s="1"/>
      <c r="C37" s="1"/>
      <c r="D37" s="15"/>
      <c r="E37" s="15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2" t="s">
        <v>12</v>
      </c>
      <c r="B38" s="1"/>
      <c r="C38" s="1"/>
      <c r="D38" s="28"/>
      <c r="E38" s="28"/>
      <c r="F38" s="1"/>
      <c r="G38" s="1"/>
      <c r="H38" s="1"/>
      <c r="I38" s="1"/>
      <c r="J38" s="1"/>
      <c r="K38" s="28"/>
      <c r="L38" s="1"/>
      <c r="M38" s="1"/>
    </row>
    <row r="39" spans="1:13" ht="15" x14ac:dyDescent="0.35">
      <c r="A39" s="13" t="s">
        <v>13</v>
      </c>
      <c r="B39" s="14" t="s">
        <v>14</v>
      </c>
      <c r="C39" s="1"/>
      <c r="D39" s="71"/>
      <c r="E39" s="71"/>
      <c r="F39" s="1"/>
      <c r="G39" s="28"/>
      <c r="H39" s="1"/>
      <c r="I39" s="1"/>
      <c r="J39" s="1"/>
      <c r="K39" s="28"/>
      <c r="L39" s="1"/>
      <c r="M39" s="1"/>
    </row>
    <row r="40" spans="1:13" ht="15" x14ac:dyDescent="0.35">
      <c r="A40" s="13" t="s">
        <v>15</v>
      </c>
      <c r="B40" s="14" t="s">
        <v>16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35">
      <c r="A41" s="13"/>
      <c r="B41" s="1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K43" s="20"/>
    </row>
  </sheetData>
  <mergeCells count="6">
    <mergeCell ref="P16:P17"/>
    <mergeCell ref="A26:B26"/>
    <mergeCell ref="A9:M9"/>
    <mergeCell ref="A10:M10"/>
    <mergeCell ref="A13:B13"/>
    <mergeCell ref="A15:B15"/>
  </mergeCells>
  <dataValidations count="1">
    <dataValidation allowBlank="1" showInputMessage="1" showErrorMessage="1" promptTitle="Date Format" prompt="E.g:  &quot;August 1, 2011&quot;" sqref="M7" xr:uid="{00000000-0002-0000-0000-000000000000}"/>
  </dataValidations>
  <printOptions horizontalCentered="1"/>
  <pageMargins left="0.51181102362204722" right="0.51181102362204722" top="1.7322834645669292" bottom="0.55118110236220474" header="0.62992125984251968" footer="0.31496062992125984"/>
  <pageSetup scale="66" orientation="landscape" r:id="rId1"/>
  <headerFooter>
    <oddHeader>&amp;RToronto Hydro-Electric System Limited
EB-2018-0165
Exhibit 4A
Tab 2
Schedule 18
Appendix A
ORIGINAL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BC2B17DA609645B55856B502DCD708" ma:contentTypeVersion="0" ma:contentTypeDescription="Create a new document." ma:contentTypeScope="" ma:versionID="7501e697027496ec5616b7535dce61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A92F6-3B09-49A5-974F-3745F71B66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96976-A226-47E1-8EC4-8F67FFB88AC9}">
  <ds:schemaRefs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D393234-A86F-4855-91FD-651FC28A3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2-M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Danielle Weiss</dc:creator>
  <cp:lastModifiedBy>Lisa Phin</cp:lastModifiedBy>
  <cp:lastPrinted>2018-08-11T20:55:49Z</cp:lastPrinted>
  <dcterms:created xsi:type="dcterms:W3CDTF">2018-07-24T15:56:38Z</dcterms:created>
  <dcterms:modified xsi:type="dcterms:W3CDTF">2024-08-14T19:01:55Z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0x010100E2BC2B17DA609645B55856B502DCD708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84f3ae17-4131-4cab-af65-6307e1627001_Enabled">
    <vt:lpwstr>true</vt:lpwstr>
  </property>
  <property fmtid="{D5CDD505-2E9C-101B-9397-08002B2CF9AE}" pid="5" name="MSIP_Label_84f3ae17-4131-4cab-af65-6307e1627001_SetDate">
    <vt:lpwstr>2023-09-15T00:48:35Z</vt:lpwstr>
  </property>
  <property fmtid="{D5CDD505-2E9C-101B-9397-08002B2CF9AE}" pid="6" name="MSIP_Label_84f3ae17-4131-4cab-af65-6307e1627001_Method">
    <vt:lpwstr>Privileged</vt:lpwstr>
  </property>
  <property fmtid="{D5CDD505-2E9C-101B-9397-08002B2CF9AE}" pid="7" name="MSIP_Label_84f3ae17-4131-4cab-af65-6307e1627001_Name">
    <vt:lpwstr>Confidential - Anyone (not protected)</vt:lpwstr>
  </property>
  <property fmtid="{D5CDD505-2E9C-101B-9397-08002B2CF9AE}" pid="8" name="MSIP_Label_84f3ae17-4131-4cab-af65-6307e1627001_SiteId">
    <vt:lpwstr>cecf09d6-44f1-4c40-95a1-cbafb9319d75</vt:lpwstr>
  </property>
  <property fmtid="{D5CDD505-2E9C-101B-9397-08002B2CF9AE}" pid="9" name="MSIP_Label_84f3ae17-4131-4cab-af65-6307e1627001_ActionId">
    <vt:lpwstr>14f2830e-ef4c-423b-bfc9-21616dbb186d</vt:lpwstr>
  </property>
  <property fmtid="{D5CDD505-2E9C-101B-9397-08002B2CF9AE}" pid="10" name="MSIP_Label_84f3ae17-4131-4cab-af65-6307e1627001_ContentBits">
    <vt:lpwstr>0</vt:lpwstr>
  </property>
</Properties>
</file>