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27362F78-B088-40F4-9B78-BA0EA8B006F5}" xr6:coauthVersionLast="47" xr6:coauthVersionMax="47" xr10:uidLastSave="{00000000-0000-0000-0000-000000000000}"/>
  <bookViews>
    <workbookView xWindow="-110" yWindow="-110" windowWidth="19420" windowHeight="10420" tabRatio="788" firstSheet="6" activeTab="8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Summary" sheetId="92" r:id="rId7"/>
    <sheet name="CEA-7.1a Avg ERP Hamada Adj 40%" sheetId="80" r:id="rId8"/>
    <sheet name="CEA-7.1a Avg ERP Hamada Adj 45%" sheetId="87" r:id="rId9"/>
    <sheet name="CEA-7.2a Fwd ERP Hamada Adj 40%" sheetId="88" r:id="rId10"/>
    <sheet name="CEA-7.2a Fwd ERP Hamada Adj 45%" sheetId="89" r:id="rId11"/>
    <sheet name="CEA-7.3a His ERP Hamada Adj 40%" sheetId="90" r:id="rId12"/>
    <sheet name="CEA-7.3a His ERP Hamada Adj 45%" sheetId="9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23Graph_A" localSheetId="5" hidden="1">[1]lt!#REF!</definedName>
    <definedName name="__123Graph_A" hidden="1">[1]lt!#REF!</definedName>
    <definedName name="__123Graph_B" localSheetId="5" hidden="1">[1]lt!#REF!</definedName>
    <definedName name="__123Graph_B" hidden="1">[1]lt!#REF!</definedName>
    <definedName name="__123Graph_C" hidden="1">[1]lt!#REF!</definedName>
    <definedName name="__123Graph_D" hidden="1">[1]lt!#REF!</definedName>
    <definedName name="__123Graph_E" hidden="1">[1]lt!#REF!</definedName>
    <definedName name="__123Graph_F" hidden="1">[1]lt!#REF!</definedName>
    <definedName name="__123Graph_X" hidden="1">[1]lt!#REF!</definedName>
    <definedName name="__FDS_HYPERLINK_TOGGLE_STATE__" hidden="1">"ON"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5" hidden="1">#REF!</definedName>
    <definedName name="_Key1" hidden="1">#REF!</definedName>
    <definedName name="_Key11" hidden="1">#REF!</definedName>
    <definedName name="_key2" hidden="1">#REF!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5" hidden="1">#REF!</definedName>
    <definedName name="_Regression_Out" hidden="1">#REF!</definedName>
    <definedName name="_Regression_X" localSheetId="5" hidden="1">#REF!</definedName>
    <definedName name="_Regression_X" hidden="1">#REF!</definedName>
    <definedName name="_Regression_Y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5" hidden="1">[2]DATABASE!#REF!</definedName>
    <definedName name="ACwvu.DATABASE." hidden="1">[2]DATABASE!#REF!</definedName>
    <definedName name="ACwvu.OP." localSheetId="5" hidden="1">#REF!</definedName>
    <definedName name="ACwvu.OP." hidden="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nscount" hidden="1">3</definedName>
    <definedName name="AS2DocOpenMode" hidden="1">"AS2DocumentEdit"</definedName>
    <definedName name="Bloomberg_Beta" localSheetId="5">#REF!</definedName>
    <definedName name="Bloomberg_Beta_Ticker" localSheetId="5">#REF!</definedName>
    <definedName name="Bloomberg_Earnings_Growth" localSheetId="5">#REF!</definedName>
    <definedName name="BLPH2" localSheetId="5" hidden="1">'[3]Commercial Paper'!#REF!</definedName>
    <definedName name="BLPH2" hidden="1">'[3]Commercial Paper'!#REF!</definedName>
    <definedName name="BLPH3" localSheetId="5" hidden="1">'[3]Commercial Paper'!#REF!</definedName>
    <definedName name="BLPH3" hidden="1">'[3]Commercial Paper'!#REF!</definedName>
    <definedName name="BLPH4" localSheetId="5" hidden="1">'[3]Commercial Paper'!#REF!</definedName>
    <definedName name="BLPH4" hidden="1">'[3]Commercial Paper'!#REF!</definedName>
    <definedName name="BLPH5" localSheetId="5" hidden="1">'[3]Commercial Paper'!#REF!</definedName>
    <definedName name="BLPH5" hidden="1">'[3]Commercial Paper'!#REF!</definedName>
    <definedName name="BLPH6" localSheetId="5" hidden="1">'[3]Commercial Paper'!#REF!</definedName>
    <definedName name="BLPH6" hidden="1">'[3]Commercial Paper'!#REF!</definedName>
    <definedName name="BR" localSheetId="5">#REF!</definedName>
    <definedName name="BR_SV" localSheetId="5">#REF!</definedName>
    <definedName name="c.LTMYear" hidden="1">#REF!</definedName>
    <definedName name="CIQWBGuid" hidden="1">"JMC ROE Exhibits - ENMAX 01.20.2020.xlsx"</definedName>
    <definedName name="COGE" localSheetId="7" hidden="1">{"VUE95",#N/A,TRUE,"D";"VUE96",#N/A,TRUE,"E";"VUE97",#N/A,TRUE,"F";"VUE98",#N/A,TRUE,"G"}</definedName>
    <definedName name="COGE" localSheetId="8" hidden="1">{"VUE95",#N/A,TRUE,"D";"VUE96",#N/A,TRUE,"E";"VUE97",#N/A,TRUE,"F";"VUE98",#N/A,TRUE,"G"}</definedName>
    <definedName name="COGE" localSheetId="9" hidden="1">{"VUE95",#N/A,TRUE,"D";"VUE96",#N/A,TRUE,"E";"VUE97",#N/A,TRUE,"F";"VUE98",#N/A,TRUE,"G"}</definedName>
    <definedName name="COGE" localSheetId="10" hidden="1">{"VUE95",#N/A,TRUE,"D";"VUE96",#N/A,TRUE,"E";"VUE97",#N/A,TRUE,"F";"VUE98",#N/A,TRUE,"G"}</definedName>
    <definedName name="COGE" localSheetId="11" hidden="1">{"VUE95",#N/A,TRUE,"D";"VUE96",#N/A,TRUE,"E";"VUE97",#N/A,TRUE,"F";"VUE98",#N/A,TRUE,"G"}</definedName>
    <definedName name="COGE" localSheetId="12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y_Data_Analysts" localSheetId="5">#REF!</definedName>
    <definedName name="Company_Data_Avg_Beta" localSheetId="5">#REF!</definedName>
    <definedName name="Company_Data_B_Beta" localSheetId="5">#REF!</definedName>
    <definedName name="Company_Data_Coal" localSheetId="5">#REF!</definedName>
    <definedName name="Company_Data_Credit_Rating" localSheetId="5">#REF!</definedName>
    <definedName name="Company_Data_Gen_Assets" localSheetId="5">#REF!</definedName>
    <definedName name="Company_Data_Hydro" localSheetId="5">#REF!</definedName>
    <definedName name="Company_Data_MA" localSheetId="5">#REF!</definedName>
    <definedName name="Company_Data_Nuclear" localSheetId="5">#REF!</definedName>
    <definedName name="Company_Data_Oil" localSheetId="5">#REF!</definedName>
    <definedName name="Company_Data_Other" localSheetId="5">#REF!</definedName>
    <definedName name="Company_Data_Pays_Dividends" localSheetId="5">#REF!</definedName>
    <definedName name="Company_Data_Purchased_Power" localSheetId="5">#REF!</definedName>
    <definedName name="Company_Data_Reg_Elec_Inc" localSheetId="5">#REF!</definedName>
    <definedName name="Company_Data_Reg_Elec_Rev" localSheetId="5">#REF!</definedName>
    <definedName name="Company_Data_Reg_Gas_Inc" localSheetId="5">#REF!</definedName>
    <definedName name="Company_Data_Reg_Gas_Rev" localSheetId="5">#REF!</definedName>
    <definedName name="Company_Data_Reg_Gen_Assets" localSheetId="5">#REF!</definedName>
    <definedName name="Company_Data_Reg_Inc" localSheetId="5">#REF!</definedName>
    <definedName name="Company_Data_Reg_Market" localSheetId="5">#REF!</definedName>
    <definedName name="Company_Data_Reg_Rev" localSheetId="5">#REF!</definedName>
    <definedName name="Company_Data_Ticker" localSheetId="5">#REF!</definedName>
    <definedName name="Company_Data_VL_Beta" localSheetId="5">#REF!</definedName>
    <definedName name="Constant_DCF_All_Growth" localSheetId="5">#REF!</definedName>
    <definedName name="Constant_DCF_Average_Growth" localSheetId="5">#REF!</definedName>
    <definedName name="Constant_DCF_Ticker" localSheetId="5">#REF!</definedName>
    <definedName name="cover" localSheetId="5" hidden="1">#REF!</definedName>
    <definedName name="cover" hidden="1">#REF!</definedName>
    <definedName name="Credit_Rating" localSheetId="5">#REF!</definedName>
    <definedName name="Credit_Rating_Ticker" localSheetId="5">#REF!</definedName>
    <definedName name="CreditRatingsSNLInstKeys" localSheetId="0">#REF!</definedName>
    <definedName name="CreditRatingsSNLInstKeys" localSheetId="2">#REF!</definedName>
    <definedName name="CreditRatingsSP" localSheetId="0">#REF!</definedName>
    <definedName name="CreditRatingsSP" localSheetId="2">#REF!</definedName>
    <definedName name="ddd" localSheetId="7" hidden="1">{"VUE95",#N/A,TRUE,"D";"VUE96",#N/A,TRUE,"E";"VUE97",#N/A,TRUE,"F";"VUE98",#N/A,TRUE,"G"}</definedName>
    <definedName name="ddd" localSheetId="8" hidden="1">{"VUE95",#N/A,TRUE,"D";"VUE96",#N/A,TRUE,"E";"VUE97",#N/A,TRUE,"F";"VUE98",#N/A,TRUE,"G"}</definedName>
    <definedName name="ddd" localSheetId="9" hidden="1">{"VUE95",#N/A,TRUE,"D";"VUE96",#N/A,TRUE,"E";"VUE97",#N/A,TRUE,"F";"VUE98",#N/A,TRUE,"G"}</definedName>
    <definedName name="ddd" localSheetId="10" hidden="1">{"VUE95",#N/A,TRUE,"D";"VUE96",#N/A,TRUE,"E";"VUE97",#N/A,TRUE,"F";"VUE98",#N/A,TRUE,"G"}</definedName>
    <definedName name="ddd" localSheetId="11" hidden="1">{"VUE95",#N/A,TRUE,"D";"VUE96",#N/A,TRUE,"E";"VUE97",#N/A,TRUE,"F";"VUE98",#N/A,TRUE,"G"}</definedName>
    <definedName name="ddd" localSheetId="12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'[4]SNL Data'!$BD$4:$BD$168</definedName>
    <definedName name="Dividend" localSheetId="5">#REF!</definedName>
    <definedName name="Dividend_Ticker" localSheetId="5">#REF!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5" hidden="1">#REF!</definedName>
    <definedName name="f" hidden="1">#REF!</definedName>
    <definedName name="Faib" localSheetId="7" hidden="1">{"VUE95",#N/A,TRUE,"D";"VUE96",#N/A,TRUE,"E";"VUE97",#N/A,TRUE,"F";"VUE98",#N/A,TRUE,"G"}</definedName>
    <definedName name="Faib" localSheetId="8" hidden="1">{"VUE95",#N/A,TRUE,"D";"VUE96",#N/A,TRUE,"E";"VUE97",#N/A,TRUE,"F";"VUE98",#N/A,TRUE,"G"}</definedName>
    <definedName name="Faib" localSheetId="9" hidden="1">{"VUE95",#N/A,TRUE,"D";"VUE96",#N/A,TRUE,"E";"VUE97",#N/A,TRUE,"F";"VUE98",#N/A,TRUE,"G"}</definedName>
    <definedName name="Faib" localSheetId="10" hidden="1">{"VUE95",#N/A,TRUE,"D";"VUE96",#N/A,TRUE,"E";"VUE97",#N/A,TRUE,"F";"VUE98",#N/A,TRUE,"G"}</definedName>
    <definedName name="Faib" localSheetId="11" hidden="1">{"VUE95",#N/A,TRUE,"D";"VUE96",#N/A,TRUE,"E";"VUE97",#N/A,TRUE,"F";"VUE98",#N/A,TRUE,"G"}</definedName>
    <definedName name="Faib" localSheetId="12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7" hidden="1">{"VUE95",#N/A,TRUE,"D";"VUE96",#N/A,TRUE,"E";"VUE97",#N/A,TRUE,"F";"VUE98",#N/A,TRUE,"G"}</definedName>
    <definedName name="Faible" localSheetId="8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10" hidden="1">{"VUE95",#N/A,TRUE,"D";"VUE96",#N/A,TRUE,"E";"VUE97",#N/A,TRUE,"F";"VUE98",#N/A,TRUE,"G"}</definedName>
    <definedName name="Faible" localSheetId="11" hidden="1">{"VUE95",#N/A,TRUE,"D";"VUE96",#N/A,TRUE,"E";"VUE97",#N/A,TRUE,"F";"VUE98",#N/A,TRUE,"G"}</definedName>
    <definedName name="Faible" localSheetId="12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hidden="1">{"quarterly",#N/A,FALSE,"Income Statement";#N/A,#N/A,FALSE,"print segment";#N/A,#N/A,FALSE,"Balance Sheet";#N/A,#N/A,FALSE,"Annl Inc";#N/A,#N/A,FALSE,"Cash Flow"}</definedName>
    <definedName name="ff" localSheetId="5" hidden="1">#REF!</definedName>
    <definedName name="ff" hidden="1">#REF!</definedName>
    <definedName name="fffff" localSheetId="5" hidden="1">#REF!</definedName>
    <definedName name="fffff" hidden="1">#REF!</definedName>
    <definedName name="fffffffffffffffffffff" localSheetId="5" hidden="1">#REF!</definedName>
    <definedName name="fffffffffffffffffffff" hidden="1">#REF!</definedName>
    <definedName name="FuelCycle" hidden="1">{#N/A,#N/A,FALSE,"AltFuel"}</definedName>
    <definedName name="Growth_Rates_Ticker" localSheetId="5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hidden="1">{#N/A,#N/A,FALSE,"FinStateUS"}</definedName>
    <definedName name="IncomeStatement6Years" hidden="1">{"IncStatement 6 years",#N/A,FALSE,"FinStateUS"}</definedName>
    <definedName name="Indicateurs1" localSheetId="7" hidden="1">{"VUE95",#N/A,TRUE,"D";"VUE96",#N/A,TRUE,"E";"VUE97",#N/A,TRUE,"F";"VUE98",#N/A,TRUE,"G"}</definedName>
    <definedName name="Indicateurs1" localSheetId="8" hidden="1">{"VUE95",#N/A,TRUE,"D";"VUE96",#N/A,TRUE,"E";"VUE97",#N/A,TRUE,"F";"VUE98",#N/A,TRUE,"G"}</definedName>
    <definedName name="Indicateurs1" localSheetId="9" hidden="1">{"VUE95",#N/A,TRUE,"D";"VUE96",#N/A,TRUE,"E";"VUE97",#N/A,TRUE,"F";"VUE98",#N/A,TRUE,"G"}</definedName>
    <definedName name="Indicateurs1" localSheetId="10" hidden="1">{"VUE95",#N/A,TRUE,"D";"VUE96",#N/A,TRUE,"E";"VUE97",#N/A,TRUE,"F";"VUE98",#N/A,TRUE,"G"}</definedName>
    <definedName name="Indicateurs1" localSheetId="11" hidden="1">{"VUE95",#N/A,TRUE,"D";"VUE96",#N/A,TRUE,"E";"VUE97",#N/A,TRUE,"F";"VUE98",#N/A,TRUE,"G"}</definedName>
    <definedName name="Indicateurs1" localSheetId="12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_YesNo" localSheetId="5">#REF!</definedName>
    <definedName name="Inputs_Group" localSheetId="5">#REF!</definedName>
    <definedName name="Inputs_Ticker" localSheetId="5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I" localSheetId="5" hidden="1">#REF!,#REF!</definedName>
    <definedName name="KI" hidden="1">#REF!,#REF!</definedName>
    <definedName name="KL" localSheetId="5" hidden="1">#REF!</definedName>
    <definedName name="KL" hidden="1">#REF!</definedName>
    <definedName name="l" localSheetId="5" hidden="1">#REF!</definedName>
    <definedName name="l" hidden="1">#REF!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ayout_Ratio_1" localSheetId="5">#REF!</definedName>
    <definedName name="Payout_Ratio_2" localSheetId="5">#REF!</definedName>
    <definedName name="Payout_Ratio_3" localSheetId="5">#REF!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ostofDebt" localSheetId="5">#REF!</definedName>
    <definedName name="PopCache_GL_INTERFACE_REFERENCE7" hidden="1">[5]PopCache!$A$1:$A$2</definedName>
    <definedName name="Price" localSheetId="5">#REF!</definedName>
    <definedName name="Price_Ticker" localSheetId="5">#REF!</definedName>
    <definedName name="_xlnm.Print_Area" localSheetId="7">'CEA-7.1a Avg ERP Hamada Adj 40%'!$A$1:$K$132</definedName>
    <definedName name="_xlnm.Print_Area" localSheetId="8">'CEA-7.1a Avg ERP Hamada Adj 45%'!$A$1:$K$132</definedName>
    <definedName name="_xlnm.Print_Area" localSheetId="9">'CEA-7.2a Fwd ERP Hamada Adj 40%'!$A$1:$K$132</definedName>
    <definedName name="_xlnm.Print_Area" localSheetId="10">'CEA-7.2a Fwd ERP Hamada Adj 45%'!$A$1:$K$132</definedName>
    <definedName name="_xlnm.Print_Area" localSheetId="11">'CEA-7.3a His ERP Hamada Adj 40%'!$A$1:$K$132</definedName>
    <definedName name="_xlnm.Print_Area" localSheetId="12">'CEA-7.3a His ERP Hamada Adj 45%'!$A$1:$K$132</definedName>
    <definedName name="_xlnm.Print_Area" localSheetId="5">'JMC -2 Proxy Group Screen'!$A$1:$P$124</definedName>
    <definedName name="_xlnm.Print_Titles" localSheetId="7">'CEA-7.1a Avg ERP Hamada Adj 40%'!$1:$3</definedName>
    <definedName name="_xlnm.Print_Titles" localSheetId="8">'CEA-7.1a Avg ERP Hamada Adj 45%'!$1:$3</definedName>
    <definedName name="_xlnm.Print_Titles" localSheetId="9">'CEA-7.2a Fwd ERP Hamada Adj 40%'!$1:$3</definedName>
    <definedName name="_xlnm.Print_Titles" localSheetId="10">'CEA-7.2a Fwd ERP Hamada Adj 45%'!$1:$3</definedName>
    <definedName name="_xlnm.Print_Titles" localSheetId="11">'CEA-7.3a His ERP Hamada Adj 40%'!$1:$3</definedName>
    <definedName name="_xlnm.Print_Titles" localSheetId="12">'CEA-7.3a His ERP Hamada Adj 45%'!$1:$3</definedName>
    <definedName name="q" localSheetId="7" hidden="1">{"VUE95",#N/A,TRUE,"D";"VUE96",#N/A,TRUE,"E";"VUE97",#N/A,TRUE,"F";"VUE98",#N/A,TRUE,"G"}</definedName>
    <definedName name="q" localSheetId="8" hidden="1">{"VUE95",#N/A,TRUE,"D";"VUE96",#N/A,TRUE,"E";"VUE97",#N/A,TRUE,"F";"VUE98",#N/A,TRUE,"G"}</definedName>
    <definedName name="q" localSheetId="9" hidden="1">{"VUE95",#N/A,TRUE,"D";"VUE96",#N/A,TRUE,"E";"VUE97",#N/A,TRUE,"F";"VUE98",#N/A,TRUE,"G"}</definedName>
    <definedName name="q" localSheetId="10" hidden="1">{"VUE95",#N/A,TRUE,"D";"VUE96",#N/A,TRUE,"E";"VUE97",#N/A,TRUE,"F";"VUE98",#N/A,TRUE,"G"}</definedName>
    <definedName name="q" localSheetId="11" hidden="1">{"VUE95",#N/A,TRUE,"D";"VUE96",#N/A,TRUE,"E";"VUE97",#N/A,TRUE,"F";"VUE98",#N/A,TRUE,"G"}</definedName>
    <definedName name="q" localSheetId="12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5" hidden="1">#REF!</definedName>
    <definedName name="S" hidden="1">#REF!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ostofDebt" localSheetId="5">#REF!</definedName>
    <definedName name="SNLHoldCoCapExtoNetPlant" localSheetId="5">'[6]SNL Data'!#REF!</definedName>
    <definedName name="SNLHoldCoCostofDebt" localSheetId="5">'[6]SNL Data'!#REF!</definedName>
    <definedName name="SNLRegRevElec" localSheetId="5">#REF!</definedName>
    <definedName name="SNLRegRevTot" localSheetId="5">#REF!</definedName>
    <definedName name="SPLTIssuer" localSheetId="5">#REF!</definedName>
    <definedName name="ssss" localSheetId="5">'[4]SNL Data'!$B$4:$B$168</definedName>
    <definedName name="Swvu.DATABASE." localSheetId="5" hidden="1">[2]DATABASE!#REF!</definedName>
    <definedName name="Swvu.DATABASE." hidden="1">[2]DATABASE!#REF!</definedName>
    <definedName name="Swvu.OP." localSheetId="5" hidden="1">#REF!</definedName>
    <definedName name="Swvu.OP." hidden="1">#REF!</definedName>
    <definedName name="SWXOpRevGas" localSheetId="5">#REF!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tility_yld" localSheetId="5">'[7]Industrial 20 Year Debt'!$E$1:$AS$54</definedName>
    <definedName name="Value_Line_Book_Value_Growth" localSheetId="5">#REF!</definedName>
    <definedName name="Value_Line_Dividends_Growth" localSheetId="5">#REF!</definedName>
    <definedName name="Value_Line_Earnings_Growth" localSheetId="5">#REF!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7" hidden="1">{"page1",#N/A,FALSE,"Comparaison";"page2",#N/A,FALSE,"Comparaison";"page3",#N/A,FALSE,"Comparaison";"page4",#N/A,FALSE,"Comparaison"}</definedName>
    <definedName name="wrn.Comparaison." localSheetId="8" hidden="1">{"page1",#N/A,FALSE,"Comparaison";"page2",#N/A,FALSE,"Comparaison";"page3",#N/A,FALSE,"Comparaison";"page4",#N/A,FALSE,"Comparaison"}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10" hidden="1">{"page1",#N/A,FALSE,"Comparaison";"page2",#N/A,FALSE,"Comparaison";"page3",#N/A,FALSE,"Comparaison";"page4",#N/A,FALSE,"Comparaison"}</definedName>
    <definedName name="wrn.Comparaison." localSheetId="11" hidden="1">{"page1",#N/A,FALSE,"Comparaison";"page2",#N/A,FALSE,"Comparaison";"page3",#N/A,FALSE,"Comparaison";"page4",#N/A,FALSE,"Comparaison"}</definedName>
    <definedName name="wrn.Comparaison." localSheetId="12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hidden="1">{#N/A,#N/A,FALSE,"AltFuel"}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hidden="1">{"page1",#N/A,FALSE,"A";"page2",#N/A,FALSE,"A"}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7" hidden="1">{"VUE95",#N/A,TRUE,"D";"VUE96",#N/A,TRUE,"E";"VUE97",#N/A,TRUE,"F";"VUE98",#N/A,TRUE,"G"}</definedName>
    <definedName name="wrn.TAB9510." localSheetId="8" hidden="1">{"VUE95",#N/A,TRUE,"D";"VUE96",#N/A,TRUE,"E";"VUE97",#N/A,TRUE,"F";"VUE98",#N/A,TRUE,"G"}</definedName>
    <definedName name="wrn.TAB9510." localSheetId="9" hidden="1">{"VUE95",#N/A,TRUE,"D";"VUE96",#N/A,TRUE,"E";"VUE97",#N/A,TRUE,"F";"VUE98",#N/A,TRUE,"G"}</definedName>
    <definedName name="wrn.TAB9510." localSheetId="10" hidden="1">{"VUE95",#N/A,TRUE,"D";"VUE96",#N/A,TRUE,"E";"VUE97",#N/A,TRUE,"F";"VUE98",#N/A,TRUE,"G"}</definedName>
    <definedName name="wrn.TAB9510." localSheetId="11" hidden="1">{"VUE95",#N/A,TRUE,"D";"VUE96",#N/A,TRUE,"E";"VUE97",#N/A,TRUE,"F";"VUE98",#N/A,TRUE,"G"}</definedName>
    <definedName name="wrn.TAB9510." localSheetId="12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5" hidden="1">#REF!</definedName>
    <definedName name="X" hidden="1">#REF!</definedName>
    <definedName name="xxx" localSheetId="5" hidden="1">[1]lt!#REF!</definedName>
    <definedName name="xxx" hidden="1">[1]lt!#REF!</definedName>
    <definedName name="Y" localSheetId="5" hidden="1">#REF!</definedName>
    <definedName name="Y" hidden="1">#REF!</definedName>
    <definedName name="Yahoo_Earnings_Growth" localSheetId="5">#REF!</definedName>
    <definedName name="Yvan" localSheetId="7" hidden="1">{"VUE95",#N/A,TRUE,"D";"VUE96",#N/A,TRUE,"E";"VUE97",#N/A,TRUE,"F";"VUE98",#N/A,TRUE,"G"}</definedName>
    <definedName name="Yvan" localSheetId="8" hidden="1">{"VUE95",#N/A,TRUE,"D";"VUE96",#N/A,TRUE,"E";"VUE97",#N/A,TRUE,"F";"VUE98",#N/A,TRUE,"G"}</definedName>
    <definedName name="Yvan" localSheetId="9" hidden="1">{"VUE95",#N/A,TRUE,"D";"VUE96",#N/A,TRUE,"E";"VUE97",#N/A,TRUE,"F";"VUE98",#N/A,TRUE,"G"}</definedName>
    <definedName name="Yvan" localSheetId="10" hidden="1">{"VUE95",#N/A,TRUE,"D";"VUE96",#N/A,TRUE,"E";"VUE97",#N/A,TRUE,"F";"VUE98",#N/A,TRUE,"G"}</definedName>
    <definedName name="Yvan" localSheetId="11" hidden="1">{"VUE95",#N/A,TRUE,"D";"VUE96",#N/A,TRUE,"E";"VUE97",#N/A,TRUE,"F";"VUE98",#N/A,TRUE,"G"}</definedName>
    <definedName name="Yvan" localSheetId="12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7" hidden="1">{"VUE95",#N/A,TRUE,"D";"VUE96",#N/A,TRUE,"E";"VUE97",#N/A,TRUE,"F";"VUE98",#N/A,TRUE,"G"}</definedName>
    <definedName name="Z" localSheetId="8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10" hidden="1">{"VUE95",#N/A,TRUE,"D";"VUE96",#N/A,TRUE,"E";"VUE97",#N/A,TRUE,"F";"VUE98",#N/A,TRUE,"G"}</definedName>
    <definedName name="Z" localSheetId="11" hidden="1">{"VUE95",#N/A,TRUE,"D";"VUE96",#N/A,TRUE,"E";"VUE97",#N/A,TRUE,"F";"VUE98",#N/A,TRUE,"G"}</definedName>
    <definedName name="Z" localSheetId="12" hidden="1">{"VUE95",#N/A,TRUE,"D";"VUE96",#N/A,TRUE,"E";"VUE97",#N/A,TRUE,"F";"VUE98",#N/A,TRUE,"G"}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ozo" localSheetId="7" hidden="1">{"VUE95",#N/A,TRUE,"D";"VUE96",#N/A,TRUE,"E";"VUE97",#N/A,TRUE,"F";"VUE98",#N/A,TRUE,"G"}</definedName>
    <definedName name="zozo" localSheetId="8" hidden="1">{"VUE95",#N/A,TRUE,"D";"VUE96",#N/A,TRUE,"E";"VUE97",#N/A,TRUE,"F";"VUE98",#N/A,TRUE,"G"}</definedName>
    <definedName name="zozo" localSheetId="9" hidden="1">{"VUE95",#N/A,TRUE,"D";"VUE96",#N/A,TRUE,"E";"VUE97",#N/A,TRUE,"F";"VUE98",#N/A,TRUE,"G"}</definedName>
    <definedName name="zozo" localSheetId="10" hidden="1">{"VUE95",#N/A,TRUE,"D";"VUE96",#N/A,TRUE,"E";"VUE97",#N/A,TRUE,"F";"VUE98",#N/A,TRUE,"G"}</definedName>
    <definedName name="zozo" localSheetId="11" hidden="1">{"VUE95",#N/A,TRUE,"D";"VUE96",#N/A,TRUE,"E";"VUE97",#N/A,TRUE,"F";"VUE98",#N/A,TRUE,"G"}</definedName>
    <definedName name="zozo" localSheetId="12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91" l="1"/>
  <c r="K7" i="90"/>
  <c r="H120" i="91" l="1"/>
  <c r="F120" i="91"/>
  <c r="E120" i="91"/>
  <c r="D120" i="91"/>
  <c r="C120" i="91"/>
  <c r="H119" i="91"/>
  <c r="F119" i="91"/>
  <c r="E119" i="91"/>
  <c r="D119" i="91"/>
  <c r="C119" i="91"/>
  <c r="H118" i="91"/>
  <c r="F118" i="91"/>
  <c r="E118" i="91"/>
  <c r="D118" i="91"/>
  <c r="C118" i="91"/>
  <c r="H117" i="91"/>
  <c r="G117" i="91"/>
  <c r="F117" i="91"/>
  <c r="E117" i="91"/>
  <c r="D117" i="91"/>
  <c r="C117" i="91"/>
  <c r="H116" i="91"/>
  <c r="F116" i="91"/>
  <c r="E116" i="91"/>
  <c r="D116" i="91"/>
  <c r="C116" i="91"/>
  <c r="H115" i="91"/>
  <c r="F115" i="91"/>
  <c r="E115" i="91"/>
  <c r="D115" i="91"/>
  <c r="C115" i="91"/>
  <c r="H114" i="91"/>
  <c r="F114" i="91"/>
  <c r="E114" i="91"/>
  <c r="D114" i="91"/>
  <c r="C114" i="91"/>
  <c r="H113" i="91"/>
  <c r="G113" i="91"/>
  <c r="F113" i="91"/>
  <c r="E113" i="91"/>
  <c r="D113" i="91"/>
  <c r="C113" i="91"/>
  <c r="H112" i="91"/>
  <c r="F112" i="91"/>
  <c r="E112" i="91"/>
  <c r="D112" i="91"/>
  <c r="C112" i="91"/>
  <c r="H111" i="91"/>
  <c r="F111" i="91"/>
  <c r="E111" i="91"/>
  <c r="D111" i="91"/>
  <c r="C111" i="91"/>
  <c r="H110" i="91"/>
  <c r="F110" i="91"/>
  <c r="E110" i="91"/>
  <c r="D110" i="91"/>
  <c r="C110" i="91"/>
  <c r="H109" i="91"/>
  <c r="G109" i="91"/>
  <c r="F109" i="91"/>
  <c r="E109" i="91"/>
  <c r="D109" i="91"/>
  <c r="C109" i="91"/>
  <c r="H108" i="91"/>
  <c r="F108" i="91"/>
  <c r="E108" i="91"/>
  <c r="D108" i="91"/>
  <c r="C108" i="91"/>
  <c r="H107" i="91"/>
  <c r="F107" i="91"/>
  <c r="E107" i="91"/>
  <c r="D107" i="91"/>
  <c r="C107" i="91"/>
  <c r="H106" i="91"/>
  <c r="F106" i="91"/>
  <c r="E106" i="91"/>
  <c r="D106" i="91"/>
  <c r="C106" i="91"/>
  <c r="H105" i="91"/>
  <c r="G105" i="91"/>
  <c r="F105" i="91"/>
  <c r="E105" i="91"/>
  <c r="D105" i="91"/>
  <c r="C105" i="91"/>
  <c r="H104" i="91"/>
  <c r="F104" i="91"/>
  <c r="E104" i="91"/>
  <c r="D104" i="91"/>
  <c r="C104" i="91"/>
  <c r="H103" i="91"/>
  <c r="F103" i="91"/>
  <c r="E103" i="91"/>
  <c r="D103" i="91"/>
  <c r="C103" i="91"/>
  <c r="H102" i="91"/>
  <c r="F102" i="91"/>
  <c r="E102" i="91"/>
  <c r="D102" i="91"/>
  <c r="C102" i="91"/>
  <c r="F101" i="91"/>
  <c r="E101" i="91"/>
  <c r="D101" i="91"/>
  <c r="C101" i="91"/>
  <c r="I100" i="91"/>
  <c r="H100" i="91"/>
  <c r="F100" i="91"/>
  <c r="E100" i="91"/>
  <c r="D100" i="91"/>
  <c r="C100" i="91"/>
  <c r="H99" i="91"/>
  <c r="F99" i="91"/>
  <c r="E99" i="91"/>
  <c r="D99" i="91"/>
  <c r="C99" i="91"/>
  <c r="H98" i="91"/>
  <c r="F98" i="91"/>
  <c r="E98" i="91"/>
  <c r="D98" i="91"/>
  <c r="C98" i="91"/>
  <c r="G97" i="91"/>
  <c r="F97" i="91"/>
  <c r="E97" i="91"/>
  <c r="D97" i="91"/>
  <c r="C97" i="91"/>
  <c r="I96" i="91"/>
  <c r="H96" i="91"/>
  <c r="F96" i="91"/>
  <c r="E96" i="91"/>
  <c r="E121" i="91" s="1"/>
  <c r="D96" i="91"/>
  <c r="C96" i="91"/>
  <c r="L95" i="91"/>
  <c r="H86" i="91"/>
  <c r="G86" i="91"/>
  <c r="F86" i="91"/>
  <c r="E86" i="91"/>
  <c r="D86" i="91"/>
  <c r="C86" i="91"/>
  <c r="H85" i="91"/>
  <c r="F85" i="91"/>
  <c r="E85" i="91"/>
  <c r="D85" i="91"/>
  <c r="C85" i="91"/>
  <c r="H84" i="91"/>
  <c r="F84" i="91"/>
  <c r="E84" i="91"/>
  <c r="D84" i="91"/>
  <c r="C84" i="91"/>
  <c r="H83" i="91"/>
  <c r="F83" i="91"/>
  <c r="E83" i="91"/>
  <c r="D83" i="91"/>
  <c r="C83" i="91"/>
  <c r="H82" i="91"/>
  <c r="G82" i="91"/>
  <c r="F82" i="91"/>
  <c r="E82" i="91"/>
  <c r="D82" i="91"/>
  <c r="C82" i="91"/>
  <c r="I81" i="91"/>
  <c r="J81" i="91" s="1"/>
  <c r="H81" i="91"/>
  <c r="F81" i="91"/>
  <c r="E81" i="91"/>
  <c r="D81" i="91"/>
  <c r="C81" i="91"/>
  <c r="F80" i="91"/>
  <c r="E80" i="91"/>
  <c r="D80" i="91"/>
  <c r="C80" i="91"/>
  <c r="H79" i="91"/>
  <c r="F79" i="91"/>
  <c r="E79" i="91"/>
  <c r="E87" i="91" s="1"/>
  <c r="D79" i="91"/>
  <c r="C79" i="91"/>
  <c r="L78" i="91"/>
  <c r="H71" i="91"/>
  <c r="F71" i="91"/>
  <c r="E71" i="91"/>
  <c r="D71" i="91"/>
  <c r="C71" i="91"/>
  <c r="H70" i="91"/>
  <c r="F70" i="91"/>
  <c r="E70" i="91"/>
  <c r="D70" i="91"/>
  <c r="C70" i="91"/>
  <c r="H69" i="91"/>
  <c r="G69" i="91"/>
  <c r="F69" i="91"/>
  <c r="E69" i="91"/>
  <c r="D69" i="91"/>
  <c r="C69" i="91"/>
  <c r="H68" i="91"/>
  <c r="F68" i="91"/>
  <c r="E68" i="91"/>
  <c r="D68" i="91"/>
  <c r="C68" i="91"/>
  <c r="H67" i="91"/>
  <c r="F67" i="91"/>
  <c r="E67" i="91"/>
  <c r="D67" i="91"/>
  <c r="C67" i="91"/>
  <c r="H66" i="91"/>
  <c r="F66" i="91"/>
  <c r="E66" i="91"/>
  <c r="D66" i="91"/>
  <c r="C66" i="91"/>
  <c r="H65" i="91"/>
  <c r="G65" i="91"/>
  <c r="F65" i="91"/>
  <c r="E65" i="91"/>
  <c r="D65" i="91"/>
  <c r="C65" i="91"/>
  <c r="I64" i="91"/>
  <c r="J64" i="91" s="1"/>
  <c r="H64" i="91"/>
  <c r="F64" i="91"/>
  <c r="E64" i="91"/>
  <c r="D64" i="91"/>
  <c r="C64" i="91"/>
  <c r="H63" i="91"/>
  <c r="F63" i="91"/>
  <c r="E63" i="91"/>
  <c r="D63" i="91"/>
  <c r="C63" i="91"/>
  <c r="H62" i="91"/>
  <c r="F62" i="91"/>
  <c r="E62" i="91"/>
  <c r="D62" i="91"/>
  <c r="C62" i="91"/>
  <c r="H61" i="91"/>
  <c r="G61" i="91"/>
  <c r="F61" i="91"/>
  <c r="E61" i="91"/>
  <c r="D61" i="91"/>
  <c r="C61" i="91"/>
  <c r="H60" i="91"/>
  <c r="F60" i="91"/>
  <c r="E60" i="91"/>
  <c r="D60" i="91"/>
  <c r="C60" i="91"/>
  <c r="H59" i="91"/>
  <c r="F59" i="91"/>
  <c r="E59" i="91"/>
  <c r="D59" i="91"/>
  <c r="C59" i="91"/>
  <c r="H58" i="91"/>
  <c r="F58" i="91"/>
  <c r="E58" i="91"/>
  <c r="D58" i="91"/>
  <c r="C58" i="91"/>
  <c r="H57" i="91"/>
  <c r="G57" i="91"/>
  <c r="F57" i="91"/>
  <c r="E57" i="91"/>
  <c r="D57" i="91"/>
  <c r="C57" i="91"/>
  <c r="F56" i="91"/>
  <c r="E56" i="91"/>
  <c r="D56" i="91"/>
  <c r="C56" i="91"/>
  <c r="H55" i="91"/>
  <c r="G55" i="91"/>
  <c r="F55" i="91"/>
  <c r="E55" i="91"/>
  <c r="D55" i="91"/>
  <c r="C55" i="91"/>
  <c r="H54" i="91"/>
  <c r="F54" i="91"/>
  <c r="E54" i="91"/>
  <c r="D54" i="91"/>
  <c r="C54" i="91"/>
  <c r="H53" i="91"/>
  <c r="G53" i="91"/>
  <c r="F53" i="91"/>
  <c r="E53" i="91"/>
  <c r="E72" i="91" s="1"/>
  <c r="D53" i="91"/>
  <c r="C53" i="91"/>
  <c r="L52" i="91"/>
  <c r="E46" i="91"/>
  <c r="G120" i="91"/>
  <c r="K44" i="91"/>
  <c r="G85" i="91"/>
  <c r="G84" i="91"/>
  <c r="I42" i="91"/>
  <c r="I83" i="91" s="1"/>
  <c r="J83" i="91" s="1"/>
  <c r="G83" i="91"/>
  <c r="L41" i="91"/>
  <c r="E35" i="91"/>
  <c r="G116" i="91"/>
  <c r="G115" i="91"/>
  <c r="I32" i="91"/>
  <c r="J32" i="91" s="1"/>
  <c r="J114" i="91" s="1"/>
  <c r="G114" i="91"/>
  <c r="G68" i="91"/>
  <c r="K30" i="91"/>
  <c r="G112" i="91"/>
  <c r="G111" i="91"/>
  <c r="I28" i="91"/>
  <c r="I110" i="91" s="1"/>
  <c r="G110" i="91"/>
  <c r="J27" i="91"/>
  <c r="J109" i="91" s="1"/>
  <c r="I27" i="91"/>
  <c r="I109" i="91" s="1"/>
  <c r="G64" i="91"/>
  <c r="G108" i="91"/>
  <c r="G107" i="91"/>
  <c r="I24" i="91"/>
  <c r="J24" i="91" s="1"/>
  <c r="J106" i="91" s="1"/>
  <c r="G106" i="91"/>
  <c r="G60" i="91"/>
  <c r="K22" i="91"/>
  <c r="G104" i="91"/>
  <c r="G35" i="91"/>
  <c r="I20" i="91"/>
  <c r="I102" i="91" s="1"/>
  <c r="G102" i="91"/>
  <c r="L19" i="91"/>
  <c r="K17" i="91"/>
  <c r="K39" i="91" s="1"/>
  <c r="K50" i="91" s="1"/>
  <c r="K76" i="91" s="1"/>
  <c r="E13" i="91"/>
  <c r="H12" i="91"/>
  <c r="H56" i="91" s="1"/>
  <c r="G101" i="91"/>
  <c r="I11" i="91"/>
  <c r="I55" i="91" s="1"/>
  <c r="J55" i="91" s="1"/>
  <c r="G100" i="91"/>
  <c r="I10" i="91"/>
  <c r="I99" i="91" s="1"/>
  <c r="G81" i="91"/>
  <c r="G13" i="91"/>
  <c r="H8" i="91"/>
  <c r="H80" i="91" s="1"/>
  <c r="G80" i="91"/>
  <c r="K79" i="91"/>
  <c r="J7" i="91"/>
  <c r="J96" i="91" s="1"/>
  <c r="I7" i="91"/>
  <c r="I79" i="91" s="1"/>
  <c r="J79" i="91" s="1"/>
  <c r="G96" i="91"/>
  <c r="L6" i="91"/>
  <c r="K23" i="90"/>
  <c r="L23" i="90" s="1"/>
  <c r="H120" i="90"/>
  <c r="F120" i="90"/>
  <c r="E120" i="90"/>
  <c r="D120" i="90"/>
  <c r="C120" i="90"/>
  <c r="H119" i="90"/>
  <c r="F119" i="90"/>
  <c r="E119" i="90"/>
  <c r="D119" i="90"/>
  <c r="C119" i="90"/>
  <c r="H118" i="90"/>
  <c r="F118" i="90"/>
  <c r="E118" i="90"/>
  <c r="D118" i="90"/>
  <c r="C118" i="90"/>
  <c r="H117" i="90"/>
  <c r="F117" i="90"/>
  <c r="E117" i="90"/>
  <c r="D117" i="90"/>
  <c r="C117" i="90"/>
  <c r="H116" i="90"/>
  <c r="F116" i="90"/>
  <c r="E116" i="90"/>
  <c r="D116" i="90"/>
  <c r="C116" i="90"/>
  <c r="H115" i="90"/>
  <c r="F115" i="90"/>
  <c r="E115" i="90"/>
  <c r="D115" i="90"/>
  <c r="C115" i="90"/>
  <c r="H114" i="90"/>
  <c r="G114" i="90"/>
  <c r="F114" i="90"/>
  <c r="E114" i="90"/>
  <c r="D114" i="90"/>
  <c r="C114" i="90"/>
  <c r="H113" i="90"/>
  <c r="F113" i="90"/>
  <c r="E113" i="90"/>
  <c r="D113" i="90"/>
  <c r="C113" i="90"/>
  <c r="H112" i="90"/>
  <c r="F112" i="90"/>
  <c r="E112" i="90"/>
  <c r="D112" i="90"/>
  <c r="C112" i="90"/>
  <c r="H111" i="90"/>
  <c r="F111" i="90"/>
  <c r="E111" i="90"/>
  <c r="D111" i="90"/>
  <c r="C111" i="90"/>
  <c r="H110" i="90"/>
  <c r="F110" i="90"/>
  <c r="E110" i="90"/>
  <c r="D110" i="90"/>
  <c r="C110" i="90"/>
  <c r="I109" i="90"/>
  <c r="H109" i="90"/>
  <c r="F109" i="90"/>
  <c r="E109" i="90"/>
  <c r="D109" i="90"/>
  <c r="C109" i="90"/>
  <c r="H108" i="90"/>
  <c r="F108" i="90"/>
  <c r="E108" i="90"/>
  <c r="D108" i="90"/>
  <c r="C108" i="90"/>
  <c r="H107" i="90"/>
  <c r="F107" i="90"/>
  <c r="E107" i="90"/>
  <c r="D107" i="90"/>
  <c r="C107" i="90"/>
  <c r="H106" i="90"/>
  <c r="G106" i="90"/>
  <c r="F106" i="90"/>
  <c r="E106" i="90"/>
  <c r="D106" i="90"/>
  <c r="C106" i="90"/>
  <c r="H105" i="90"/>
  <c r="F105" i="90"/>
  <c r="E105" i="90"/>
  <c r="D105" i="90"/>
  <c r="C105" i="90"/>
  <c r="H104" i="90"/>
  <c r="F104" i="90"/>
  <c r="E104" i="90"/>
  <c r="D104" i="90"/>
  <c r="C104" i="90"/>
  <c r="H103" i="90"/>
  <c r="F103" i="90"/>
  <c r="E103" i="90"/>
  <c r="D103" i="90"/>
  <c r="C103" i="90"/>
  <c r="H102" i="90"/>
  <c r="F102" i="90"/>
  <c r="E102" i="90"/>
  <c r="D102" i="90"/>
  <c r="C102" i="90"/>
  <c r="F101" i="90"/>
  <c r="E101" i="90"/>
  <c r="D101" i="90"/>
  <c r="C101" i="90"/>
  <c r="H100" i="90"/>
  <c r="F100" i="90"/>
  <c r="E100" i="90"/>
  <c r="D100" i="90"/>
  <c r="C100" i="90"/>
  <c r="H99" i="90"/>
  <c r="G99" i="90"/>
  <c r="F99" i="90"/>
  <c r="E99" i="90"/>
  <c r="D99" i="90"/>
  <c r="C99" i="90"/>
  <c r="H98" i="90"/>
  <c r="G98" i="90"/>
  <c r="F98" i="90"/>
  <c r="E98" i="90"/>
  <c r="D98" i="90"/>
  <c r="C98" i="90"/>
  <c r="F97" i="90"/>
  <c r="E97" i="90"/>
  <c r="D97" i="90"/>
  <c r="C97" i="90"/>
  <c r="K96" i="90"/>
  <c r="H96" i="90"/>
  <c r="G96" i="90"/>
  <c r="F96" i="90"/>
  <c r="E96" i="90"/>
  <c r="E121" i="90" s="1"/>
  <c r="D96" i="90"/>
  <c r="C96" i="90"/>
  <c r="L95" i="90"/>
  <c r="H86" i="90"/>
  <c r="F86" i="90"/>
  <c r="E86" i="90"/>
  <c r="D86" i="90"/>
  <c r="C86" i="90"/>
  <c r="H85" i="90"/>
  <c r="F85" i="90"/>
  <c r="E85" i="90"/>
  <c r="D85" i="90"/>
  <c r="C85" i="90"/>
  <c r="H84" i="90"/>
  <c r="F84" i="90"/>
  <c r="E84" i="90"/>
  <c r="D84" i="90"/>
  <c r="C84" i="90"/>
  <c r="H83" i="90"/>
  <c r="F83" i="90"/>
  <c r="E83" i="90"/>
  <c r="D83" i="90"/>
  <c r="C83" i="90"/>
  <c r="H82" i="90"/>
  <c r="F82" i="90"/>
  <c r="E82" i="90"/>
  <c r="D82" i="90"/>
  <c r="C82" i="90"/>
  <c r="H81" i="90"/>
  <c r="G81" i="90"/>
  <c r="F81" i="90"/>
  <c r="E81" i="90"/>
  <c r="D81" i="90"/>
  <c r="C81" i="90"/>
  <c r="F80" i="90"/>
  <c r="E80" i="90"/>
  <c r="E87" i="90" s="1"/>
  <c r="D80" i="90"/>
  <c r="C80" i="90"/>
  <c r="K79" i="90"/>
  <c r="H79" i="90"/>
  <c r="G79" i="90"/>
  <c r="F79" i="90"/>
  <c r="E79" i="90"/>
  <c r="D79" i="90"/>
  <c r="C79" i="90"/>
  <c r="L78" i="90"/>
  <c r="H71" i="90"/>
  <c r="F71" i="90"/>
  <c r="E71" i="90"/>
  <c r="D71" i="90"/>
  <c r="C71" i="90"/>
  <c r="H70" i="90"/>
  <c r="F70" i="90"/>
  <c r="E70" i="90"/>
  <c r="D70" i="90"/>
  <c r="C70" i="90"/>
  <c r="H69" i="90"/>
  <c r="G69" i="90"/>
  <c r="F69" i="90"/>
  <c r="E69" i="90"/>
  <c r="D69" i="90"/>
  <c r="C69" i="90"/>
  <c r="H68" i="90"/>
  <c r="F68" i="90"/>
  <c r="E68" i="90"/>
  <c r="D68" i="90"/>
  <c r="C68" i="90"/>
  <c r="H67" i="90"/>
  <c r="F67" i="90"/>
  <c r="E67" i="90"/>
  <c r="D67" i="90"/>
  <c r="C67" i="90"/>
  <c r="H66" i="90"/>
  <c r="F66" i="90"/>
  <c r="E66" i="90"/>
  <c r="D66" i="90"/>
  <c r="C66" i="90"/>
  <c r="H65" i="90"/>
  <c r="F65" i="90"/>
  <c r="E65" i="90"/>
  <c r="D65" i="90"/>
  <c r="C65" i="90"/>
  <c r="I64" i="90"/>
  <c r="J64" i="90" s="1"/>
  <c r="H64" i="90"/>
  <c r="F64" i="90"/>
  <c r="E64" i="90"/>
  <c r="D64" i="90"/>
  <c r="C64" i="90"/>
  <c r="H63" i="90"/>
  <c r="F63" i="90"/>
  <c r="E63" i="90"/>
  <c r="D63" i="90"/>
  <c r="C63" i="90"/>
  <c r="H62" i="90"/>
  <c r="F62" i="90"/>
  <c r="E62" i="90"/>
  <c r="D62" i="90"/>
  <c r="C62" i="90"/>
  <c r="H61" i="90"/>
  <c r="G61" i="90"/>
  <c r="F61" i="90"/>
  <c r="E61" i="90"/>
  <c r="D61" i="90"/>
  <c r="C61" i="90"/>
  <c r="H60" i="90"/>
  <c r="F60" i="90"/>
  <c r="E60" i="90"/>
  <c r="D60" i="90"/>
  <c r="C60" i="90"/>
  <c r="H59" i="90"/>
  <c r="F59" i="90"/>
  <c r="E59" i="90"/>
  <c r="D59" i="90"/>
  <c r="C59" i="90"/>
  <c r="H58" i="90"/>
  <c r="F58" i="90"/>
  <c r="E58" i="90"/>
  <c r="D58" i="90"/>
  <c r="C58" i="90"/>
  <c r="H57" i="90"/>
  <c r="F57" i="90"/>
  <c r="E57" i="90"/>
  <c r="D57" i="90"/>
  <c r="C57" i="90"/>
  <c r="H56" i="90"/>
  <c r="F56" i="90"/>
  <c r="E56" i="90"/>
  <c r="D56" i="90"/>
  <c r="C56" i="90"/>
  <c r="H55" i="90"/>
  <c r="F55" i="90"/>
  <c r="E55" i="90"/>
  <c r="D55" i="90"/>
  <c r="C55" i="90"/>
  <c r="H54" i="90"/>
  <c r="F54" i="90"/>
  <c r="E54" i="90"/>
  <c r="D54" i="90"/>
  <c r="C54" i="90"/>
  <c r="F53" i="90"/>
  <c r="E53" i="90"/>
  <c r="E72" i="90" s="1"/>
  <c r="D53" i="90"/>
  <c r="C53" i="90"/>
  <c r="L52" i="90"/>
  <c r="E46" i="90"/>
  <c r="I45" i="90"/>
  <c r="I86" i="90" s="1"/>
  <c r="J86" i="90" s="1"/>
  <c r="G120" i="90"/>
  <c r="K44" i="90"/>
  <c r="K85" i="90" s="1"/>
  <c r="G85" i="90"/>
  <c r="K43" i="90"/>
  <c r="K118" i="90" s="1"/>
  <c r="G84" i="90"/>
  <c r="G83" i="90"/>
  <c r="L41" i="90"/>
  <c r="E35" i="90"/>
  <c r="J34" i="90"/>
  <c r="J116" i="90" s="1"/>
  <c r="I34" i="90"/>
  <c r="I71" i="90" s="1"/>
  <c r="J71" i="90" s="1"/>
  <c r="G116" i="90"/>
  <c r="K33" i="90"/>
  <c r="K70" i="90" s="1"/>
  <c r="I33" i="90"/>
  <c r="I115" i="90" s="1"/>
  <c r="G115" i="90"/>
  <c r="K32" i="90"/>
  <c r="K114" i="90" s="1"/>
  <c r="I32" i="90"/>
  <c r="I114" i="90" s="1"/>
  <c r="K31" i="90"/>
  <c r="L31" i="90" s="1"/>
  <c r="I31" i="90"/>
  <c r="J31" i="90" s="1"/>
  <c r="J113" i="90" s="1"/>
  <c r="G68" i="90"/>
  <c r="K30" i="90"/>
  <c r="K112" i="90" s="1"/>
  <c r="G112" i="90"/>
  <c r="K29" i="90"/>
  <c r="K66" i="90" s="1"/>
  <c r="G111" i="90"/>
  <c r="I28" i="90"/>
  <c r="J27" i="90"/>
  <c r="J109" i="90" s="1"/>
  <c r="I27" i="90"/>
  <c r="G64" i="90"/>
  <c r="I26" i="90"/>
  <c r="I63" i="90" s="1"/>
  <c r="J63" i="90" s="1"/>
  <c r="G108" i="90"/>
  <c r="K25" i="90"/>
  <c r="K62" i="90" s="1"/>
  <c r="I25" i="90"/>
  <c r="I107" i="90" s="1"/>
  <c r="G107" i="90"/>
  <c r="K24" i="90"/>
  <c r="K106" i="90" s="1"/>
  <c r="I24" i="90"/>
  <c r="I106" i="90" s="1"/>
  <c r="I23" i="90"/>
  <c r="J23" i="90" s="1"/>
  <c r="J105" i="90" s="1"/>
  <c r="G60" i="90"/>
  <c r="K22" i="90"/>
  <c r="K104" i="90" s="1"/>
  <c r="G104" i="90"/>
  <c r="K21" i="90"/>
  <c r="K58" i="90" s="1"/>
  <c r="G103" i="90"/>
  <c r="G35" i="90"/>
  <c r="L19" i="90"/>
  <c r="K17" i="90"/>
  <c r="K39" i="90" s="1"/>
  <c r="K50" i="90" s="1"/>
  <c r="K76" i="90" s="1"/>
  <c r="E13" i="90"/>
  <c r="H12" i="90"/>
  <c r="H101" i="90" s="1"/>
  <c r="G56" i="90"/>
  <c r="G100" i="90"/>
  <c r="I10" i="90"/>
  <c r="I99" i="90" s="1"/>
  <c r="I9" i="90"/>
  <c r="I98" i="90" s="1"/>
  <c r="G54" i="90"/>
  <c r="K8" i="90"/>
  <c r="K97" i="90" s="1"/>
  <c r="H8" i="90"/>
  <c r="H80" i="90" s="1"/>
  <c r="G13" i="90"/>
  <c r="K42" i="90"/>
  <c r="J7" i="90"/>
  <c r="J96" i="90" s="1"/>
  <c r="I7" i="90"/>
  <c r="I79" i="90" s="1"/>
  <c r="J79" i="90" s="1"/>
  <c r="L6" i="90"/>
  <c r="H120" i="89"/>
  <c r="G120" i="89"/>
  <c r="F120" i="89"/>
  <c r="E120" i="89"/>
  <c r="D120" i="89"/>
  <c r="C120" i="89"/>
  <c r="H119" i="89"/>
  <c r="F119" i="89"/>
  <c r="E119" i="89"/>
  <c r="D119" i="89"/>
  <c r="C119" i="89"/>
  <c r="H118" i="89"/>
  <c r="F118" i="89"/>
  <c r="E118" i="89"/>
  <c r="D118" i="89"/>
  <c r="C118" i="89"/>
  <c r="H117" i="89"/>
  <c r="F117" i="89"/>
  <c r="E117" i="89"/>
  <c r="D117" i="89"/>
  <c r="C117" i="89"/>
  <c r="H116" i="89"/>
  <c r="G116" i="89"/>
  <c r="F116" i="89"/>
  <c r="E116" i="89"/>
  <c r="D116" i="89"/>
  <c r="C116" i="89"/>
  <c r="H115" i="89"/>
  <c r="G115" i="89"/>
  <c r="F115" i="89"/>
  <c r="E115" i="89"/>
  <c r="D115" i="89"/>
  <c r="C115" i="89"/>
  <c r="H114" i="89"/>
  <c r="F114" i="89"/>
  <c r="E114" i="89"/>
  <c r="D114" i="89"/>
  <c r="C114" i="89"/>
  <c r="H113" i="89"/>
  <c r="F113" i="89"/>
  <c r="E113" i="89"/>
  <c r="D113" i="89"/>
  <c r="C113" i="89"/>
  <c r="H112" i="89"/>
  <c r="F112" i="89"/>
  <c r="E112" i="89"/>
  <c r="D112" i="89"/>
  <c r="C112" i="89"/>
  <c r="H111" i="89"/>
  <c r="G111" i="89"/>
  <c r="F111" i="89"/>
  <c r="E111" i="89"/>
  <c r="D111" i="89"/>
  <c r="C111" i="89"/>
  <c r="H110" i="89"/>
  <c r="F110" i="89"/>
  <c r="E110" i="89"/>
  <c r="D110" i="89"/>
  <c r="C110" i="89"/>
  <c r="H109" i="89"/>
  <c r="F109" i="89"/>
  <c r="E109" i="89"/>
  <c r="D109" i="89"/>
  <c r="C109" i="89"/>
  <c r="H108" i="89"/>
  <c r="G108" i="89"/>
  <c r="F108" i="89"/>
  <c r="E108" i="89"/>
  <c r="D108" i="89"/>
  <c r="C108" i="89"/>
  <c r="H107" i="89"/>
  <c r="G107" i="89"/>
  <c r="F107" i="89"/>
  <c r="E107" i="89"/>
  <c r="D107" i="89"/>
  <c r="C107" i="89"/>
  <c r="H106" i="89"/>
  <c r="F106" i="89"/>
  <c r="E106" i="89"/>
  <c r="D106" i="89"/>
  <c r="C106" i="89"/>
  <c r="H105" i="89"/>
  <c r="F105" i="89"/>
  <c r="E105" i="89"/>
  <c r="D105" i="89"/>
  <c r="C105" i="89"/>
  <c r="H104" i="89"/>
  <c r="F104" i="89"/>
  <c r="E104" i="89"/>
  <c r="D104" i="89"/>
  <c r="C104" i="89"/>
  <c r="H103" i="89"/>
  <c r="G103" i="89"/>
  <c r="F103" i="89"/>
  <c r="E103" i="89"/>
  <c r="D103" i="89"/>
  <c r="C103" i="89"/>
  <c r="H102" i="89"/>
  <c r="F102" i="89"/>
  <c r="E102" i="89"/>
  <c r="D102" i="89"/>
  <c r="C102" i="89"/>
  <c r="F101" i="89"/>
  <c r="E101" i="89"/>
  <c r="D101" i="89"/>
  <c r="C101" i="89"/>
  <c r="H100" i="89"/>
  <c r="F100" i="89"/>
  <c r="E100" i="89"/>
  <c r="D100" i="89"/>
  <c r="C100" i="89"/>
  <c r="H99" i="89"/>
  <c r="F99" i="89"/>
  <c r="E99" i="89"/>
  <c r="D99" i="89"/>
  <c r="C99" i="89"/>
  <c r="H98" i="89"/>
  <c r="G98" i="89"/>
  <c r="F98" i="89"/>
  <c r="E98" i="89"/>
  <c r="D98" i="89"/>
  <c r="C98" i="89"/>
  <c r="K97" i="89"/>
  <c r="H97" i="89"/>
  <c r="F97" i="89"/>
  <c r="E97" i="89"/>
  <c r="D97" i="89"/>
  <c r="C97" i="89"/>
  <c r="K96" i="89"/>
  <c r="H96" i="89"/>
  <c r="F96" i="89"/>
  <c r="E96" i="89"/>
  <c r="E121" i="89" s="1"/>
  <c r="D96" i="89"/>
  <c r="C96" i="89"/>
  <c r="L95" i="89"/>
  <c r="H86" i="89"/>
  <c r="F86" i="89"/>
  <c r="E86" i="89"/>
  <c r="D86" i="89"/>
  <c r="C86" i="89"/>
  <c r="H85" i="89"/>
  <c r="F85" i="89"/>
  <c r="E85" i="89"/>
  <c r="D85" i="89"/>
  <c r="C85" i="89"/>
  <c r="H84" i="89"/>
  <c r="G84" i="89"/>
  <c r="F84" i="89"/>
  <c r="E84" i="89"/>
  <c r="D84" i="89"/>
  <c r="C84" i="89"/>
  <c r="H83" i="89"/>
  <c r="F83" i="89"/>
  <c r="E83" i="89"/>
  <c r="D83" i="89"/>
  <c r="C83" i="89"/>
  <c r="H82" i="89"/>
  <c r="F82" i="89"/>
  <c r="E82" i="89"/>
  <c r="D82" i="89"/>
  <c r="C82" i="89"/>
  <c r="H81" i="89"/>
  <c r="F81" i="89"/>
  <c r="E81" i="89"/>
  <c r="E87" i="89" s="1"/>
  <c r="D81" i="89"/>
  <c r="C81" i="89"/>
  <c r="H80" i="89"/>
  <c r="G80" i="89"/>
  <c r="F80" i="89"/>
  <c r="E80" i="89"/>
  <c r="D80" i="89"/>
  <c r="C80" i="89"/>
  <c r="K79" i="89"/>
  <c r="H79" i="89"/>
  <c r="F79" i="89"/>
  <c r="E79" i="89"/>
  <c r="D79" i="89"/>
  <c r="C79" i="89"/>
  <c r="L78" i="89"/>
  <c r="I71" i="89"/>
  <c r="J71" i="89" s="1"/>
  <c r="H71" i="89"/>
  <c r="F71" i="89"/>
  <c r="E71" i="89"/>
  <c r="D71" i="89"/>
  <c r="C71" i="89"/>
  <c r="K70" i="89"/>
  <c r="H70" i="89"/>
  <c r="G70" i="89"/>
  <c r="F70" i="89"/>
  <c r="E70" i="89"/>
  <c r="D70" i="89"/>
  <c r="C70" i="89"/>
  <c r="H69" i="89"/>
  <c r="F69" i="89"/>
  <c r="E69" i="89"/>
  <c r="D69" i="89"/>
  <c r="C69" i="89"/>
  <c r="H68" i="89"/>
  <c r="G68" i="89"/>
  <c r="F68" i="89"/>
  <c r="E68" i="89"/>
  <c r="D68" i="89"/>
  <c r="C68" i="89"/>
  <c r="H67" i="89"/>
  <c r="F67" i="89"/>
  <c r="E67" i="89"/>
  <c r="D67" i="89"/>
  <c r="C67" i="89"/>
  <c r="K66" i="89"/>
  <c r="H66" i="89"/>
  <c r="G66" i="89"/>
  <c r="F66" i="89"/>
  <c r="E66" i="89"/>
  <c r="D66" i="89"/>
  <c r="C66" i="89"/>
  <c r="H65" i="89"/>
  <c r="F65" i="89"/>
  <c r="E65" i="89"/>
  <c r="D65" i="89"/>
  <c r="C65" i="89"/>
  <c r="H64" i="89"/>
  <c r="F64" i="89"/>
  <c r="E64" i="89"/>
  <c r="D64" i="89"/>
  <c r="C64" i="89"/>
  <c r="I63" i="89"/>
  <c r="J63" i="89" s="1"/>
  <c r="H63" i="89"/>
  <c r="F63" i="89"/>
  <c r="E63" i="89"/>
  <c r="D63" i="89"/>
  <c r="C63" i="89"/>
  <c r="K62" i="89"/>
  <c r="H62" i="89"/>
  <c r="G62" i="89"/>
  <c r="F62" i="89"/>
  <c r="E62" i="89"/>
  <c r="D62" i="89"/>
  <c r="C62" i="89"/>
  <c r="H61" i="89"/>
  <c r="F61" i="89"/>
  <c r="E61" i="89"/>
  <c r="D61" i="89"/>
  <c r="C61" i="89"/>
  <c r="H60" i="89"/>
  <c r="G60" i="89"/>
  <c r="F60" i="89"/>
  <c r="E60" i="89"/>
  <c r="D60" i="89"/>
  <c r="C60" i="89"/>
  <c r="H59" i="89"/>
  <c r="F59" i="89"/>
  <c r="E59" i="89"/>
  <c r="D59" i="89"/>
  <c r="C59" i="89"/>
  <c r="K58" i="89"/>
  <c r="H58" i="89"/>
  <c r="G58" i="89"/>
  <c r="F58" i="89"/>
  <c r="E58" i="89"/>
  <c r="D58" i="89"/>
  <c r="C58" i="89"/>
  <c r="H57" i="89"/>
  <c r="F57" i="89"/>
  <c r="E57" i="89"/>
  <c r="D57" i="89"/>
  <c r="C57" i="89"/>
  <c r="H56" i="89"/>
  <c r="G56" i="89"/>
  <c r="F56" i="89"/>
  <c r="E56" i="89"/>
  <c r="D56" i="89"/>
  <c r="C56" i="89"/>
  <c r="H55" i="89"/>
  <c r="F55" i="89"/>
  <c r="E55" i="89"/>
  <c r="D55" i="89"/>
  <c r="C55" i="89"/>
  <c r="H54" i="89"/>
  <c r="G54" i="89"/>
  <c r="F54" i="89"/>
  <c r="E54" i="89"/>
  <c r="D54" i="89"/>
  <c r="C54" i="89"/>
  <c r="H53" i="89"/>
  <c r="F53" i="89"/>
  <c r="E53" i="89"/>
  <c r="E72" i="89" s="1"/>
  <c r="D53" i="89"/>
  <c r="C53" i="89"/>
  <c r="L52" i="89"/>
  <c r="E46" i="89"/>
  <c r="K45" i="89"/>
  <c r="K86" i="89" s="1"/>
  <c r="I45" i="89"/>
  <c r="J45" i="89" s="1"/>
  <c r="J120" i="89" s="1"/>
  <c r="G86" i="89"/>
  <c r="G119" i="89"/>
  <c r="K43" i="89"/>
  <c r="G118" i="89"/>
  <c r="K42" i="89"/>
  <c r="K117" i="89" s="1"/>
  <c r="I42" i="89"/>
  <c r="L41" i="89"/>
  <c r="E35" i="89"/>
  <c r="I34" i="89"/>
  <c r="I116" i="89" s="1"/>
  <c r="G71" i="89"/>
  <c r="K33" i="89"/>
  <c r="K115" i="89" s="1"/>
  <c r="I33" i="89"/>
  <c r="I70" i="89" s="1"/>
  <c r="J70" i="89" s="1"/>
  <c r="K32" i="89"/>
  <c r="K69" i="89" s="1"/>
  <c r="G114" i="89"/>
  <c r="K31" i="89"/>
  <c r="K113" i="89" s="1"/>
  <c r="I31" i="89"/>
  <c r="J31" i="89" s="1"/>
  <c r="J113" i="89" s="1"/>
  <c r="G113" i="89"/>
  <c r="G67" i="89"/>
  <c r="K29" i="89"/>
  <c r="I29" i="89"/>
  <c r="K28" i="89"/>
  <c r="K65" i="89" s="1"/>
  <c r="I28" i="89"/>
  <c r="G64" i="89"/>
  <c r="I26" i="89"/>
  <c r="I108" i="89" s="1"/>
  <c r="G63" i="89"/>
  <c r="K25" i="89"/>
  <c r="K107" i="89" s="1"/>
  <c r="I25" i="89"/>
  <c r="I62" i="89" s="1"/>
  <c r="J62" i="89" s="1"/>
  <c r="K24" i="89"/>
  <c r="K61" i="89" s="1"/>
  <c r="G106" i="89"/>
  <c r="K23" i="89"/>
  <c r="K105" i="89" s="1"/>
  <c r="I23" i="89"/>
  <c r="J23" i="89" s="1"/>
  <c r="J105" i="89" s="1"/>
  <c r="G105" i="89"/>
  <c r="G59" i="89"/>
  <c r="K21" i="89"/>
  <c r="I21" i="89"/>
  <c r="K20" i="89"/>
  <c r="K57" i="89" s="1"/>
  <c r="I20" i="89"/>
  <c r="L19" i="89"/>
  <c r="K17" i="89"/>
  <c r="K39" i="89" s="1"/>
  <c r="K50" i="89" s="1"/>
  <c r="K76" i="89" s="1"/>
  <c r="E13" i="89"/>
  <c r="J12" i="89"/>
  <c r="J101" i="89" s="1"/>
  <c r="I12" i="89"/>
  <c r="I101" i="89" s="1"/>
  <c r="H12" i="89"/>
  <c r="H101" i="89" s="1"/>
  <c r="G101" i="89"/>
  <c r="K11" i="89"/>
  <c r="K82" i="89" s="1"/>
  <c r="G55" i="89"/>
  <c r="G99" i="89"/>
  <c r="I9" i="89"/>
  <c r="I54" i="89" s="1"/>
  <c r="J54" i="89" s="1"/>
  <c r="K8" i="89"/>
  <c r="K53" i="89" s="1"/>
  <c r="I8" i="89"/>
  <c r="I97" i="89" s="1"/>
  <c r="H8" i="89"/>
  <c r="G97" i="89"/>
  <c r="K34" i="89"/>
  <c r="G79" i="89"/>
  <c r="L6" i="89"/>
  <c r="H120" i="88"/>
  <c r="F120" i="88"/>
  <c r="E120" i="88"/>
  <c r="D120" i="88"/>
  <c r="C120" i="88"/>
  <c r="H119" i="88"/>
  <c r="F119" i="88"/>
  <c r="E119" i="88"/>
  <c r="D119" i="88"/>
  <c r="C119" i="88"/>
  <c r="H118" i="88"/>
  <c r="F118" i="88"/>
  <c r="E118" i="88"/>
  <c r="D118" i="88"/>
  <c r="C118" i="88"/>
  <c r="H117" i="88"/>
  <c r="G117" i="88"/>
  <c r="F117" i="88"/>
  <c r="E117" i="88"/>
  <c r="D117" i="88"/>
  <c r="C117" i="88"/>
  <c r="H116" i="88"/>
  <c r="F116" i="88"/>
  <c r="E116" i="88"/>
  <c r="D116" i="88"/>
  <c r="C116" i="88"/>
  <c r="H115" i="88"/>
  <c r="G115" i="88"/>
  <c r="F115" i="88"/>
  <c r="E115" i="88"/>
  <c r="D115" i="88"/>
  <c r="C115" i="88"/>
  <c r="H114" i="88"/>
  <c r="F114" i="88"/>
  <c r="E114" i="88"/>
  <c r="D114" i="88"/>
  <c r="C114" i="88"/>
  <c r="H113" i="88"/>
  <c r="G113" i="88"/>
  <c r="F113" i="88"/>
  <c r="E113" i="88"/>
  <c r="D113" i="88"/>
  <c r="C113" i="88"/>
  <c r="H112" i="88"/>
  <c r="F112" i="88"/>
  <c r="E112" i="88"/>
  <c r="D112" i="88"/>
  <c r="C112" i="88"/>
  <c r="H111" i="88"/>
  <c r="F111" i="88"/>
  <c r="E111" i="88"/>
  <c r="D111" i="88"/>
  <c r="C111" i="88"/>
  <c r="H110" i="88"/>
  <c r="F110" i="88"/>
  <c r="E110" i="88"/>
  <c r="D110" i="88"/>
  <c r="C110" i="88"/>
  <c r="H109" i="88"/>
  <c r="G109" i="88"/>
  <c r="F109" i="88"/>
  <c r="E109" i="88"/>
  <c r="D109" i="88"/>
  <c r="C109" i="88"/>
  <c r="H108" i="88"/>
  <c r="F108" i="88"/>
  <c r="E108" i="88"/>
  <c r="D108" i="88"/>
  <c r="C108" i="88"/>
  <c r="H107" i="88"/>
  <c r="G107" i="88"/>
  <c r="F107" i="88"/>
  <c r="E107" i="88"/>
  <c r="D107" i="88"/>
  <c r="C107" i="88"/>
  <c r="H106" i="88"/>
  <c r="F106" i="88"/>
  <c r="E106" i="88"/>
  <c r="D106" i="88"/>
  <c r="C106" i="88"/>
  <c r="H105" i="88"/>
  <c r="G105" i="88"/>
  <c r="F105" i="88"/>
  <c r="E105" i="88"/>
  <c r="D105" i="88"/>
  <c r="C105" i="88"/>
  <c r="H104" i="88"/>
  <c r="F104" i="88"/>
  <c r="E104" i="88"/>
  <c r="D104" i="88"/>
  <c r="C104" i="88"/>
  <c r="H103" i="88"/>
  <c r="F103" i="88"/>
  <c r="E103" i="88"/>
  <c r="D103" i="88"/>
  <c r="C103" i="88"/>
  <c r="H102" i="88"/>
  <c r="F102" i="88"/>
  <c r="E102" i="88"/>
  <c r="D102" i="88"/>
  <c r="C102" i="88"/>
  <c r="F101" i="88"/>
  <c r="E101" i="88"/>
  <c r="D101" i="88"/>
  <c r="C101" i="88"/>
  <c r="H100" i="88"/>
  <c r="F100" i="88"/>
  <c r="E100" i="88"/>
  <c r="D100" i="88"/>
  <c r="C100" i="88"/>
  <c r="H99" i="88"/>
  <c r="G99" i="88"/>
  <c r="F99" i="88"/>
  <c r="E99" i="88"/>
  <c r="D99" i="88"/>
  <c r="C99" i="88"/>
  <c r="H98" i="88"/>
  <c r="F98" i="88"/>
  <c r="E98" i="88"/>
  <c r="D98" i="88"/>
  <c r="C98" i="88"/>
  <c r="G97" i="88"/>
  <c r="F97" i="88"/>
  <c r="E97" i="88"/>
  <c r="D97" i="88"/>
  <c r="C97" i="88"/>
  <c r="H96" i="88"/>
  <c r="F96" i="88"/>
  <c r="E96" i="88"/>
  <c r="E121" i="88" s="1"/>
  <c r="D96" i="88"/>
  <c r="C96" i="88"/>
  <c r="L95" i="88"/>
  <c r="H86" i="88"/>
  <c r="G86" i="88"/>
  <c r="F86" i="88"/>
  <c r="E86" i="88"/>
  <c r="D86" i="88"/>
  <c r="C86" i="88"/>
  <c r="H85" i="88"/>
  <c r="F85" i="88"/>
  <c r="E85" i="88"/>
  <c r="D85" i="88"/>
  <c r="C85" i="88"/>
  <c r="H84" i="88"/>
  <c r="F84" i="88"/>
  <c r="E84" i="88"/>
  <c r="D84" i="88"/>
  <c r="C84" i="88"/>
  <c r="H83" i="88"/>
  <c r="F83" i="88"/>
  <c r="E83" i="88"/>
  <c r="D83" i="88"/>
  <c r="C83" i="88"/>
  <c r="H82" i="88"/>
  <c r="G82" i="88"/>
  <c r="F82" i="88"/>
  <c r="E82" i="88"/>
  <c r="D82" i="88"/>
  <c r="C82" i="88"/>
  <c r="H81" i="88"/>
  <c r="F81" i="88"/>
  <c r="E81" i="88"/>
  <c r="D81" i="88"/>
  <c r="C81" i="88"/>
  <c r="G80" i="88"/>
  <c r="F80" i="88"/>
  <c r="E80" i="88"/>
  <c r="D80" i="88"/>
  <c r="C80" i="88"/>
  <c r="I79" i="88"/>
  <c r="J79" i="88" s="1"/>
  <c r="H79" i="88"/>
  <c r="F79" i="88"/>
  <c r="E79" i="88"/>
  <c r="E87" i="88" s="1"/>
  <c r="D79" i="88"/>
  <c r="C79" i="88"/>
  <c r="L78" i="88"/>
  <c r="H71" i="88"/>
  <c r="F71" i="88"/>
  <c r="E71" i="88"/>
  <c r="D71" i="88"/>
  <c r="C71" i="88"/>
  <c r="H70" i="88"/>
  <c r="F70" i="88"/>
  <c r="E70" i="88"/>
  <c r="D70" i="88"/>
  <c r="C70" i="88"/>
  <c r="H69" i="88"/>
  <c r="G69" i="88"/>
  <c r="F69" i="88"/>
  <c r="E69" i="88"/>
  <c r="D69" i="88"/>
  <c r="C69" i="88"/>
  <c r="H68" i="88"/>
  <c r="F68" i="88"/>
  <c r="E68" i="88"/>
  <c r="D68" i="88"/>
  <c r="C68" i="88"/>
  <c r="H67" i="88"/>
  <c r="F67" i="88"/>
  <c r="E67" i="88"/>
  <c r="D67" i="88"/>
  <c r="C67" i="88"/>
  <c r="H66" i="88"/>
  <c r="F66" i="88"/>
  <c r="E66" i="88"/>
  <c r="D66" i="88"/>
  <c r="C66" i="88"/>
  <c r="H65" i="88"/>
  <c r="G65" i="88"/>
  <c r="F65" i="88"/>
  <c r="E65" i="88"/>
  <c r="D65" i="88"/>
  <c r="C65" i="88"/>
  <c r="I64" i="88"/>
  <c r="J64" i="88" s="1"/>
  <c r="H64" i="88"/>
  <c r="F64" i="88"/>
  <c r="E64" i="88"/>
  <c r="D64" i="88"/>
  <c r="C64" i="88"/>
  <c r="H63" i="88"/>
  <c r="F63" i="88"/>
  <c r="E63" i="88"/>
  <c r="D63" i="88"/>
  <c r="C63" i="88"/>
  <c r="H62" i="88"/>
  <c r="F62" i="88"/>
  <c r="E62" i="88"/>
  <c r="D62" i="88"/>
  <c r="C62" i="88"/>
  <c r="H61" i="88"/>
  <c r="G61" i="88"/>
  <c r="F61" i="88"/>
  <c r="E61" i="88"/>
  <c r="D61" i="88"/>
  <c r="C61" i="88"/>
  <c r="H60" i="88"/>
  <c r="F60" i="88"/>
  <c r="E60" i="88"/>
  <c r="D60" i="88"/>
  <c r="C60" i="88"/>
  <c r="H59" i="88"/>
  <c r="F59" i="88"/>
  <c r="E59" i="88"/>
  <c r="D59" i="88"/>
  <c r="C59" i="88"/>
  <c r="H58" i="88"/>
  <c r="F58" i="88"/>
  <c r="E58" i="88"/>
  <c r="D58" i="88"/>
  <c r="C58" i="88"/>
  <c r="H57" i="88"/>
  <c r="G57" i="88"/>
  <c r="F57" i="88"/>
  <c r="E57" i="88"/>
  <c r="D57" i="88"/>
  <c r="C57" i="88"/>
  <c r="F56" i="88"/>
  <c r="E56" i="88"/>
  <c r="D56" i="88"/>
  <c r="C56" i="88"/>
  <c r="H55" i="88"/>
  <c r="F55" i="88"/>
  <c r="E55" i="88"/>
  <c r="D55" i="88"/>
  <c r="C55" i="88"/>
  <c r="H54" i="88"/>
  <c r="F54" i="88"/>
  <c r="E54" i="88"/>
  <c r="D54" i="88"/>
  <c r="C54" i="88"/>
  <c r="H53" i="88"/>
  <c r="G53" i="88"/>
  <c r="F53" i="88"/>
  <c r="E53" i="88"/>
  <c r="E72" i="88" s="1"/>
  <c r="D53" i="88"/>
  <c r="C53" i="88"/>
  <c r="L52" i="88"/>
  <c r="E46" i="88"/>
  <c r="K45" i="88"/>
  <c r="G120" i="88"/>
  <c r="K44" i="88"/>
  <c r="G85" i="88"/>
  <c r="G84" i="88"/>
  <c r="I42" i="88"/>
  <c r="L41" i="88"/>
  <c r="E35" i="88"/>
  <c r="G116" i="88"/>
  <c r="I33" i="88"/>
  <c r="I115" i="88" s="1"/>
  <c r="G70" i="88"/>
  <c r="I32" i="88"/>
  <c r="I114" i="88" s="1"/>
  <c r="G114" i="88"/>
  <c r="K31" i="88"/>
  <c r="K113" i="88" s="1"/>
  <c r="G68" i="88"/>
  <c r="K30" i="88"/>
  <c r="G112" i="88"/>
  <c r="G111" i="88"/>
  <c r="I28" i="88"/>
  <c r="I27" i="88"/>
  <c r="I109" i="88" s="1"/>
  <c r="G64" i="88"/>
  <c r="G108" i="88"/>
  <c r="I25" i="88"/>
  <c r="I107" i="88" s="1"/>
  <c r="G62" i="88"/>
  <c r="I24" i="88"/>
  <c r="I106" i="88" s="1"/>
  <c r="G106" i="88"/>
  <c r="K23" i="88"/>
  <c r="G60" i="88"/>
  <c r="K22" i="88"/>
  <c r="K59" i="88" s="1"/>
  <c r="G104" i="88"/>
  <c r="G103" i="88"/>
  <c r="G35" i="88"/>
  <c r="L19" i="88"/>
  <c r="K17" i="88"/>
  <c r="K39" i="88" s="1"/>
  <c r="K50" i="88" s="1"/>
  <c r="K76" i="88" s="1"/>
  <c r="E13" i="88"/>
  <c r="H12" i="88"/>
  <c r="H56" i="88" s="1"/>
  <c r="G56" i="88"/>
  <c r="G100" i="88"/>
  <c r="I10" i="88"/>
  <c r="I99" i="88" s="1"/>
  <c r="G81" i="88"/>
  <c r="G98" i="88"/>
  <c r="I8" i="88"/>
  <c r="I80" i="88" s="1"/>
  <c r="J80" i="88" s="1"/>
  <c r="H8" i="88"/>
  <c r="H80" i="88" s="1"/>
  <c r="G13" i="88"/>
  <c r="K79" i="88"/>
  <c r="I7" i="88"/>
  <c r="I96" i="88" s="1"/>
  <c r="G96" i="88"/>
  <c r="L6" i="88"/>
  <c r="H120" i="87"/>
  <c r="F120" i="87"/>
  <c r="E120" i="87"/>
  <c r="D120" i="87"/>
  <c r="C120" i="87"/>
  <c r="H119" i="87"/>
  <c r="F119" i="87"/>
  <c r="E119" i="87"/>
  <c r="D119" i="87"/>
  <c r="C119" i="87"/>
  <c r="H118" i="87"/>
  <c r="F118" i="87"/>
  <c r="E118" i="87"/>
  <c r="D118" i="87"/>
  <c r="C118" i="87"/>
  <c r="H117" i="87"/>
  <c r="F117" i="87"/>
  <c r="E117" i="87"/>
  <c r="D117" i="87"/>
  <c r="C117" i="87"/>
  <c r="H116" i="87"/>
  <c r="F116" i="87"/>
  <c r="E116" i="87"/>
  <c r="D116" i="87"/>
  <c r="C116" i="87"/>
  <c r="H115" i="87"/>
  <c r="F115" i="87"/>
  <c r="E115" i="87"/>
  <c r="D115" i="87"/>
  <c r="C115" i="87"/>
  <c r="H114" i="87"/>
  <c r="F114" i="87"/>
  <c r="E114" i="87"/>
  <c r="D114" i="87"/>
  <c r="C114" i="87"/>
  <c r="H113" i="87"/>
  <c r="F113" i="87"/>
  <c r="E113" i="87"/>
  <c r="D113" i="87"/>
  <c r="C113" i="87"/>
  <c r="H112" i="87"/>
  <c r="F112" i="87"/>
  <c r="E112" i="87"/>
  <c r="D112" i="87"/>
  <c r="C112" i="87"/>
  <c r="H111" i="87"/>
  <c r="F111" i="87"/>
  <c r="E111" i="87"/>
  <c r="D111" i="87"/>
  <c r="C111" i="87"/>
  <c r="H110" i="87"/>
  <c r="F110" i="87"/>
  <c r="E110" i="87"/>
  <c r="D110" i="87"/>
  <c r="C110" i="87"/>
  <c r="H109" i="87"/>
  <c r="F109" i="87"/>
  <c r="E109" i="87"/>
  <c r="D109" i="87"/>
  <c r="C109" i="87"/>
  <c r="H108" i="87"/>
  <c r="F108" i="87"/>
  <c r="E108" i="87"/>
  <c r="D108" i="87"/>
  <c r="C108" i="87"/>
  <c r="H107" i="87"/>
  <c r="F107" i="87"/>
  <c r="E107" i="87"/>
  <c r="D107" i="87"/>
  <c r="C107" i="87"/>
  <c r="H106" i="87"/>
  <c r="F106" i="87"/>
  <c r="E106" i="87"/>
  <c r="D106" i="87"/>
  <c r="C106" i="87"/>
  <c r="H105" i="87"/>
  <c r="F105" i="87"/>
  <c r="E105" i="87"/>
  <c r="D105" i="87"/>
  <c r="C105" i="87"/>
  <c r="H104" i="87"/>
  <c r="F104" i="87"/>
  <c r="E104" i="87"/>
  <c r="D104" i="87"/>
  <c r="C104" i="87"/>
  <c r="H103" i="87"/>
  <c r="F103" i="87"/>
  <c r="E103" i="87"/>
  <c r="D103" i="87"/>
  <c r="C103" i="87"/>
  <c r="H102" i="87"/>
  <c r="F102" i="87"/>
  <c r="E102" i="87"/>
  <c r="D102" i="87"/>
  <c r="C102" i="87"/>
  <c r="H101" i="87"/>
  <c r="F101" i="87"/>
  <c r="E101" i="87"/>
  <c r="D101" i="87"/>
  <c r="C101" i="87"/>
  <c r="H100" i="87"/>
  <c r="F100" i="87"/>
  <c r="E100" i="87"/>
  <c r="D100" i="87"/>
  <c r="C100" i="87"/>
  <c r="H99" i="87"/>
  <c r="F99" i="87"/>
  <c r="E99" i="87"/>
  <c r="D99" i="87"/>
  <c r="C99" i="87"/>
  <c r="H98" i="87"/>
  <c r="F98" i="87"/>
  <c r="E98" i="87"/>
  <c r="D98" i="87"/>
  <c r="C98" i="87"/>
  <c r="H97" i="87"/>
  <c r="F97" i="87"/>
  <c r="E97" i="87"/>
  <c r="D97" i="87"/>
  <c r="C97" i="87"/>
  <c r="H96" i="87"/>
  <c r="F96" i="87"/>
  <c r="E96" i="87"/>
  <c r="E121" i="87" s="1"/>
  <c r="D96" i="87"/>
  <c r="C96" i="87"/>
  <c r="L95" i="87"/>
  <c r="H86" i="87"/>
  <c r="F86" i="87"/>
  <c r="E86" i="87"/>
  <c r="D86" i="87"/>
  <c r="C86" i="87"/>
  <c r="H85" i="87"/>
  <c r="G85" i="87"/>
  <c r="F85" i="87"/>
  <c r="E85" i="87"/>
  <c r="D85" i="87"/>
  <c r="C85" i="87"/>
  <c r="H84" i="87"/>
  <c r="F84" i="87"/>
  <c r="E84" i="87"/>
  <c r="D84" i="87"/>
  <c r="C84" i="87"/>
  <c r="H83" i="87"/>
  <c r="F83" i="87"/>
  <c r="E83" i="87"/>
  <c r="D83" i="87"/>
  <c r="C83" i="87"/>
  <c r="H82" i="87"/>
  <c r="F82" i="87"/>
  <c r="E82" i="87"/>
  <c r="E87" i="87" s="1"/>
  <c r="D82" i="87"/>
  <c r="C82" i="87"/>
  <c r="H81" i="87"/>
  <c r="G81" i="87"/>
  <c r="F81" i="87"/>
  <c r="E81" i="87"/>
  <c r="D81" i="87"/>
  <c r="C81" i="87"/>
  <c r="F80" i="87"/>
  <c r="E80" i="87"/>
  <c r="D80" i="87"/>
  <c r="C80" i="87"/>
  <c r="K79" i="87"/>
  <c r="H79" i="87"/>
  <c r="F79" i="87"/>
  <c r="E79" i="87"/>
  <c r="D79" i="87"/>
  <c r="C79" i="87"/>
  <c r="L78" i="87"/>
  <c r="K71" i="87"/>
  <c r="H71" i="87"/>
  <c r="G71" i="87"/>
  <c r="F71" i="87"/>
  <c r="E71" i="87"/>
  <c r="D71" i="87"/>
  <c r="C71" i="87"/>
  <c r="H70" i="87"/>
  <c r="G70" i="87"/>
  <c r="F70" i="87"/>
  <c r="E70" i="87"/>
  <c r="D70" i="87"/>
  <c r="C70" i="87"/>
  <c r="H69" i="87"/>
  <c r="G69" i="87"/>
  <c r="F69" i="87"/>
  <c r="E69" i="87"/>
  <c r="D69" i="87"/>
  <c r="C69" i="87"/>
  <c r="H68" i="87"/>
  <c r="F68" i="87"/>
  <c r="E68" i="87"/>
  <c r="D68" i="87"/>
  <c r="C68" i="87"/>
  <c r="H67" i="87"/>
  <c r="G67" i="87"/>
  <c r="F67" i="87"/>
  <c r="E67" i="87"/>
  <c r="D67" i="87"/>
  <c r="C67" i="87"/>
  <c r="H66" i="87"/>
  <c r="F66" i="87"/>
  <c r="E66" i="87"/>
  <c r="D66" i="87"/>
  <c r="C66" i="87"/>
  <c r="H65" i="87"/>
  <c r="G65" i="87"/>
  <c r="F65" i="87"/>
  <c r="E65" i="87"/>
  <c r="D65" i="87"/>
  <c r="C65" i="87"/>
  <c r="H64" i="87"/>
  <c r="F64" i="87"/>
  <c r="E64" i="87"/>
  <c r="D64" i="87"/>
  <c r="C64" i="87"/>
  <c r="K63" i="87"/>
  <c r="H63" i="87"/>
  <c r="G63" i="87"/>
  <c r="F63" i="87"/>
  <c r="E63" i="87"/>
  <c r="D63" i="87"/>
  <c r="C63" i="87"/>
  <c r="H62" i="87"/>
  <c r="G62" i="87"/>
  <c r="F62" i="87"/>
  <c r="E62" i="87"/>
  <c r="D62" i="87"/>
  <c r="C62" i="87"/>
  <c r="H61" i="87"/>
  <c r="G61" i="87"/>
  <c r="F61" i="87"/>
  <c r="E61" i="87"/>
  <c r="D61" i="87"/>
  <c r="C61" i="87"/>
  <c r="H60" i="87"/>
  <c r="F60" i="87"/>
  <c r="E60" i="87"/>
  <c r="D60" i="87"/>
  <c r="C60" i="87"/>
  <c r="H59" i="87"/>
  <c r="G59" i="87"/>
  <c r="F59" i="87"/>
  <c r="E59" i="87"/>
  <c r="D59" i="87"/>
  <c r="C59" i="87"/>
  <c r="H58" i="87"/>
  <c r="F58" i="87"/>
  <c r="E58" i="87"/>
  <c r="D58" i="87"/>
  <c r="C58" i="87"/>
  <c r="H57" i="87"/>
  <c r="G57" i="87"/>
  <c r="F57" i="87"/>
  <c r="E57" i="87"/>
  <c r="D57" i="87"/>
  <c r="C57" i="87"/>
  <c r="K56" i="87"/>
  <c r="H56" i="87"/>
  <c r="F56" i="87"/>
  <c r="E56" i="87"/>
  <c r="D56" i="87"/>
  <c r="C56" i="87"/>
  <c r="H55" i="87"/>
  <c r="G55" i="87"/>
  <c r="F55" i="87"/>
  <c r="E55" i="87"/>
  <c r="D55" i="87"/>
  <c r="C55" i="87"/>
  <c r="H54" i="87"/>
  <c r="G54" i="87"/>
  <c r="F54" i="87"/>
  <c r="E54" i="87"/>
  <c r="E72" i="87" s="1"/>
  <c r="D54" i="87"/>
  <c r="C54" i="87"/>
  <c r="G53" i="87"/>
  <c r="F53" i="87"/>
  <c r="E53" i="87"/>
  <c r="D53" i="87"/>
  <c r="C53" i="87"/>
  <c r="L52" i="87"/>
  <c r="E46" i="87"/>
  <c r="G120" i="87"/>
  <c r="K44" i="87"/>
  <c r="K85" i="87" s="1"/>
  <c r="I44" i="87"/>
  <c r="G46" i="87"/>
  <c r="I42" i="87"/>
  <c r="I83" i="87" s="1"/>
  <c r="J83" i="87" s="1"/>
  <c r="G83" i="87"/>
  <c r="L41" i="87"/>
  <c r="E35" i="87"/>
  <c r="K34" i="87"/>
  <c r="I34" i="87"/>
  <c r="I71" i="87" s="1"/>
  <c r="J71" i="87" s="1"/>
  <c r="G116" i="87"/>
  <c r="K33" i="87"/>
  <c r="K70" i="87" s="1"/>
  <c r="G115" i="87"/>
  <c r="K32" i="87"/>
  <c r="K114" i="87" s="1"/>
  <c r="I32" i="87"/>
  <c r="I114" i="87" s="1"/>
  <c r="G114" i="87"/>
  <c r="G68" i="87"/>
  <c r="K30" i="87"/>
  <c r="K67" i="87" s="1"/>
  <c r="G112" i="87"/>
  <c r="G66" i="87"/>
  <c r="I28" i="87"/>
  <c r="I110" i="87" s="1"/>
  <c r="G110" i="87"/>
  <c r="J27" i="87"/>
  <c r="J109" i="87" s="1"/>
  <c r="I27" i="87"/>
  <c r="I109" i="87" s="1"/>
  <c r="G64" i="87"/>
  <c r="K26" i="87"/>
  <c r="I26" i="87"/>
  <c r="I63" i="87" s="1"/>
  <c r="J63" i="87" s="1"/>
  <c r="G108" i="87"/>
  <c r="K25" i="87"/>
  <c r="K62" i="87" s="1"/>
  <c r="G107" i="87"/>
  <c r="K24" i="87"/>
  <c r="K106" i="87" s="1"/>
  <c r="I24" i="87"/>
  <c r="I106" i="87" s="1"/>
  <c r="G106" i="87"/>
  <c r="G60" i="87"/>
  <c r="K22" i="87"/>
  <c r="K59" i="87" s="1"/>
  <c r="G104" i="87"/>
  <c r="G35" i="87"/>
  <c r="I20" i="87"/>
  <c r="I102" i="87" s="1"/>
  <c r="G102" i="87"/>
  <c r="L19" i="87"/>
  <c r="K17" i="87"/>
  <c r="K39" i="87" s="1"/>
  <c r="K50" i="87" s="1"/>
  <c r="K76" i="87" s="1"/>
  <c r="E13" i="87"/>
  <c r="K12" i="87"/>
  <c r="K101" i="87" s="1"/>
  <c r="H12" i="87"/>
  <c r="G13" i="87"/>
  <c r="I11" i="87"/>
  <c r="I55" i="87" s="1"/>
  <c r="J55" i="87" s="1"/>
  <c r="G100" i="87"/>
  <c r="I10" i="87"/>
  <c r="I99" i="87" s="1"/>
  <c r="G99" i="87"/>
  <c r="K9" i="87"/>
  <c r="K98" i="87" s="1"/>
  <c r="I9" i="87"/>
  <c r="I98" i="87" s="1"/>
  <c r="G98" i="87"/>
  <c r="K8" i="87"/>
  <c r="K97" i="87" s="1"/>
  <c r="H8" i="87"/>
  <c r="H80" i="87" s="1"/>
  <c r="G80" i="87"/>
  <c r="K42" i="87"/>
  <c r="I7" i="87"/>
  <c r="I79" i="87" s="1"/>
  <c r="J79" i="87" s="1"/>
  <c r="G96" i="87"/>
  <c r="L6" i="87"/>
  <c r="K76" i="80"/>
  <c r="K50" i="80"/>
  <c r="K39" i="80"/>
  <c r="K17" i="80"/>
  <c r="I98" i="80"/>
  <c r="I103" i="80"/>
  <c r="I104" i="80"/>
  <c r="I107" i="80"/>
  <c r="I111" i="80"/>
  <c r="I112" i="80"/>
  <c r="I113" i="80"/>
  <c r="I115" i="80"/>
  <c r="I117" i="80"/>
  <c r="I54" i="80"/>
  <c r="J54" i="80" s="1"/>
  <c r="I58" i="80"/>
  <c r="J58" i="80" s="1"/>
  <c r="I59" i="80"/>
  <c r="J59" i="80" s="1"/>
  <c r="I60" i="80"/>
  <c r="J60" i="80" s="1"/>
  <c r="I62" i="80"/>
  <c r="J62" i="80" s="1"/>
  <c r="I66" i="80"/>
  <c r="J66" i="80" s="1"/>
  <c r="I67" i="80"/>
  <c r="J67" i="80" s="1"/>
  <c r="I68" i="80"/>
  <c r="J68" i="80" s="1"/>
  <c r="I70" i="80"/>
  <c r="J70" i="80" s="1"/>
  <c r="I43" i="80"/>
  <c r="I84" i="80" s="1"/>
  <c r="J84" i="80" s="1"/>
  <c r="I44" i="80"/>
  <c r="I85" i="80" s="1"/>
  <c r="J85" i="80" s="1"/>
  <c r="I45" i="80"/>
  <c r="I86" i="80" s="1"/>
  <c r="J86" i="80" s="1"/>
  <c r="I42" i="80"/>
  <c r="I83" i="80" s="1"/>
  <c r="J83" i="80" s="1"/>
  <c r="I34" i="80"/>
  <c r="I116" i="80" s="1"/>
  <c r="I33" i="80"/>
  <c r="I32" i="80"/>
  <c r="I114" i="80" s="1"/>
  <c r="I31" i="80"/>
  <c r="I30" i="80"/>
  <c r="I29" i="80"/>
  <c r="I28" i="80"/>
  <c r="I110" i="80" s="1"/>
  <c r="I27" i="80"/>
  <c r="J27" i="80" s="1"/>
  <c r="I26" i="80"/>
  <c r="I108" i="80" s="1"/>
  <c r="I25" i="80"/>
  <c r="I24" i="80"/>
  <c r="I106" i="80" s="1"/>
  <c r="I23" i="80"/>
  <c r="I105" i="80" s="1"/>
  <c r="I22" i="80"/>
  <c r="I21" i="80"/>
  <c r="I20" i="80"/>
  <c r="I102" i="80" s="1"/>
  <c r="I8" i="80"/>
  <c r="I97" i="80" s="1"/>
  <c r="I9" i="80"/>
  <c r="I10" i="80"/>
  <c r="I99" i="80" s="1"/>
  <c r="I11" i="80"/>
  <c r="I55" i="80" s="1"/>
  <c r="J55" i="80" s="1"/>
  <c r="I12" i="80"/>
  <c r="I56" i="80" s="1"/>
  <c r="J56" i="80" s="1"/>
  <c r="I7" i="80"/>
  <c r="I96" i="80" s="1"/>
  <c r="C97" i="80"/>
  <c r="F97" i="80"/>
  <c r="D98" i="80"/>
  <c r="F98" i="80"/>
  <c r="C99" i="80"/>
  <c r="D82" i="80"/>
  <c r="F100" i="80"/>
  <c r="C101" i="80"/>
  <c r="D79" i="80"/>
  <c r="D120" i="80"/>
  <c r="D104" i="80"/>
  <c r="F104" i="80"/>
  <c r="D106" i="80"/>
  <c r="F61" i="80"/>
  <c r="D63" i="80"/>
  <c r="F63" i="80"/>
  <c r="D65" i="80"/>
  <c r="F65" i="80"/>
  <c r="D67" i="80"/>
  <c r="F67" i="80"/>
  <c r="F114" i="80"/>
  <c r="F71" i="80"/>
  <c r="D69" i="80"/>
  <c r="D116" i="80"/>
  <c r="D58" i="80"/>
  <c r="D107" i="80"/>
  <c r="D64" i="80"/>
  <c r="D111" i="80"/>
  <c r="D113" i="80"/>
  <c r="D57" i="80"/>
  <c r="D115" i="80"/>
  <c r="C108" i="80"/>
  <c r="C116" i="80"/>
  <c r="C109" i="80"/>
  <c r="C110" i="80"/>
  <c r="C103" i="80"/>
  <c r="C111" i="80"/>
  <c r="C102" i="80"/>
  <c r="C107" i="80"/>
  <c r="C115" i="80"/>
  <c r="F96" i="80"/>
  <c r="F99" i="80"/>
  <c r="F101" i="80"/>
  <c r="F102" i="80"/>
  <c r="F103" i="80"/>
  <c r="F105" i="80"/>
  <c r="F107" i="80"/>
  <c r="F109" i="80"/>
  <c r="F111" i="80"/>
  <c r="F113" i="80"/>
  <c r="F115" i="80"/>
  <c r="F117" i="80"/>
  <c r="F118" i="80"/>
  <c r="F119" i="80"/>
  <c r="F120" i="80"/>
  <c r="F79" i="80"/>
  <c r="F80" i="80"/>
  <c r="F81" i="80"/>
  <c r="F82" i="80"/>
  <c r="F83" i="80"/>
  <c r="F84" i="80"/>
  <c r="F85" i="80"/>
  <c r="F86" i="80"/>
  <c r="F55" i="80"/>
  <c r="F56" i="80"/>
  <c r="F57" i="80"/>
  <c r="F58" i="80"/>
  <c r="F60" i="80"/>
  <c r="F62" i="80"/>
  <c r="F66" i="80"/>
  <c r="F68" i="80"/>
  <c r="F70" i="80"/>
  <c r="D53" i="80"/>
  <c r="D56" i="80"/>
  <c r="D60" i="80"/>
  <c r="D61" i="80"/>
  <c r="D62" i="80"/>
  <c r="D68" i="80"/>
  <c r="D70" i="80"/>
  <c r="D71" i="80"/>
  <c r="D80" i="80"/>
  <c r="D81" i="80"/>
  <c r="D83" i="80"/>
  <c r="D84" i="80"/>
  <c r="D85" i="80"/>
  <c r="D86" i="80"/>
  <c r="D97" i="80"/>
  <c r="C98" i="80"/>
  <c r="D99" i="80"/>
  <c r="C100" i="80"/>
  <c r="D100" i="80"/>
  <c r="D101" i="80"/>
  <c r="D102" i="80"/>
  <c r="C104" i="80"/>
  <c r="C105" i="80"/>
  <c r="D105" i="80"/>
  <c r="C106" i="80"/>
  <c r="C112" i="80"/>
  <c r="C113" i="80"/>
  <c r="C114" i="80"/>
  <c r="D114" i="80"/>
  <c r="C117" i="80"/>
  <c r="D117" i="80"/>
  <c r="C118" i="80"/>
  <c r="D118" i="80"/>
  <c r="C119" i="80"/>
  <c r="D119" i="80"/>
  <c r="C120" i="80"/>
  <c r="K20" i="80"/>
  <c r="K45" i="80"/>
  <c r="K24" i="80"/>
  <c r="K27" i="80"/>
  <c r="K109" i="80" s="1"/>
  <c r="K32" i="80"/>
  <c r="K9" i="80"/>
  <c r="K11" i="80"/>
  <c r="K8" i="80"/>
  <c r="K42" i="80"/>
  <c r="E13" i="80"/>
  <c r="H12" i="80"/>
  <c r="H8" i="80"/>
  <c r="E46" i="80"/>
  <c r="G119" i="80"/>
  <c r="K97" i="80"/>
  <c r="G99" i="80"/>
  <c r="E101" i="80"/>
  <c r="H104" i="80"/>
  <c r="G106" i="80"/>
  <c r="G108" i="80"/>
  <c r="G110" i="80"/>
  <c r="E113" i="80"/>
  <c r="K117" i="80"/>
  <c r="H96" i="80"/>
  <c r="L95" i="80"/>
  <c r="G46" i="80"/>
  <c r="G35" i="80"/>
  <c r="L78" i="80"/>
  <c r="L52" i="80"/>
  <c r="L41" i="80"/>
  <c r="L19" i="80"/>
  <c r="L6" i="80"/>
  <c r="G105" i="80"/>
  <c r="J10" i="91" l="1"/>
  <c r="J99" i="91" s="1"/>
  <c r="J26" i="90"/>
  <c r="J108" i="90" s="1"/>
  <c r="J10" i="90"/>
  <c r="J99" i="90" s="1"/>
  <c r="L79" i="90"/>
  <c r="J9" i="90"/>
  <c r="J98" i="90" s="1"/>
  <c r="J26" i="89"/>
  <c r="J108" i="89" s="1"/>
  <c r="J34" i="89"/>
  <c r="J116" i="89" s="1"/>
  <c r="J9" i="89"/>
  <c r="J98" i="89" s="1"/>
  <c r="I98" i="89"/>
  <c r="J27" i="88"/>
  <c r="J109" i="88" s="1"/>
  <c r="I81" i="88"/>
  <c r="J81" i="88" s="1"/>
  <c r="J7" i="88"/>
  <c r="J96" i="88" s="1"/>
  <c r="J10" i="88"/>
  <c r="J99" i="88" s="1"/>
  <c r="I57" i="87"/>
  <c r="J57" i="87" s="1"/>
  <c r="I64" i="87"/>
  <c r="J64" i="87" s="1"/>
  <c r="I65" i="87"/>
  <c r="J65" i="87" s="1"/>
  <c r="J10" i="87"/>
  <c r="J99" i="87" s="1"/>
  <c r="J7" i="87"/>
  <c r="J96" i="87" s="1"/>
  <c r="L63" i="87"/>
  <c r="I120" i="80"/>
  <c r="I119" i="80"/>
  <c r="I118" i="80"/>
  <c r="I65" i="80"/>
  <c r="J65" i="80" s="1"/>
  <c r="I57" i="80"/>
  <c r="J57" i="80" s="1"/>
  <c r="I64" i="80"/>
  <c r="J64" i="80" s="1"/>
  <c r="I109" i="80"/>
  <c r="I71" i="80"/>
  <c r="J71" i="80" s="1"/>
  <c r="I63" i="80"/>
  <c r="J63" i="80" s="1"/>
  <c r="I69" i="80"/>
  <c r="J69" i="80" s="1"/>
  <c r="I61" i="80"/>
  <c r="J61" i="80" s="1"/>
  <c r="I101" i="80"/>
  <c r="I53" i="80"/>
  <c r="J53" i="80" s="1"/>
  <c r="I82" i="80"/>
  <c r="J82" i="80" s="1"/>
  <c r="I100" i="80"/>
  <c r="I81" i="80"/>
  <c r="J81" i="80" s="1"/>
  <c r="I80" i="80"/>
  <c r="J80" i="80" s="1"/>
  <c r="I79" i="80"/>
  <c r="J79" i="80" s="1"/>
  <c r="L79" i="91"/>
  <c r="G46" i="91"/>
  <c r="K67" i="91"/>
  <c r="L7" i="91"/>
  <c r="I9" i="91"/>
  <c r="I12" i="91"/>
  <c r="K24" i="91"/>
  <c r="I26" i="91"/>
  <c r="K32" i="91"/>
  <c r="I34" i="91"/>
  <c r="G54" i="91"/>
  <c r="I57" i="91"/>
  <c r="J57" i="91" s="1"/>
  <c r="G58" i="91"/>
  <c r="I61" i="91"/>
  <c r="J61" i="91" s="1"/>
  <c r="G62" i="91"/>
  <c r="I65" i="91"/>
  <c r="J65" i="91" s="1"/>
  <c r="G66" i="91"/>
  <c r="I69" i="91"/>
  <c r="J69" i="91" s="1"/>
  <c r="G70" i="91"/>
  <c r="H97" i="91"/>
  <c r="H101" i="91"/>
  <c r="K119" i="91"/>
  <c r="K21" i="91"/>
  <c r="I23" i="91"/>
  <c r="K29" i="91"/>
  <c r="I31" i="91"/>
  <c r="K43" i="91"/>
  <c r="I45" i="91"/>
  <c r="G79" i="91"/>
  <c r="G87" i="91" s="1"/>
  <c r="I82" i="91"/>
  <c r="J82" i="91" s="1"/>
  <c r="K85" i="91"/>
  <c r="K96" i="91"/>
  <c r="L96" i="91" s="1"/>
  <c r="G98" i="91"/>
  <c r="K104" i="91"/>
  <c r="K112" i="91"/>
  <c r="I117" i="91"/>
  <c r="G118" i="91"/>
  <c r="I21" i="91"/>
  <c r="I29" i="91"/>
  <c r="I43" i="91"/>
  <c r="K9" i="91"/>
  <c r="K12" i="91"/>
  <c r="K26" i="91"/>
  <c r="K34" i="91"/>
  <c r="G59" i="91"/>
  <c r="G63" i="91"/>
  <c r="G67" i="91"/>
  <c r="G71" i="91"/>
  <c r="K59" i="91"/>
  <c r="K10" i="91"/>
  <c r="I8" i="91"/>
  <c r="J11" i="91"/>
  <c r="J100" i="91" s="1"/>
  <c r="J20" i="91"/>
  <c r="J102" i="91" s="1"/>
  <c r="K23" i="91"/>
  <c r="I25" i="91"/>
  <c r="J28" i="91"/>
  <c r="J110" i="91" s="1"/>
  <c r="K31" i="91"/>
  <c r="I33" i="91"/>
  <c r="J42" i="91"/>
  <c r="J117" i="91" s="1"/>
  <c r="K45" i="91"/>
  <c r="G99" i="91"/>
  <c r="G103" i="91"/>
  <c r="I106" i="91"/>
  <c r="I114" i="91"/>
  <c r="G119" i="91"/>
  <c r="K11" i="91"/>
  <c r="K20" i="91"/>
  <c r="I22" i="91"/>
  <c r="K28" i="91"/>
  <c r="I30" i="91"/>
  <c r="K42" i="91"/>
  <c r="I44" i="91"/>
  <c r="G56" i="91"/>
  <c r="K27" i="91"/>
  <c r="K8" i="91"/>
  <c r="K25" i="91"/>
  <c r="K33" i="91"/>
  <c r="K45" i="90"/>
  <c r="K120" i="90" s="1"/>
  <c r="J28" i="90"/>
  <c r="J110" i="90" s="1"/>
  <c r="I110" i="90"/>
  <c r="I65" i="90"/>
  <c r="J65" i="90" s="1"/>
  <c r="L96" i="90"/>
  <c r="K83" i="90"/>
  <c r="K117" i="90"/>
  <c r="G46" i="90"/>
  <c r="K59" i="90"/>
  <c r="K67" i="90"/>
  <c r="K10" i="90"/>
  <c r="I21" i="90"/>
  <c r="J24" i="90"/>
  <c r="K27" i="90"/>
  <c r="I29" i="90"/>
  <c r="J32" i="90"/>
  <c r="I43" i="90"/>
  <c r="H53" i="90"/>
  <c r="K80" i="90"/>
  <c r="I81" i="90"/>
  <c r="J81" i="90" s="1"/>
  <c r="G82" i="90"/>
  <c r="K84" i="90"/>
  <c r="G86" i="90"/>
  <c r="G87" i="90" s="1"/>
  <c r="I96" i="90"/>
  <c r="G97" i="90"/>
  <c r="G101" i="90"/>
  <c r="K103" i="90"/>
  <c r="G105" i="90"/>
  <c r="K107" i="90"/>
  <c r="I108" i="90"/>
  <c r="G109" i="90"/>
  <c r="K111" i="90"/>
  <c r="G113" i="90"/>
  <c r="K115" i="90"/>
  <c r="I116" i="90"/>
  <c r="G117" i="90"/>
  <c r="K119" i="90"/>
  <c r="I120" i="90"/>
  <c r="G53" i="90"/>
  <c r="G57" i="90"/>
  <c r="I60" i="90"/>
  <c r="J60" i="90" s="1"/>
  <c r="G65" i="90"/>
  <c r="I68" i="90"/>
  <c r="J68" i="90" s="1"/>
  <c r="L7" i="90"/>
  <c r="I12" i="90"/>
  <c r="G58" i="90"/>
  <c r="K60" i="90"/>
  <c r="I61" i="90"/>
  <c r="J61" i="90" s="1"/>
  <c r="G62" i="90"/>
  <c r="G66" i="90"/>
  <c r="K68" i="90"/>
  <c r="L68" i="90" s="1"/>
  <c r="I69" i="90"/>
  <c r="J69" i="90" s="1"/>
  <c r="G70" i="90"/>
  <c r="H97" i="90"/>
  <c r="G102" i="90"/>
  <c r="I105" i="90"/>
  <c r="G110" i="90"/>
  <c r="I113" i="90"/>
  <c r="G118" i="90"/>
  <c r="K9" i="90"/>
  <c r="I11" i="90"/>
  <c r="K12" i="90"/>
  <c r="I20" i="90"/>
  <c r="K26" i="90"/>
  <c r="K34" i="90"/>
  <c r="I42" i="90"/>
  <c r="J45" i="90"/>
  <c r="J120" i="90" s="1"/>
  <c r="L120" i="90" s="1"/>
  <c r="K53" i="90"/>
  <c r="I54" i="90"/>
  <c r="J54" i="90" s="1"/>
  <c r="G55" i="90"/>
  <c r="G59" i="90"/>
  <c r="K61" i="90"/>
  <c r="I62" i="90"/>
  <c r="J62" i="90" s="1"/>
  <c r="L62" i="90" s="1"/>
  <c r="G63" i="90"/>
  <c r="G67" i="90"/>
  <c r="K69" i="90"/>
  <c r="I70" i="90"/>
  <c r="J70" i="90" s="1"/>
  <c r="L70" i="90" s="1"/>
  <c r="G71" i="90"/>
  <c r="I8" i="90"/>
  <c r="G80" i="90"/>
  <c r="K86" i="90"/>
  <c r="K105" i="90"/>
  <c r="K113" i="90"/>
  <c r="L113" i="90" s="1"/>
  <c r="G119" i="90"/>
  <c r="K11" i="90"/>
  <c r="K20" i="90"/>
  <c r="I22" i="90"/>
  <c r="J25" i="90"/>
  <c r="K28" i="90"/>
  <c r="I30" i="90"/>
  <c r="J33" i="90"/>
  <c r="I44" i="90"/>
  <c r="L70" i="89"/>
  <c r="I102" i="89"/>
  <c r="J20" i="89"/>
  <c r="J102" i="89" s="1"/>
  <c r="I57" i="89"/>
  <c r="J57" i="89" s="1"/>
  <c r="L113" i="89"/>
  <c r="L105" i="89"/>
  <c r="I110" i="89"/>
  <c r="I65" i="89"/>
  <c r="J65" i="89" s="1"/>
  <c r="J28" i="89"/>
  <c r="J110" i="89" s="1"/>
  <c r="I58" i="89"/>
  <c r="J58" i="89" s="1"/>
  <c r="L58" i="89" s="1"/>
  <c r="J21" i="89"/>
  <c r="J103" i="89" s="1"/>
  <c r="I103" i="89"/>
  <c r="K116" i="89"/>
  <c r="L116" i="89" s="1"/>
  <c r="L34" i="89"/>
  <c r="K71" i="89"/>
  <c r="L71" i="89" s="1"/>
  <c r="I83" i="89"/>
  <c r="J83" i="89" s="1"/>
  <c r="J42" i="89"/>
  <c r="J117" i="89" s="1"/>
  <c r="I117" i="89"/>
  <c r="I66" i="89"/>
  <c r="J66" i="89" s="1"/>
  <c r="L66" i="89" s="1"/>
  <c r="J29" i="89"/>
  <c r="J111" i="89" s="1"/>
  <c r="I111" i="89"/>
  <c r="L62" i="89"/>
  <c r="J33" i="89"/>
  <c r="J115" i="89" s="1"/>
  <c r="L115" i="89" s="1"/>
  <c r="I7" i="89"/>
  <c r="I10" i="89"/>
  <c r="I27" i="89"/>
  <c r="K83" i="89"/>
  <c r="G85" i="89"/>
  <c r="K102" i="89"/>
  <c r="L102" i="89" s="1"/>
  <c r="G104" i="89"/>
  <c r="I107" i="89"/>
  <c r="K114" i="89"/>
  <c r="K22" i="89"/>
  <c r="I24" i="89"/>
  <c r="L25" i="89"/>
  <c r="K30" i="89"/>
  <c r="I32" i="89"/>
  <c r="K44" i="89"/>
  <c r="G46" i="89"/>
  <c r="G53" i="89"/>
  <c r="K55" i="89"/>
  <c r="I56" i="89"/>
  <c r="J56" i="89" s="1"/>
  <c r="G57" i="89"/>
  <c r="I60" i="89"/>
  <c r="J60" i="89" s="1"/>
  <c r="G61" i="89"/>
  <c r="G65" i="89"/>
  <c r="I68" i="89"/>
  <c r="J68" i="89" s="1"/>
  <c r="G69" i="89"/>
  <c r="L23" i="89"/>
  <c r="L31" i="89"/>
  <c r="L45" i="89"/>
  <c r="L28" i="89"/>
  <c r="L42" i="89"/>
  <c r="G81" i="89"/>
  <c r="G96" i="89"/>
  <c r="G100" i="89"/>
  <c r="K106" i="89"/>
  <c r="K110" i="89"/>
  <c r="G112" i="89"/>
  <c r="I115" i="89"/>
  <c r="K118" i="89"/>
  <c r="K10" i="89"/>
  <c r="K27" i="89"/>
  <c r="I43" i="89"/>
  <c r="K80" i="89"/>
  <c r="G82" i="89"/>
  <c r="K84" i="89"/>
  <c r="K103" i="89"/>
  <c r="L103" i="89" s="1"/>
  <c r="G109" i="89"/>
  <c r="K111" i="89"/>
  <c r="G117" i="89"/>
  <c r="I120" i="89"/>
  <c r="J8" i="89"/>
  <c r="J97" i="89" s="1"/>
  <c r="L97" i="89" s="1"/>
  <c r="I44" i="89"/>
  <c r="G13" i="89"/>
  <c r="G35" i="89"/>
  <c r="I80" i="89"/>
  <c r="J80" i="89" s="1"/>
  <c r="I53" i="89"/>
  <c r="J53" i="89" s="1"/>
  <c r="L53" i="89" s="1"/>
  <c r="K60" i="89"/>
  <c r="K68" i="89"/>
  <c r="I22" i="89"/>
  <c r="J25" i="89"/>
  <c r="J107" i="89" s="1"/>
  <c r="L107" i="89" s="1"/>
  <c r="I30" i="89"/>
  <c r="L20" i="89"/>
  <c r="G83" i="89"/>
  <c r="I86" i="89"/>
  <c r="J86" i="89" s="1"/>
  <c r="L86" i="89" s="1"/>
  <c r="K100" i="89"/>
  <c r="G102" i="89"/>
  <c r="I105" i="89"/>
  <c r="K120" i="89"/>
  <c r="L120" i="89" s="1"/>
  <c r="G110" i="89"/>
  <c r="I113" i="89"/>
  <c r="K9" i="89"/>
  <c r="I11" i="89"/>
  <c r="K12" i="89"/>
  <c r="K26" i="89"/>
  <c r="J42" i="88"/>
  <c r="J117" i="88" s="1"/>
  <c r="I83" i="88"/>
  <c r="J83" i="88" s="1"/>
  <c r="I117" i="88"/>
  <c r="J28" i="88"/>
  <c r="J110" i="88" s="1"/>
  <c r="I110" i="88"/>
  <c r="I65" i="88"/>
  <c r="J65" i="88" s="1"/>
  <c r="I21" i="88"/>
  <c r="J24" i="88"/>
  <c r="J106" i="88" s="1"/>
  <c r="I29" i="88"/>
  <c r="L7" i="88"/>
  <c r="I9" i="88"/>
  <c r="I12" i="88"/>
  <c r="K24" i="88"/>
  <c r="I26" i="88"/>
  <c r="K32" i="88"/>
  <c r="I34" i="88"/>
  <c r="I53" i="88"/>
  <c r="J53" i="88" s="1"/>
  <c r="G54" i="88"/>
  <c r="G58" i="88"/>
  <c r="K60" i="88"/>
  <c r="I61" i="88"/>
  <c r="J61" i="88" s="1"/>
  <c r="G66" i="88"/>
  <c r="K68" i="88"/>
  <c r="I69" i="88"/>
  <c r="J69" i="88" s="1"/>
  <c r="H97" i="88"/>
  <c r="H101" i="88"/>
  <c r="K27" i="88"/>
  <c r="J32" i="88"/>
  <c r="J114" i="88" s="1"/>
  <c r="I43" i="88"/>
  <c r="K119" i="88"/>
  <c r="K21" i="88"/>
  <c r="I23" i="88"/>
  <c r="K29" i="88"/>
  <c r="I31" i="88"/>
  <c r="K43" i="88"/>
  <c r="I45" i="88"/>
  <c r="G79" i="88"/>
  <c r="G83" i="88"/>
  <c r="K85" i="88"/>
  <c r="K96" i="88"/>
  <c r="L96" i="88" s="1"/>
  <c r="I97" i="88"/>
  <c r="G102" i="88"/>
  <c r="K104" i="88"/>
  <c r="G110" i="88"/>
  <c r="K112" i="88"/>
  <c r="G118" i="88"/>
  <c r="K120" i="88"/>
  <c r="K67" i="88"/>
  <c r="K10" i="88"/>
  <c r="G101" i="88"/>
  <c r="K9" i="88"/>
  <c r="I11" i="88"/>
  <c r="K12" i="88"/>
  <c r="I20" i="88"/>
  <c r="K26" i="88"/>
  <c r="K34" i="88"/>
  <c r="G55" i="88"/>
  <c r="G59" i="88"/>
  <c r="I62" i="88"/>
  <c r="J62" i="88" s="1"/>
  <c r="G63" i="88"/>
  <c r="G67" i="88"/>
  <c r="I70" i="88"/>
  <c r="J70" i="88" s="1"/>
  <c r="G71" i="88"/>
  <c r="G46" i="88"/>
  <c r="K86" i="88"/>
  <c r="K105" i="88"/>
  <c r="G119" i="88"/>
  <c r="J8" i="88"/>
  <c r="J97" i="88" s="1"/>
  <c r="K11" i="88"/>
  <c r="K20" i="88"/>
  <c r="I22" i="88"/>
  <c r="J25" i="88"/>
  <c r="J107" i="88" s="1"/>
  <c r="K28" i="88"/>
  <c r="I30" i="88"/>
  <c r="J33" i="88"/>
  <c r="J115" i="88" s="1"/>
  <c r="K42" i="88"/>
  <c r="I44" i="88"/>
  <c r="K8" i="88"/>
  <c r="K25" i="88"/>
  <c r="K33" i="88"/>
  <c r="I119" i="87"/>
  <c r="J44" i="87"/>
  <c r="J119" i="87" s="1"/>
  <c r="I85" i="87"/>
  <c r="J85" i="87" s="1"/>
  <c r="L85" i="87"/>
  <c r="K83" i="87"/>
  <c r="L83" i="87" s="1"/>
  <c r="K117" i="87"/>
  <c r="L71" i="87"/>
  <c r="K10" i="87"/>
  <c r="I21" i="87"/>
  <c r="J24" i="87"/>
  <c r="J106" i="87" s="1"/>
  <c r="L106" i="87" s="1"/>
  <c r="K27" i="87"/>
  <c r="I29" i="87"/>
  <c r="J32" i="87"/>
  <c r="J114" i="87" s="1"/>
  <c r="L114" i="87" s="1"/>
  <c r="I43" i="87"/>
  <c r="H53" i="87"/>
  <c r="K80" i="87"/>
  <c r="I81" i="87"/>
  <c r="J81" i="87" s="1"/>
  <c r="G82" i="87"/>
  <c r="G86" i="87"/>
  <c r="I96" i="87"/>
  <c r="G97" i="87"/>
  <c r="I100" i="87"/>
  <c r="G101" i="87"/>
  <c r="G105" i="87"/>
  <c r="K107" i="87"/>
  <c r="I108" i="87"/>
  <c r="G109" i="87"/>
  <c r="G113" i="87"/>
  <c r="K115" i="87"/>
  <c r="I116" i="87"/>
  <c r="G117" i="87"/>
  <c r="K119" i="87"/>
  <c r="L7" i="87"/>
  <c r="J9" i="87"/>
  <c r="J98" i="87" s="1"/>
  <c r="L98" i="87" s="1"/>
  <c r="K21" i="87"/>
  <c r="I23" i="87"/>
  <c r="L24" i="87"/>
  <c r="J26" i="87"/>
  <c r="J108" i="87" s="1"/>
  <c r="K29" i="87"/>
  <c r="I31" i="87"/>
  <c r="J34" i="87"/>
  <c r="J116" i="87" s="1"/>
  <c r="K43" i="87"/>
  <c r="I45" i="87"/>
  <c r="G79" i="87"/>
  <c r="I82" i="87"/>
  <c r="J82" i="87" s="1"/>
  <c r="K96" i="87"/>
  <c r="K104" i="87"/>
  <c r="K108" i="87"/>
  <c r="K112" i="87"/>
  <c r="K116" i="87"/>
  <c r="I117" i="87"/>
  <c r="G118" i="87"/>
  <c r="I12" i="87"/>
  <c r="I61" i="87"/>
  <c r="J61" i="87" s="1"/>
  <c r="I69" i="87"/>
  <c r="J69" i="87" s="1"/>
  <c r="I54" i="87"/>
  <c r="J54" i="87" s="1"/>
  <c r="K69" i="87"/>
  <c r="K53" i="87"/>
  <c r="I8" i="87"/>
  <c r="J11" i="87"/>
  <c r="J100" i="87" s="1"/>
  <c r="J20" i="87"/>
  <c r="J102" i="87" s="1"/>
  <c r="K23" i="87"/>
  <c r="I25" i="87"/>
  <c r="J28" i="87"/>
  <c r="J110" i="87" s="1"/>
  <c r="K31" i="87"/>
  <c r="I33" i="87"/>
  <c r="J42" i="87"/>
  <c r="J117" i="87" s="1"/>
  <c r="K45" i="87"/>
  <c r="G84" i="87"/>
  <c r="G103" i="87"/>
  <c r="G111" i="87"/>
  <c r="G119" i="87"/>
  <c r="G58" i="87"/>
  <c r="K61" i="87"/>
  <c r="K11" i="87"/>
  <c r="K20" i="87"/>
  <c r="I22" i="87"/>
  <c r="K28" i="87"/>
  <c r="I30" i="87"/>
  <c r="K54" i="87"/>
  <c r="L54" i="87" s="1"/>
  <c r="G56" i="87"/>
  <c r="G72" i="87" s="1"/>
  <c r="J31" i="80"/>
  <c r="D55" i="80"/>
  <c r="D54" i="80"/>
  <c r="F54" i="80"/>
  <c r="F53" i="80"/>
  <c r="D96" i="80"/>
  <c r="J44" i="80"/>
  <c r="J119" i="80" s="1"/>
  <c r="J32" i="80"/>
  <c r="J24" i="80"/>
  <c r="D108" i="80"/>
  <c r="D59" i="80"/>
  <c r="D112" i="80"/>
  <c r="D110" i="80"/>
  <c r="D109" i="80"/>
  <c r="D103" i="80"/>
  <c r="F69" i="80"/>
  <c r="F59" i="80"/>
  <c r="F110" i="80"/>
  <c r="D66" i="80"/>
  <c r="F108" i="80"/>
  <c r="F116" i="80"/>
  <c r="F106" i="80"/>
  <c r="E35" i="80"/>
  <c r="F64" i="80"/>
  <c r="E112" i="80"/>
  <c r="F112" i="80"/>
  <c r="J106" i="80"/>
  <c r="J113" i="80"/>
  <c r="J109" i="80"/>
  <c r="H118" i="80"/>
  <c r="G111" i="80"/>
  <c r="E102" i="80"/>
  <c r="K114" i="80"/>
  <c r="K106" i="80"/>
  <c r="K120" i="80"/>
  <c r="E119" i="80"/>
  <c r="H117" i="80"/>
  <c r="H115" i="80"/>
  <c r="H113" i="80"/>
  <c r="E110" i="80"/>
  <c r="E108" i="80"/>
  <c r="E106" i="80"/>
  <c r="G104" i="80"/>
  <c r="K102" i="80"/>
  <c r="E99" i="80"/>
  <c r="H97" i="80"/>
  <c r="H120" i="80"/>
  <c r="G117" i="80"/>
  <c r="G115" i="80"/>
  <c r="G113" i="80"/>
  <c r="E104" i="80"/>
  <c r="H102" i="80"/>
  <c r="H100" i="80"/>
  <c r="G97" i="80"/>
  <c r="K100" i="80"/>
  <c r="K34" i="80"/>
  <c r="K116" i="80" s="1"/>
  <c r="K26" i="80"/>
  <c r="K108" i="80" s="1"/>
  <c r="K44" i="80"/>
  <c r="K85" i="80" s="1"/>
  <c r="G109" i="80"/>
  <c r="H98" i="80"/>
  <c r="J45" i="80"/>
  <c r="L45" i="80" s="1"/>
  <c r="G120" i="80"/>
  <c r="E117" i="80"/>
  <c r="E115" i="80"/>
  <c r="H111" i="80"/>
  <c r="H109" i="80"/>
  <c r="H107" i="80"/>
  <c r="H105" i="80"/>
  <c r="G102" i="80"/>
  <c r="G100" i="80"/>
  <c r="K98" i="80"/>
  <c r="E97" i="80"/>
  <c r="J42" i="80"/>
  <c r="K12" i="80"/>
  <c r="K101" i="80" s="1"/>
  <c r="K33" i="80"/>
  <c r="K115" i="80" s="1"/>
  <c r="K25" i="80"/>
  <c r="K107" i="80" s="1"/>
  <c r="K43" i="80"/>
  <c r="K118" i="80" s="1"/>
  <c r="C96" i="80"/>
  <c r="G118" i="80"/>
  <c r="H116" i="80"/>
  <c r="H114" i="80"/>
  <c r="E111" i="80"/>
  <c r="E109" i="80"/>
  <c r="E107" i="80"/>
  <c r="E105" i="80"/>
  <c r="H103" i="80"/>
  <c r="G98" i="80"/>
  <c r="K10" i="80"/>
  <c r="K99" i="80" s="1"/>
  <c r="K31" i="80"/>
  <c r="K113" i="80" s="1"/>
  <c r="K23" i="80"/>
  <c r="K105" i="80" s="1"/>
  <c r="E100" i="80"/>
  <c r="E96" i="80"/>
  <c r="E118" i="80"/>
  <c r="G116" i="80"/>
  <c r="G114" i="80"/>
  <c r="H112" i="80"/>
  <c r="G103" i="80"/>
  <c r="H101" i="80"/>
  <c r="E98" i="80"/>
  <c r="K30" i="80"/>
  <c r="K112" i="80" s="1"/>
  <c r="K22" i="80"/>
  <c r="E120" i="80"/>
  <c r="G107" i="80"/>
  <c r="G96" i="80"/>
  <c r="H119" i="80"/>
  <c r="E116" i="80"/>
  <c r="E114" i="80"/>
  <c r="G112" i="80"/>
  <c r="H110" i="80"/>
  <c r="H108" i="80"/>
  <c r="H106" i="80"/>
  <c r="K104" i="80"/>
  <c r="E103" i="80"/>
  <c r="G101" i="80"/>
  <c r="H99" i="80"/>
  <c r="K96" i="80"/>
  <c r="K29" i="80"/>
  <c r="K111" i="80" s="1"/>
  <c r="K21" i="80"/>
  <c r="K103" i="80" s="1"/>
  <c r="J9" i="80"/>
  <c r="L9" i="80" s="1"/>
  <c r="K28" i="80"/>
  <c r="K110" i="80" s="1"/>
  <c r="J7" i="80"/>
  <c r="J12" i="80"/>
  <c r="J8" i="80"/>
  <c r="J22" i="80"/>
  <c r="L22" i="80" s="1"/>
  <c r="J21" i="80"/>
  <c r="J23" i="80"/>
  <c r="J10" i="80"/>
  <c r="J11" i="80"/>
  <c r="J100" i="80" s="1"/>
  <c r="L24" i="80"/>
  <c r="C67" i="80"/>
  <c r="E55" i="80"/>
  <c r="H62" i="80"/>
  <c r="E71" i="80"/>
  <c r="H86" i="80"/>
  <c r="G65" i="80"/>
  <c r="H69" i="80"/>
  <c r="L31" i="80"/>
  <c r="K57" i="80"/>
  <c r="C84" i="80"/>
  <c r="E57" i="80"/>
  <c r="E70" i="80"/>
  <c r="K82" i="80"/>
  <c r="G53" i="80"/>
  <c r="E53" i="80"/>
  <c r="K61" i="80"/>
  <c r="E61" i="80"/>
  <c r="C61" i="80"/>
  <c r="G61" i="80"/>
  <c r="E83" i="80"/>
  <c r="G83" i="80"/>
  <c r="H83" i="80"/>
  <c r="K83" i="80"/>
  <c r="E60" i="80"/>
  <c r="H61" i="80"/>
  <c r="H85" i="80"/>
  <c r="C54" i="80"/>
  <c r="C62" i="80"/>
  <c r="H71" i="80"/>
  <c r="H59" i="80"/>
  <c r="H70" i="80"/>
  <c r="K54" i="80"/>
  <c r="H55" i="80"/>
  <c r="H63" i="80"/>
  <c r="C81" i="80"/>
  <c r="C58" i="80"/>
  <c r="E68" i="80"/>
  <c r="G62" i="80"/>
  <c r="H53" i="80"/>
  <c r="E84" i="80"/>
  <c r="K80" i="80"/>
  <c r="H79" i="80"/>
  <c r="E79" i="80"/>
  <c r="C79" i="80"/>
  <c r="G79" i="80"/>
  <c r="H65" i="80"/>
  <c r="G70" i="80"/>
  <c r="G54" i="80"/>
  <c r="C65" i="80"/>
  <c r="G59" i="80"/>
  <c r="G85" i="80"/>
  <c r="E58" i="80"/>
  <c r="E66" i="80"/>
  <c r="G84" i="80"/>
  <c r="C64" i="80"/>
  <c r="E54" i="80"/>
  <c r="K62" i="80"/>
  <c r="C59" i="80"/>
  <c r="E63" i="80"/>
  <c r="G57" i="80"/>
  <c r="H54" i="80"/>
  <c r="C80" i="80"/>
  <c r="C57" i="80"/>
  <c r="G67" i="80"/>
  <c r="H68" i="80"/>
  <c r="K53" i="80"/>
  <c r="K79" i="80"/>
  <c r="K68" i="80"/>
  <c r="G68" i="80"/>
  <c r="C68" i="80"/>
  <c r="G80" i="80"/>
  <c r="C85" i="80"/>
  <c r="E59" i="80"/>
  <c r="C55" i="80"/>
  <c r="C63" i="80"/>
  <c r="H81" i="80"/>
  <c r="G81" i="80"/>
  <c r="E67" i="80"/>
  <c r="H80" i="80"/>
  <c r="E85" i="80"/>
  <c r="H57" i="80"/>
  <c r="C70" i="80"/>
  <c r="C66" i="80"/>
  <c r="E65" i="80"/>
  <c r="H60" i="80"/>
  <c r="G13" i="80"/>
  <c r="G64" i="80"/>
  <c r="E56" i="80"/>
  <c r="H56" i="80"/>
  <c r="K60" i="80"/>
  <c r="G60" i="80"/>
  <c r="C60" i="80"/>
  <c r="E64" i="80"/>
  <c r="H64" i="80"/>
  <c r="K64" i="80"/>
  <c r="K69" i="80"/>
  <c r="G69" i="80"/>
  <c r="E69" i="80"/>
  <c r="C69" i="80"/>
  <c r="C82" i="80"/>
  <c r="G82" i="80"/>
  <c r="E82" i="80"/>
  <c r="H82" i="80"/>
  <c r="E86" i="80"/>
  <c r="G86" i="80"/>
  <c r="C86" i="80"/>
  <c r="C53" i="80"/>
  <c r="C56" i="80"/>
  <c r="E62" i="80"/>
  <c r="G56" i="80"/>
  <c r="H67" i="80"/>
  <c r="K59" i="80"/>
  <c r="K86" i="80"/>
  <c r="C83" i="80"/>
  <c r="C71" i="80"/>
  <c r="G66" i="80"/>
  <c r="L27" i="80"/>
  <c r="G71" i="80"/>
  <c r="G63" i="80"/>
  <c r="G55" i="80"/>
  <c r="K71" i="80"/>
  <c r="K63" i="80"/>
  <c r="K55" i="80"/>
  <c r="H84" i="80"/>
  <c r="E81" i="80"/>
  <c r="E80" i="80"/>
  <c r="H66" i="80"/>
  <c r="H58" i="80"/>
  <c r="G58" i="80"/>
  <c r="K66" i="80"/>
  <c r="K84" i="80"/>
  <c r="L42" i="80"/>
  <c r="G121" i="91" l="1"/>
  <c r="G72" i="91"/>
  <c r="L105" i="90"/>
  <c r="G121" i="90"/>
  <c r="L86" i="90"/>
  <c r="L65" i="89"/>
  <c r="L117" i="89"/>
  <c r="G87" i="89"/>
  <c r="L57" i="89"/>
  <c r="L80" i="89"/>
  <c r="L68" i="89"/>
  <c r="G72" i="88"/>
  <c r="G121" i="88"/>
  <c r="L96" i="87"/>
  <c r="G121" i="87"/>
  <c r="G87" i="87"/>
  <c r="K56" i="80"/>
  <c r="K70" i="80"/>
  <c r="K119" i="80"/>
  <c r="L119" i="80" s="1"/>
  <c r="K65" i="80"/>
  <c r="K58" i="80"/>
  <c r="K81" i="80"/>
  <c r="K67" i="80"/>
  <c r="L44" i="80"/>
  <c r="K118" i="91"/>
  <c r="K84" i="91"/>
  <c r="I71" i="91"/>
  <c r="J71" i="91" s="1"/>
  <c r="I116" i="91"/>
  <c r="J34" i="91"/>
  <c r="J116" i="91" s="1"/>
  <c r="L31" i="91"/>
  <c r="K113" i="91"/>
  <c r="K68" i="91"/>
  <c r="K98" i="91"/>
  <c r="K54" i="91"/>
  <c r="K66" i="91"/>
  <c r="K111" i="91"/>
  <c r="K114" i="91"/>
  <c r="L114" i="91" s="1"/>
  <c r="K69" i="91"/>
  <c r="L69" i="91" s="1"/>
  <c r="L32" i="91"/>
  <c r="I84" i="91"/>
  <c r="J84" i="91" s="1"/>
  <c r="I118" i="91"/>
  <c r="J43" i="91"/>
  <c r="J118" i="91" s="1"/>
  <c r="J23" i="91"/>
  <c r="J105" i="91" s="1"/>
  <c r="I105" i="91"/>
  <c r="I60" i="91"/>
  <c r="J60" i="91" s="1"/>
  <c r="K83" i="91"/>
  <c r="L83" i="91" s="1"/>
  <c r="L42" i="91"/>
  <c r="K117" i="91"/>
  <c r="L117" i="91" s="1"/>
  <c r="I107" i="91"/>
  <c r="J25" i="91"/>
  <c r="J107" i="91" s="1"/>
  <c r="I62" i="91"/>
  <c r="J62" i="91" s="1"/>
  <c r="I111" i="91"/>
  <c r="I66" i="91"/>
  <c r="J66" i="91" s="1"/>
  <c r="J29" i="91"/>
  <c r="J111" i="91" s="1"/>
  <c r="K58" i="91"/>
  <c r="K103" i="91"/>
  <c r="K106" i="91"/>
  <c r="L106" i="91" s="1"/>
  <c r="K61" i="91"/>
  <c r="L61" i="91" s="1"/>
  <c r="L24" i="91"/>
  <c r="I63" i="91"/>
  <c r="J63" i="91" s="1"/>
  <c r="I108" i="91"/>
  <c r="J26" i="91"/>
  <c r="J108" i="91" s="1"/>
  <c r="J30" i="91"/>
  <c r="I67" i="91"/>
  <c r="J67" i="91" s="1"/>
  <c r="I112" i="91"/>
  <c r="K105" i="91"/>
  <c r="K60" i="91"/>
  <c r="I103" i="91"/>
  <c r="I58" i="91"/>
  <c r="J58" i="91" s="1"/>
  <c r="J21" i="91"/>
  <c r="J103" i="91" s="1"/>
  <c r="I56" i="91"/>
  <c r="J56" i="91" s="1"/>
  <c r="I101" i="91"/>
  <c r="J12" i="91"/>
  <c r="J101" i="91" s="1"/>
  <c r="K97" i="91"/>
  <c r="L8" i="91"/>
  <c r="K53" i="91"/>
  <c r="K80" i="91"/>
  <c r="L80" i="91" s="1"/>
  <c r="K102" i="91"/>
  <c r="L102" i="91" s="1"/>
  <c r="L20" i="91"/>
  <c r="K57" i="91"/>
  <c r="L57" i="91" s="1"/>
  <c r="I80" i="91"/>
  <c r="J80" i="91" s="1"/>
  <c r="J8" i="91"/>
  <c r="J97" i="91" s="1"/>
  <c r="I97" i="91"/>
  <c r="I53" i="91"/>
  <c r="J53" i="91" s="1"/>
  <c r="L26" i="91"/>
  <c r="K63" i="91"/>
  <c r="K108" i="91"/>
  <c r="K109" i="91"/>
  <c r="L109" i="91" s="1"/>
  <c r="K64" i="91"/>
  <c r="L64" i="91" s="1"/>
  <c r="L27" i="91"/>
  <c r="L11" i="91"/>
  <c r="K82" i="91"/>
  <c r="L82" i="91" s="1"/>
  <c r="K100" i="91"/>
  <c r="L100" i="91" s="1"/>
  <c r="K55" i="91"/>
  <c r="L55" i="91" s="1"/>
  <c r="I115" i="91"/>
  <c r="J33" i="91"/>
  <c r="J115" i="91" s="1"/>
  <c r="I70" i="91"/>
  <c r="J70" i="91" s="1"/>
  <c r="K81" i="91"/>
  <c r="L81" i="91" s="1"/>
  <c r="L10" i="91"/>
  <c r="K99" i="91"/>
  <c r="L99" i="91" s="1"/>
  <c r="K101" i="91"/>
  <c r="L101" i="91" s="1"/>
  <c r="K56" i="91"/>
  <c r="J31" i="91"/>
  <c r="J113" i="91" s="1"/>
  <c r="I68" i="91"/>
  <c r="J68" i="91" s="1"/>
  <c r="I113" i="91"/>
  <c r="K70" i="91"/>
  <c r="K115" i="91"/>
  <c r="L115" i="91" s="1"/>
  <c r="K110" i="91"/>
  <c r="L110" i="91" s="1"/>
  <c r="L28" i="91"/>
  <c r="K65" i="91"/>
  <c r="L65" i="91" s="1"/>
  <c r="I98" i="91"/>
  <c r="I54" i="91"/>
  <c r="J54" i="91" s="1"/>
  <c r="J9" i="91"/>
  <c r="J98" i="91" s="1"/>
  <c r="L67" i="91"/>
  <c r="I119" i="91"/>
  <c r="J44" i="91"/>
  <c r="I85" i="91"/>
  <c r="J85" i="91" s="1"/>
  <c r="L85" i="91" s="1"/>
  <c r="K107" i="91"/>
  <c r="K62" i="91"/>
  <c r="J22" i="91"/>
  <c r="I59" i="91"/>
  <c r="J59" i="91" s="1"/>
  <c r="L59" i="91" s="1"/>
  <c r="I104" i="91"/>
  <c r="K86" i="91"/>
  <c r="L86" i="91" s="1"/>
  <c r="K120" i="91"/>
  <c r="K116" i="91"/>
  <c r="K71" i="91"/>
  <c r="J45" i="91"/>
  <c r="J120" i="91" s="1"/>
  <c r="I86" i="91"/>
  <c r="J86" i="91" s="1"/>
  <c r="I120" i="91"/>
  <c r="J30" i="90"/>
  <c r="I67" i="90"/>
  <c r="J67" i="90" s="1"/>
  <c r="L67" i="90" s="1"/>
  <c r="I112" i="90"/>
  <c r="I55" i="90"/>
  <c r="J55" i="90" s="1"/>
  <c r="J11" i="90"/>
  <c r="J100" i="90" s="1"/>
  <c r="I82" i="90"/>
  <c r="J82" i="90" s="1"/>
  <c r="I100" i="90"/>
  <c r="I101" i="90"/>
  <c r="J12" i="90"/>
  <c r="J101" i="90" s="1"/>
  <c r="I56" i="90"/>
  <c r="J56" i="90" s="1"/>
  <c r="K109" i="90"/>
  <c r="L109" i="90" s="1"/>
  <c r="K64" i="90"/>
  <c r="L64" i="90" s="1"/>
  <c r="L27" i="90"/>
  <c r="J107" i="90"/>
  <c r="L107" i="90" s="1"/>
  <c r="L25" i="90"/>
  <c r="L61" i="90"/>
  <c r="L34" i="90"/>
  <c r="K116" i="90"/>
  <c r="L116" i="90" s="1"/>
  <c r="K71" i="90"/>
  <c r="L71" i="90" s="1"/>
  <c r="J106" i="90"/>
  <c r="L106" i="90" s="1"/>
  <c r="L24" i="90"/>
  <c r="K101" i="90"/>
  <c r="K56" i="90"/>
  <c r="I111" i="90"/>
  <c r="I66" i="90"/>
  <c r="J66" i="90" s="1"/>
  <c r="L66" i="90" s="1"/>
  <c r="J29" i="90"/>
  <c r="K110" i="90"/>
  <c r="L110" i="90" s="1"/>
  <c r="L28" i="90"/>
  <c r="K65" i="90"/>
  <c r="L65" i="90" s="1"/>
  <c r="I83" i="90"/>
  <c r="J83" i="90" s="1"/>
  <c r="L83" i="90" s="1"/>
  <c r="J42" i="90"/>
  <c r="I117" i="90"/>
  <c r="J22" i="90"/>
  <c r="I59" i="90"/>
  <c r="J59" i="90" s="1"/>
  <c r="L59" i="90" s="1"/>
  <c r="I104" i="90"/>
  <c r="I80" i="90"/>
  <c r="J80" i="90" s="1"/>
  <c r="L80" i="90" s="1"/>
  <c r="J8" i="90"/>
  <c r="I97" i="90"/>
  <c r="I53" i="90"/>
  <c r="J53" i="90" s="1"/>
  <c r="L115" i="90"/>
  <c r="L45" i="90"/>
  <c r="K98" i="90"/>
  <c r="L98" i="90" s="1"/>
  <c r="K54" i="90"/>
  <c r="L54" i="90" s="1"/>
  <c r="L9" i="90"/>
  <c r="K102" i="90"/>
  <c r="K57" i="90"/>
  <c r="L26" i="90"/>
  <c r="K108" i="90"/>
  <c r="L108" i="90" s="1"/>
  <c r="K63" i="90"/>
  <c r="L63" i="90" s="1"/>
  <c r="I103" i="90"/>
  <c r="I58" i="90"/>
  <c r="J58" i="90" s="1"/>
  <c r="L58" i="90" s="1"/>
  <c r="J21" i="90"/>
  <c r="L33" i="90"/>
  <c r="J115" i="90"/>
  <c r="K82" i="90"/>
  <c r="K100" i="90"/>
  <c r="K55" i="90"/>
  <c r="I84" i="90"/>
  <c r="J84" i="90" s="1"/>
  <c r="L84" i="90" s="1"/>
  <c r="I118" i="90"/>
  <c r="J43" i="90"/>
  <c r="K81" i="90"/>
  <c r="L81" i="90" s="1"/>
  <c r="L10" i="90"/>
  <c r="K99" i="90"/>
  <c r="L99" i="90" s="1"/>
  <c r="I119" i="90"/>
  <c r="J44" i="90"/>
  <c r="I85" i="90"/>
  <c r="J85" i="90" s="1"/>
  <c r="L85" i="90" s="1"/>
  <c r="L69" i="90"/>
  <c r="L53" i="90"/>
  <c r="J20" i="90"/>
  <c r="J102" i="90" s="1"/>
  <c r="I102" i="90"/>
  <c r="I57" i="90"/>
  <c r="J57" i="90" s="1"/>
  <c r="L60" i="90"/>
  <c r="G72" i="90"/>
  <c r="J114" i="90"/>
  <c r="L114" i="90" s="1"/>
  <c r="L32" i="90"/>
  <c r="L26" i="87"/>
  <c r="L9" i="87"/>
  <c r="L116" i="87"/>
  <c r="L108" i="87"/>
  <c r="L21" i="89"/>
  <c r="L29" i="89"/>
  <c r="I67" i="89"/>
  <c r="J67" i="89" s="1"/>
  <c r="I112" i="89"/>
  <c r="J30" i="89"/>
  <c r="J112" i="89" s="1"/>
  <c r="I114" i="89"/>
  <c r="I69" i="89"/>
  <c r="J69" i="89" s="1"/>
  <c r="L69" i="89" s="1"/>
  <c r="J32" i="89"/>
  <c r="J44" i="89"/>
  <c r="J119" i="89" s="1"/>
  <c r="I85" i="89"/>
  <c r="J85" i="89" s="1"/>
  <c r="I119" i="89"/>
  <c r="L110" i="89"/>
  <c r="K112" i="89"/>
  <c r="K67" i="89"/>
  <c r="I59" i="89"/>
  <c r="J59" i="89" s="1"/>
  <c r="I104" i="89"/>
  <c r="J22" i="89"/>
  <c r="J104" i="89" s="1"/>
  <c r="K108" i="89"/>
  <c r="L108" i="89" s="1"/>
  <c r="L26" i="89"/>
  <c r="K63" i="89"/>
  <c r="L63" i="89" s="1"/>
  <c r="I118" i="89"/>
  <c r="J43" i="89"/>
  <c r="I84" i="89"/>
  <c r="J84" i="89" s="1"/>
  <c r="L84" i="89" s="1"/>
  <c r="I106" i="89"/>
  <c r="I61" i="89"/>
  <c r="J61" i="89" s="1"/>
  <c r="L61" i="89" s="1"/>
  <c r="J24" i="89"/>
  <c r="L83" i="89"/>
  <c r="K101" i="89"/>
  <c r="L101" i="89" s="1"/>
  <c r="K56" i="89"/>
  <c r="L56" i="89" s="1"/>
  <c r="L12" i="89"/>
  <c r="K109" i="89"/>
  <c r="K64" i="89"/>
  <c r="G121" i="89"/>
  <c r="G72" i="89"/>
  <c r="K104" i="89"/>
  <c r="L22" i="89"/>
  <c r="K59" i="89"/>
  <c r="I109" i="89"/>
  <c r="I64" i="89"/>
  <c r="J64" i="89" s="1"/>
  <c r="J27" i="89"/>
  <c r="J109" i="89" s="1"/>
  <c r="L33" i="89"/>
  <c r="L60" i="89"/>
  <c r="I82" i="89"/>
  <c r="J82" i="89" s="1"/>
  <c r="L82" i="89" s="1"/>
  <c r="I55" i="89"/>
  <c r="J55" i="89" s="1"/>
  <c r="L55" i="89" s="1"/>
  <c r="J11" i="89"/>
  <c r="I100" i="89"/>
  <c r="L111" i="89"/>
  <c r="K81" i="89"/>
  <c r="K99" i="89"/>
  <c r="L8" i="89"/>
  <c r="I81" i="89"/>
  <c r="J81" i="89" s="1"/>
  <c r="J10" i="89"/>
  <c r="J99" i="89" s="1"/>
  <c r="I99" i="89"/>
  <c r="K54" i="89"/>
  <c r="L54" i="89" s="1"/>
  <c r="K98" i="89"/>
  <c r="L98" i="89" s="1"/>
  <c r="L9" i="89"/>
  <c r="K85" i="89"/>
  <c r="K119" i="89"/>
  <c r="I79" i="89"/>
  <c r="J79" i="89" s="1"/>
  <c r="L79" i="89" s="1"/>
  <c r="I96" i="89"/>
  <c r="J7" i="89"/>
  <c r="I119" i="88"/>
  <c r="J44" i="88"/>
  <c r="I85" i="88"/>
  <c r="J85" i="88" s="1"/>
  <c r="K102" i="88"/>
  <c r="K57" i="88"/>
  <c r="J20" i="88"/>
  <c r="J102" i="88" s="1"/>
  <c r="I102" i="88"/>
  <c r="I57" i="88"/>
  <c r="J57" i="88" s="1"/>
  <c r="K114" i="88"/>
  <c r="L114" i="88" s="1"/>
  <c r="K69" i="88"/>
  <c r="L69" i="88" s="1"/>
  <c r="L32" i="88"/>
  <c r="I103" i="88"/>
  <c r="I58" i="88"/>
  <c r="J58" i="88" s="1"/>
  <c r="J21" i="88"/>
  <c r="J103" i="88" s="1"/>
  <c r="K83" i="88"/>
  <c r="L83" i="88" s="1"/>
  <c r="L42" i="88"/>
  <c r="K117" i="88"/>
  <c r="L117" i="88" s="1"/>
  <c r="K82" i="88"/>
  <c r="K55" i="88"/>
  <c r="K100" i="88"/>
  <c r="K101" i="88"/>
  <c r="K56" i="88"/>
  <c r="G87" i="88"/>
  <c r="I84" i="88"/>
  <c r="J84" i="88" s="1"/>
  <c r="I118" i="88"/>
  <c r="J43" i="88"/>
  <c r="J118" i="88" s="1"/>
  <c r="I63" i="88"/>
  <c r="J63" i="88" s="1"/>
  <c r="I108" i="88"/>
  <c r="J26" i="88"/>
  <c r="J108" i="88" s="1"/>
  <c r="K118" i="88"/>
  <c r="K84" i="88"/>
  <c r="K109" i="88"/>
  <c r="L109" i="88" s="1"/>
  <c r="K64" i="88"/>
  <c r="L64" i="88" s="1"/>
  <c r="L27" i="88"/>
  <c r="I56" i="88"/>
  <c r="J56" i="88" s="1"/>
  <c r="I101" i="88"/>
  <c r="J12" i="88"/>
  <c r="J101" i="88" s="1"/>
  <c r="I68" i="88"/>
  <c r="J68" i="88" s="1"/>
  <c r="L68" i="88" s="1"/>
  <c r="J31" i="88"/>
  <c r="I113" i="88"/>
  <c r="I98" i="88"/>
  <c r="I54" i="88"/>
  <c r="J54" i="88" s="1"/>
  <c r="J9" i="88"/>
  <c r="J98" i="88" s="1"/>
  <c r="K70" i="88"/>
  <c r="L70" i="88" s="1"/>
  <c r="K115" i="88"/>
  <c r="L115" i="88" s="1"/>
  <c r="L33" i="88"/>
  <c r="K110" i="88"/>
  <c r="L110" i="88" s="1"/>
  <c r="L28" i="88"/>
  <c r="K65" i="88"/>
  <c r="L65" i="88" s="1"/>
  <c r="K81" i="88"/>
  <c r="L81" i="88" s="1"/>
  <c r="K99" i="88"/>
  <c r="L99" i="88" s="1"/>
  <c r="L10" i="88"/>
  <c r="K66" i="88"/>
  <c r="K111" i="88"/>
  <c r="L79" i="88"/>
  <c r="J45" i="88"/>
  <c r="I86" i="88"/>
  <c r="J86" i="88" s="1"/>
  <c r="L86" i="88" s="1"/>
  <c r="I120" i="88"/>
  <c r="K98" i="88"/>
  <c r="K54" i="88"/>
  <c r="L54" i="88" s="1"/>
  <c r="J30" i="88"/>
  <c r="I67" i="88"/>
  <c r="J67" i="88" s="1"/>
  <c r="L67" i="88" s="1"/>
  <c r="I112" i="88"/>
  <c r="L25" i="88"/>
  <c r="K62" i="88"/>
  <c r="L62" i="88" s="1"/>
  <c r="K107" i="88"/>
  <c r="L107" i="88" s="1"/>
  <c r="K71" i="88"/>
  <c r="K116" i="88"/>
  <c r="I60" i="88"/>
  <c r="J60" i="88" s="1"/>
  <c r="L60" i="88" s="1"/>
  <c r="J23" i="88"/>
  <c r="I105" i="88"/>
  <c r="I111" i="88"/>
  <c r="I66" i="88"/>
  <c r="J66" i="88" s="1"/>
  <c r="J29" i="88"/>
  <c r="J111" i="88" s="1"/>
  <c r="J11" i="88"/>
  <c r="J100" i="88" s="1"/>
  <c r="I55" i="88"/>
  <c r="J55" i="88" s="1"/>
  <c r="I82" i="88"/>
  <c r="J82" i="88" s="1"/>
  <c r="I100" i="88"/>
  <c r="K106" i="88"/>
  <c r="L106" i="88" s="1"/>
  <c r="K61" i="88"/>
  <c r="L61" i="88" s="1"/>
  <c r="L24" i="88"/>
  <c r="K97" i="88"/>
  <c r="L97" i="88" s="1"/>
  <c r="K53" i="88"/>
  <c r="L53" i="88" s="1"/>
  <c r="K80" i="88"/>
  <c r="L80" i="88" s="1"/>
  <c r="L8" i="88"/>
  <c r="J22" i="88"/>
  <c r="I59" i="88"/>
  <c r="J59" i="88" s="1"/>
  <c r="L59" i="88" s="1"/>
  <c r="I104" i="88"/>
  <c r="K63" i="88"/>
  <c r="L26" i="88"/>
  <c r="K108" i="88"/>
  <c r="L85" i="88"/>
  <c r="K58" i="88"/>
  <c r="L21" i="88"/>
  <c r="K103" i="88"/>
  <c r="I71" i="88"/>
  <c r="J71" i="88" s="1"/>
  <c r="I116" i="88"/>
  <c r="J34" i="88"/>
  <c r="J116" i="88" s="1"/>
  <c r="L61" i="87"/>
  <c r="L69" i="87"/>
  <c r="I84" i="87"/>
  <c r="J84" i="87" s="1"/>
  <c r="I118" i="87"/>
  <c r="J43" i="87"/>
  <c r="J118" i="87" s="1"/>
  <c r="K113" i="87"/>
  <c r="K68" i="87"/>
  <c r="I111" i="87"/>
  <c r="J29" i="87"/>
  <c r="J111" i="87" s="1"/>
  <c r="I66" i="87"/>
  <c r="J66" i="87" s="1"/>
  <c r="L10" i="87"/>
  <c r="K81" i="87"/>
  <c r="L81" i="87" s="1"/>
  <c r="K99" i="87"/>
  <c r="L99" i="87" s="1"/>
  <c r="K58" i="87"/>
  <c r="K103" i="87"/>
  <c r="K110" i="87"/>
  <c r="L110" i="87" s="1"/>
  <c r="L28" i="87"/>
  <c r="K65" i="87"/>
  <c r="L65" i="87" s="1"/>
  <c r="K105" i="87"/>
  <c r="K60" i="87"/>
  <c r="L32" i="87"/>
  <c r="K109" i="87"/>
  <c r="L109" i="87" s="1"/>
  <c r="L27" i="87"/>
  <c r="K64" i="87"/>
  <c r="L64" i="87" s="1"/>
  <c r="J31" i="87"/>
  <c r="J113" i="87" s="1"/>
  <c r="I113" i="87"/>
  <c r="I68" i="87"/>
  <c r="J68" i="87" s="1"/>
  <c r="L119" i="87"/>
  <c r="L34" i="87"/>
  <c r="L79" i="87"/>
  <c r="J45" i="87"/>
  <c r="J120" i="87" s="1"/>
  <c r="I86" i="87"/>
  <c r="J86" i="87" s="1"/>
  <c r="I120" i="87"/>
  <c r="J30" i="87"/>
  <c r="I67" i="87"/>
  <c r="J67" i="87" s="1"/>
  <c r="L67" i="87" s="1"/>
  <c r="I112" i="87"/>
  <c r="J22" i="87"/>
  <c r="I59" i="87"/>
  <c r="J59" i="87" s="1"/>
  <c r="L59" i="87" s="1"/>
  <c r="I104" i="87"/>
  <c r="K102" i="87"/>
  <c r="L102" i="87" s="1"/>
  <c r="L20" i="87"/>
  <c r="K57" i="87"/>
  <c r="L57" i="87" s="1"/>
  <c r="L45" i="87"/>
  <c r="K86" i="87"/>
  <c r="K120" i="87"/>
  <c r="K66" i="87"/>
  <c r="K111" i="87"/>
  <c r="L117" i="87"/>
  <c r="I115" i="87"/>
  <c r="J33" i="87"/>
  <c r="I70" i="87"/>
  <c r="J70" i="87" s="1"/>
  <c r="L70" i="87" s="1"/>
  <c r="I80" i="87"/>
  <c r="J80" i="87" s="1"/>
  <c r="L80" i="87" s="1"/>
  <c r="J8" i="87"/>
  <c r="I53" i="87"/>
  <c r="J53" i="87" s="1"/>
  <c r="L53" i="87" s="1"/>
  <c r="I97" i="87"/>
  <c r="J23" i="87"/>
  <c r="J105" i="87" s="1"/>
  <c r="I105" i="87"/>
  <c r="I60" i="87"/>
  <c r="J60" i="87" s="1"/>
  <c r="K118" i="87"/>
  <c r="K84" i="87"/>
  <c r="I107" i="87"/>
  <c r="J25" i="87"/>
  <c r="I62" i="87"/>
  <c r="J62" i="87" s="1"/>
  <c r="L62" i="87" s="1"/>
  <c r="L11" i="87"/>
  <c r="K82" i="87"/>
  <c r="L82" i="87" s="1"/>
  <c r="K100" i="87"/>
  <c r="L100" i="87" s="1"/>
  <c r="K55" i="87"/>
  <c r="L55" i="87" s="1"/>
  <c r="I56" i="87"/>
  <c r="J56" i="87" s="1"/>
  <c r="L56" i="87" s="1"/>
  <c r="I101" i="87"/>
  <c r="J12" i="87"/>
  <c r="L44" i="87"/>
  <c r="I103" i="87"/>
  <c r="I58" i="87"/>
  <c r="J58" i="87" s="1"/>
  <c r="J21" i="87"/>
  <c r="J103" i="87" s="1"/>
  <c r="L42" i="87"/>
  <c r="G121" i="80"/>
  <c r="J114" i="80"/>
  <c r="L114" i="80" s="1"/>
  <c r="L32" i="80"/>
  <c r="J43" i="80"/>
  <c r="J117" i="80"/>
  <c r="L117" i="80" s="1"/>
  <c r="J120" i="80"/>
  <c r="L120" i="80" s="1"/>
  <c r="L113" i="80"/>
  <c r="J20" i="80"/>
  <c r="L20" i="80" s="1"/>
  <c r="J33" i="80"/>
  <c r="J34" i="80"/>
  <c r="L34" i="80" s="1"/>
  <c r="J29" i="80"/>
  <c r="L29" i="80" s="1"/>
  <c r="J103" i="80"/>
  <c r="L103" i="80" s="1"/>
  <c r="J28" i="80"/>
  <c r="L28" i="80" s="1"/>
  <c r="J25" i="80"/>
  <c r="L25" i="80" s="1"/>
  <c r="L109" i="80"/>
  <c r="J104" i="80"/>
  <c r="L104" i="80" s="1"/>
  <c r="J105" i="80"/>
  <c r="L105" i="80" s="1"/>
  <c r="J30" i="80"/>
  <c r="J26" i="80"/>
  <c r="L26" i="80" s="1"/>
  <c r="L10" i="80"/>
  <c r="J99" i="80"/>
  <c r="L7" i="80"/>
  <c r="J96" i="80"/>
  <c r="L96" i="80" s="1"/>
  <c r="L11" i="80"/>
  <c r="L8" i="80"/>
  <c r="J97" i="80"/>
  <c r="L97" i="80" s="1"/>
  <c r="J98" i="80"/>
  <c r="L98" i="80" s="1"/>
  <c r="L12" i="80"/>
  <c r="J101" i="80"/>
  <c r="L101" i="80" s="1"/>
  <c r="E121" i="80"/>
  <c r="L23" i="80"/>
  <c r="G72" i="80"/>
  <c r="L106" i="80"/>
  <c r="L21" i="80"/>
  <c r="G87" i="80"/>
  <c r="L69" i="80"/>
  <c r="L85" i="80"/>
  <c r="L64" i="80"/>
  <c r="L68" i="80"/>
  <c r="L61" i="80"/>
  <c r="E87" i="80"/>
  <c r="E72" i="80"/>
  <c r="L43" i="91" l="1"/>
  <c r="L23" i="91"/>
  <c r="L60" i="91"/>
  <c r="L25" i="91"/>
  <c r="L66" i="91"/>
  <c r="L56" i="91"/>
  <c r="L101" i="90"/>
  <c r="L55" i="90"/>
  <c r="L100" i="90"/>
  <c r="L82" i="90"/>
  <c r="L87" i="90" s="1"/>
  <c r="E7" i="92" s="1"/>
  <c r="L11" i="90"/>
  <c r="L56" i="90"/>
  <c r="L67" i="89"/>
  <c r="L81" i="89"/>
  <c r="L66" i="88"/>
  <c r="L57" i="88"/>
  <c r="L98" i="88"/>
  <c r="L55" i="88"/>
  <c r="L63" i="88"/>
  <c r="L103" i="88"/>
  <c r="L108" i="88"/>
  <c r="L100" i="88"/>
  <c r="L84" i="88"/>
  <c r="L43" i="87"/>
  <c r="L118" i="87"/>
  <c r="L60" i="87"/>
  <c r="L58" i="87"/>
  <c r="L70" i="91"/>
  <c r="L71" i="91"/>
  <c r="L62" i="91"/>
  <c r="L105" i="91"/>
  <c r="L107" i="91"/>
  <c r="L111" i="91"/>
  <c r="L118" i="91"/>
  <c r="J112" i="91"/>
  <c r="L112" i="91" s="1"/>
  <c r="L30" i="91"/>
  <c r="L21" i="91"/>
  <c r="L34" i="91"/>
  <c r="L97" i="91"/>
  <c r="L54" i="91"/>
  <c r="L120" i="91"/>
  <c r="L98" i="91"/>
  <c r="L53" i="91"/>
  <c r="L84" i="91"/>
  <c r="L87" i="91" s="1"/>
  <c r="L58" i="91"/>
  <c r="L116" i="91"/>
  <c r="L9" i="91"/>
  <c r="J119" i="91"/>
  <c r="L119" i="91" s="1"/>
  <c r="L44" i="91"/>
  <c r="L108" i="91"/>
  <c r="L68" i="91"/>
  <c r="J104" i="91"/>
  <c r="L104" i="91" s="1"/>
  <c r="L22" i="91"/>
  <c r="L45" i="91"/>
  <c r="L46" i="91" s="1"/>
  <c r="L33" i="91"/>
  <c r="L12" i="91"/>
  <c r="L63" i="91"/>
  <c r="L103" i="91"/>
  <c r="L29" i="91"/>
  <c r="L113" i="91"/>
  <c r="J111" i="90"/>
  <c r="L111" i="90" s="1"/>
  <c r="L29" i="90"/>
  <c r="J118" i="90"/>
  <c r="L118" i="90" s="1"/>
  <c r="L43" i="90"/>
  <c r="L57" i="90"/>
  <c r="J104" i="90"/>
  <c r="L104" i="90" s="1"/>
  <c r="L22" i="90"/>
  <c r="L20" i="90"/>
  <c r="J103" i="90"/>
  <c r="L103" i="90" s="1"/>
  <c r="L21" i="90"/>
  <c r="L102" i="90"/>
  <c r="J117" i="90"/>
  <c r="L117" i="90" s="1"/>
  <c r="L42" i="90"/>
  <c r="J119" i="90"/>
  <c r="L119" i="90" s="1"/>
  <c r="L44" i="90"/>
  <c r="J97" i="90"/>
  <c r="L97" i="90" s="1"/>
  <c r="L8" i="90"/>
  <c r="L12" i="90"/>
  <c r="J112" i="90"/>
  <c r="L112" i="90" s="1"/>
  <c r="L30" i="90"/>
  <c r="L21" i="87"/>
  <c r="L103" i="87"/>
  <c r="L111" i="87"/>
  <c r="L120" i="87"/>
  <c r="L30" i="89"/>
  <c r="L119" i="89"/>
  <c r="L112" i="89"/>
  <c r="L99" i="89"/>
  <c r="L59" i="89"/>
  <c r="J96" i="89"/>
  <c r="L96" i="89" s="1"/>
  <c r="L7" i="89"/>
  <c r="L104" i="89"/>
  <c r="L10" i="89"/>
  <c r="J118" i="89"/>
  <c r="L118" i="89" s="1"/>
  <c r="L43" i="89"/>
  <c r="L46" i="89" s="1"/>
  <c r="L32" i="89"/>
  <c r="J114" i="89"/>
  <c r="L114" i="89" s="1"/>
  <c r="L27" i="89"/>
  <c r="L44" i="89"/>
  <c r="L64" i="89"/>
  <c r="L24" i="89"/>
  <c r="J106" i="89"/>
  <c r="L106" i="89" s="1"/>
  <c r="J100" i="89"/>
  <c r="L100" i="89" s="1"/>
  <c r="L11" i="89"/>
  <c r="L109" i="89"/>
  <c r="L85" i="89"/>
  <c r="J113" i="88"/>
  <c r="L113" i="88" s="1"/>
  <c r="L31" i="88"/>
  <c r="J104" i="88"/>
  <c r="L104" i="88" s="1"/>
  <c r="L22" i="88"/>
  <c r="L43" i="88"/>
  <c r="L82" i="88"/>
  <c r="J120" i="88"/>
  <c r="L120" i="88" s="1"/>
  <c r="L45" i="88"/>
  <c r="L118" i="88"/>
  <c r="L11" i="88"/>
  <c r="L20" i="88"/>
  <c r="L102" i="88"/>
  <c r="L116" i="88"/>
  <c r="J112" i="88"/>
  <c r="L112" i="88" s="1"/>
  <c r="L30" i="88"/>
  <c r="L56" i="88"/>
  <c r="L71" i="88"/>
  <c r="L72" i="88" s="1"/>
  <c r="D5" i="92" s="1"/>
  <c r="L9" i="88"/>
  <c r="L13" i="88" s="1"/>
  <c r="L111" i="88"/>
  <c r="L12" i="88"/>
  <c r="J119" i="88"/>
  <c r="L119" i="88" s="1"/>
  <c r="L44" i="88"/>
  <c r="L58" i="88"/>
  <c r="J105" i="88"/>
  <c r="L105" i="88" s="1"/>
  <c r="L23" i="88"/>
  <c r="L34" i="88"/>
  <c r="L29" i="88"/>
  <c r="L101" i="88"/>
  <c r="J112" i="87"/>
  <c r="L112" i="87" s="1"/>
  <c r="L30" i="87"/>
  <c r="L84" i="87"/>
  <c r="J97" i="87"/>
  <c r="L97" i="87" s="1"/>
  <c r="L8" i="87"/>
  <c r="L66" i="87"/>
  <c r="L105" i="87"/>
  <c r="L23" i="87"/>
  <c r="L113" i="87"/>
  <c r="L25" i="87"/>
  <c r="J107" i="87"/>
  <c r="L107" i="87" s="1"/>
  <c r="L46" i="87"/>
  <c r="J104" i="87"/>
  <c r="L104" i="87" s="1"/>
  <c r="L22" i="87"/>
  <c r="L33" i="87"/>
  <c r="J115" i="87"/>
  <c r="L115" i="87" s="1"/>
  <c r="L86" i="87"/>
  <c r="L31" i="87"/>
  <c r="J101" i="87"/>
  <c r="L101" i="87" s="1"/>
  <c r="L12" i="87"/>
  <c r="L29" i="87"/>
  <c r="L68" i="87"/>
  <c r="L13" i="80"/>
  <c r="L83" i="80"/>
  <c r="L59" i="80"/>
  <c r="L81" i="80"/>
  <c r="L79" i="80"/>
  <c r="L86" i="80"/>
  <c r="L82" i="80"/>
  <c r="L100" i="80"/>
  <c r="L60" i="80"/>
  <c r="L53" i="80"/>
  <c r="L55" i="80"/>
  <c r="L58" i="80"/>
  <c r="L56" i="80"/>
  <c r="L84" i="80"/>
  <c r="J118" i="80"/>
  <c r="L118" i="80" s="1"/>
  <c r="L99" i="80"/>
  <c r="L43" i="80"/>
  <c r="L46" i="80" s="1"/>
  <c r="L67" i="80"/>
  <c r="J112" i="80"/>
  <c r="L112" i="80" s="1"/>
  <c r="L30" i="80"/>
  <c r="J110" i="80"/>
  <c r="L110" i="80" s="1"/>
  <c r="L65" i="80"/>
  <c r="J116" i="80"/>
  <c r="L116" i="80" s="1"/>
  <c r="L71" i="80"/>
  <c r="L70" i="80"/>
  <c r="J115" i="80"/>
  <c r="L115" i="80" s="1"/>
  <c r="J107" i="80"/>
  <c r="L107" i="80" s="1"/>
  <c r="L62" i="80"/>
  <c r="L33" i="80"/>
  <c r="L54" i="80"/>
  <c r="L57" i="80"/>
  <c r="J102" i="80"/>
  <c r="L102" i="80" s="1"/>
  <c r="L66" i="80"/>
  <c r="J111" i="80"/>
  <c r="L111" i="80" s="1"/>
  <c r="L80" i="80"/>
  <c r="J108" i="80"/>
  <c r="L108" i="80" s="1"/>
  <c r="L63" i="80"/>
  <c r="L13" i="91" l="1"/>
  <c r="L72" i="91"/>
  <c r="E6" i="92" s="1"/>
  <c r="L72" i="90"/>
  <c r="E5" i="92" s="1"/>
  <c r="L35" i="89"/>
  <c r="L72" i="89"/>
  <c r="D6" i="92" s="1"/>
  <c r="L87" i="89"/>
  <c r="L121" i="89"/>
  <c r="L87" i="88"/>
  <c r="D7" i="92" s="1"/>
  <c r="L35" i="87"/>
  <c r="L72" i="87"/>
  <c r="C6" i="92" s="1"/>
  <c r="L87" i="87"/>
  <c r="L35" i="91"/>
  <c r="L121" i="91"/>
  <c r="L121" i="90"/>
  <c r="L35" i="90"/>
  <c r="L46" i="90"/>
  <c r="L13" i="90"/>
  <c r="L13" i="89"/>
  <c r="L121" i="88"/>
  <c r="L46" i="88"/>
  <c r="L35" i="88"/>
  <c r="L13" i="87"/>
  <c r="L121" i="87"/>
  <c r="L87" i="80"/>
  <c r="C7" i="92" s="1"/>
  <c r="L35" i="80"/>
  <c r="L121" i="80"/>
  <c r="L72" i="80"/>
  <c r="C5" i="92" s="1"/>
  <c r="C58" i="26" l="1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F8" i="55" l="1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T243" i="31" l="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S84" i="31" l="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S254" i="31" l="1"/>
  <c r="U254" i="31" s="1"/>
  <c r="T254" i="31"/>
</calcChain>
</file>

<file path=xl/sharedStrings.xml><?xml version="1.0" encoding="utf-8"?>
<sst xmlns="http://schemas.openxmlformats.org/spreadsheetml/2006/main" count="7703" uniqueCount="2599">
  <si>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</si>
  <si>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</si>
  <si>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</si>
  <si>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</si>
  <si>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</si>
  <si>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</si>
  <si>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</si>
  <si>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</si>
  <si>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</si>
  <si>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</si>
  <si>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</si>
  <si>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</si>
  <si>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</si>
  <si>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</si>
  <si>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</si>
  <si>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</si>
  <si>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</si>
  <si>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</si>
  <si>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</si>
  <si>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</si>
  <si>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</si>
  <si>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</si>
  <si>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</si>
  <si>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</si>
  <si>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</si>
  <si>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</si>
  <si>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</si>
  <si>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</si>
  <si>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</si>
  <si>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</si>
  <si>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</si>
  <si>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</si>
  <si>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</si>
  <si>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</si>
  <si>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</si>
  <si>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</si>
  <si>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</si>
  <si>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</si>
  <si>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</si>
  <si>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</si>
  <si>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</si>
  <si>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</si>
  <si>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</si>
  <si>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</si>
  <si>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</si>
  <si>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</si>
  <si>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</si>
  <si>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</si>
  <si>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</si>
  <si>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</si>
  <si>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</si>
  <si>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</si>
  <si>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</si>
  <si>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</si>
  <si>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</si>
  <si>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</si>
  <si>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</si>
  <si>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</si>
  <si>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</si>
  <si>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</si>
  <si>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</si>
  <si>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</si>
  <si>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</si>
  <si>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</si>
  <si>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</si>
  <si>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</si>
  <si>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</si>
  <si>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</si>
  <si>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</si>
  <si>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</si>
  <si>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</si>
  <si>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</si>
  <si>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</si>
  <si>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</si>
  <si>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</si>
  <si>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</si>
  <si>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</si>
  <si>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</si>
  <si>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</si>
  <si>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</si>
  <si>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</si>
  <si>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</si>
  <si>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</si>
  <si>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</si>
  <si>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</si>
  <si>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</si>
  <si>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</si>
  <si>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</si>
  <si>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</si>
  <si>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</si>
  <si>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</si>
  <si>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</si>
  <si>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</si>
  <si>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</si>
  <si>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</si>
  <si>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</si>
  <si>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</si>
  <si>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</si>
  <si>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</si>
  <si>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</si>
  <si>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</si>
  <si>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</si>
  <si>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</si>
  <si>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</si>
  <si>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</si>
  <si>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</si>
  <si>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</si>
  <si>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</si>
  <si>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</si>
  <si>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</si>
  <si>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</si>
  <si>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</si>
  <si>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</si>
  <si>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</si>
  <si>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</si>
  <si>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</si>
  <si>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</si>
  <si>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</si>
  <si>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</si>
  <si>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</si>
  <si>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</si>
  <si>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</si>
  <si>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</si>
  <si>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</si>
  <si>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</si>
  <si>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</si>
  <si>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</si>
  <si>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</si>
  <si>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</si>
  <si>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</si>
  <si>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</si>
  <si>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</si>
  <si>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</si>
  <si>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</si>
  <si>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</si>
  <si>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</si>
  <si>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</si>
  <si>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</si>
  <si>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</si>
  <si>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</si>
  <si>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</si>
  <si>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</si>
  <si>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</si>
  <si>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</si>
  <si>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</si>
  <si>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</si>
  <si>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</si>
  <si>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</si>
  <si>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</si>
  <si>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</si>
  <si>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</si>
  <si>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</si>
  <si>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</si>
  <si>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</si>
  <si>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</si>
  <si>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</si>
  <si>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</si>
  <si>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</si>
  <si>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</si>
  <si>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</si>
  <si>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</si>
  <si>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</si>
  <si>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</si>
  <si>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</si>
  <si>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</si>
  <si>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</si>
  <si>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</si>
  <si>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</si>
  <si>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</si>
  <si>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</si>
  <si>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</si>
  <si>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</si>
  <si>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</si>
  <si>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</si>
  <si>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</si>
  <si>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</si>
  <si>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</si>
  <si>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</si>
  <si>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</si>
  <si>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</si>
  <si>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</si>
  <si>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</si>
  <si>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</si>
  <si>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</si>
  <si>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</si>
  <si>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</si>
  <si>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</si>
  <si>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</si>
  <si>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</si>
  <si>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</si>
  <si>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</si>
  <si>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</si>
  <si>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</si>
  <si>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</si>
  <si>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</si>
  <si>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</si>
  <si>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</si>
  <si>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</si>
  <si>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</si>
  <si>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</si>
  <si>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</si>
  <si>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</si>
  <si>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</si>
  <si>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</si>
  <si>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</si>
  <si>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</si>
  <si>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</si>
  <si>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</si>
  <si>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</si>
  <si>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</si>
  <si>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</si>
  <si>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</si>
  <si>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</si>
  <si>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</si>
  <si>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</si>
  <si>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</si>
  <si>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</si>
  <si>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</si>
  <si>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</si>
  <si>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</si>
  <si>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</si>
  <si>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</si>
  <si>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</si>
  <si>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</si>
  <si>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</si>
  <si>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</si>
  <si>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</si>
  <si>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</si>
  <si>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</si>
  <si>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</si>
  <si>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</si>
  <si>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</si>
  <si>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</si>
  <si>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</si>
  <si>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</si>
  <si>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</si>
  <si>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</si>
  <si>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</si>
  <si>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</si>
  <si>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</si>
  <si>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</si>
  <si>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</si>
  <si>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</si>
  <si>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</si>
  <si>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</si>
  <si>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</si>
  <si>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</si>
  <si>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</si>
  <si>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</si>
  <si>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</si>
  <si>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</si>
  <si>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</si>
  <si>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</si>
  <si>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</si>
  <si>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</si>
  <si>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</si>
  <si>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</si>
  <si>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</si>
  <si>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</si>
  <si>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</si>
  <si>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</si>
  <si>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</si>
  <si>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</si>
  <si>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</si>
  <si>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</si>
  <si>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</si>
  <si>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</si>
  <si>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</si>
  <si>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</si>
  <si>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</si>
  <si>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</si>
  <si>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</si>
  <si>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</si>
  <si>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</si>
  <si>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</si>
  <si>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</si>
  <si>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</si>
  <si>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</si>
  <si>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</si>
  <si>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</si>
  <si>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</si>
  <si>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</si>
  <si>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</si>
  <si>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</si>
  <si>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</si>
  <si>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</si>
  <si>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</si>
  <si>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</si>
  <si>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</si>
  <si>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</si>
  <si>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</si>
  <si>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</si>
  <si>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</si>
  <si>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</si>
  <si>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</si>
  <si>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</si>
  <si>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</si>
  <si>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</si>
  <si>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</si>
  <si>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</si>
  <si>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</si>
  <si>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</si>
  <si>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</si>
  <si>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</si>
  <si>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</si>
  <si>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</si>
  <si>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</si>
  <si>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</si>
  <si>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</si>
  <si>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</si>
  <si>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</si>
  <si>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</si>
  <si>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</si>
  <si>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</si>
  <si>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</si>
  <si>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</si>
  <si>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</si>
  <si>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</si>
  <si>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</si>
  <si>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</si>
  <si>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</si>
  <si>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</si>
  <si>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</si>
  <si>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</si>
  <si>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</si>
  <si>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</si>
  <si>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</si>
  <si>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</si>
  <si>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</si>
  <si>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</si>
  <si>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</si>
  <si>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</si>
  <si>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</si>
  <si>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</si>
  <si>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</si>
  <si>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</si>
  <si>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</si>
  <si>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</si>
  <si>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</si>
  <si>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</si>
  <si>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</si>
  <si>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</si>
  <si>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</si>
  <si>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</si>
  <si>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</si>
  <si>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</si>
  <si>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</si>
  <si>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</si>
  <si>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</si>
  <si>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</si>
  <si>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</si>
  <si>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</si>
  <si>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</si>
  <si>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</si>
  <si>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</si>
  <si>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</si>
  <si>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</si>
  <si>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</si>
  <si>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</si>
  <si>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</si>
  <si>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</si>
  <si>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</si>
  <si>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</si>
  <si>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</si>
  <si>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</si>
  <si>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</si>
  <si>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</si>
  <si>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</si>
  <si>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</si>
  <si>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</si>
  <si>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</si>
  <si>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</si>
  <si>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</si>
  <si>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</si>
  <si>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</si>
  <si>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</si>
  <si>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</si>
  <si>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</si>
  <si>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</si>
  <si>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</si>
  <si>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</si>
  <si>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</si>
  <si>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</si>
  <si>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</si>
  <si>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</si>
  <si>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</si>
  <si>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</si>
  <si>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</si>
  <si>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</si>
  <si>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</si>
  <si>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</si>
  <si>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</si>
  <si>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</si>
  <si>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</si>
  <si>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</si>
  <si>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</si>
  <si>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</si>
  <si>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</si>
  <si>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</si>
  <si>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</si>
  <si>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</si>
  <si>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</si>
  <si>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</si>
  <si>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</si>
  <si>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</si>
  <si>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</si>
  <si>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</si>
  <si>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</si>
  <si>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</si>
  <si>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</si>
  <si>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</si>
  <si>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</si>
  <si>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</si>
  <si>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</si>
  <si>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</si>
  <si>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</si>
  <si>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</si>
  <si>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</si>
  <si>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</si>
  <si>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</si>
  <si>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</si>
  <si>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</si>
  <si>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</si>
  <si>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</si>
  <si>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</si>
  <si>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</si>
  <si>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</si>
  <si>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</si>
  <si>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</si>
  <si>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</si>
  <si>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</si>
  <si>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</si>
  <si>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</si>
  <si>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</si>
  <si>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</si>
  <si>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</si>
  <si>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</si>
  <si>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</si>
  <si>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</si>
  <si>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</si>
  <si>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</si>
  <si>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</si>
  <si>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</si>
  <si>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</si>
  <si>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</si>
  <si>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</si>
  <si>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</si>
  <si>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</si>
  <si>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</si>
  <si>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</si>
  <si>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</si>
  <si>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</si>
  <si>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</si>
  <si>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</si>
  <si>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</si>
  <si>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</si>
  <si>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</si>
  <si>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</si>
  <si>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</si>
  <si>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</si>
  <si>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</si>
  <si>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</si>
  <si>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</si>
  <si>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</si>
  <si>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</si>
  <si>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</si>
  <si>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</si>
  <si>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</si>
  <si>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</si>
  <si>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</si>
  <si>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</si>
  <si>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</si>
  <si>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</si>
  <si>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</si>
  <si>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</si>
  <si>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</si>
  <si>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</si>
  <si>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</si>
  <si>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</si>
  <si>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</si>
  <si>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</si>
  <si>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</si>
  <si>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</si>
  <si>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</si>
  <si>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</si>
  <si>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</si>
  <si>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</si>
  <si>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</si>
  <si>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</si>
  <si>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</si>
  <si>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</si>
  <si>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</si>
  <si>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</si>
  <si>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</si>
  <si>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</si>
  <si>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</si>
  <si>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</si>
  <si>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</si>
  <si>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</si>
  <si>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</si>
  <si>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</si>
  <si>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</si>
  <si>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</si>
  <si>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</si>
  <si>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</si>
  <si>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</si>
  <si>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</si>
  <si>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</si>
  <si>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</si>
  <si>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</si>
  <si>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</si>
  <si>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</si>
  <si>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</si>
  <si>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</si>
  <si>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</si>
  <si>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</si>
  <si>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</si>
  <si>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</si>
  <si>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</si>
  <si>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</si>
  <si>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</si>
  <si>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</si>
  <si>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</si>
  <si>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</si>
  <si>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</si>
  <si>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</si>
  <si>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</si>
  <si>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</si>
  <si>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</si>
  <si>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</si>
  <si>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</si>
  <si>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</si>
  <si>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</si>
  <si>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</si>
  <si>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</si>
  <si>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</si>
  <si>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</si>
  <si>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</si>
  <si>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</si>
  <si>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</si>
  <si>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</si>
  <si>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</si>
  <si>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</si>
  <si>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</si>
  <si>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</si>
  <si>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</si>
  <si>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</si>
  <si>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</si>
  <si>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</si>
  <si>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</si>
  <si>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</si>
  <si>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</si>
  <si>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</si>
  <si>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</si>
  <si>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</si>
  <si>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</si>
  <si>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</si>
  <si>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</si>
  <si>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</si>
  <si>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</si>
  <si>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</si>
  <si>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</si>
  <si>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</si>
  <si>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</si>
  <si>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</si>
  <si>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</si>
  <si>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</si>
  <si>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</si>
  <si>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</si>
  <si>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</si>
  <si>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</si>
  <si>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</si>
  <si>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</si>
  <si>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</si>
  <si>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</si>
  <si>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</si>
  <si>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</si>
  <si>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</si>
  <si>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</si>
  <si>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</si>
  <si>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</si>
  <si>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</si>
  <si>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</si>
  <si>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</si>
  <si>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</si>
  <si>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</si>
  <si>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</si>
  <si>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</si>
  <si>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</si>
  <si>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</si>
  <si>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</si>
  <si>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</si>
  <si>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</si>
  <si>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</si>
  <si>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</si>
  <si>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</si>
  <si>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</si>
  <si>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</si>
  <si>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</si>
  <si>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</si>
  <si>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</si>
  <si>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</si>
  <si>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</si>
  <si>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</si>
  <si>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</si>
  <si>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</si>
  <si>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</si>
  <si>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</si>
  <si>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</si>
  <si>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</si>
  <si>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</si>
  <si>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</si>
  <si>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</si>
  <si>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</si>
  <si>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</si>
  <si>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</si>
  <si>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</si>
  <si>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</si>
  <si>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</si>
  <si>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</si>
  <si>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</si>
  <si>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</si>
  <si>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</si>
  <si>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</si>
  <si>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</si>
  <si>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</si>
  <si>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</si>
  <si>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</si>
  <si>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</si>
  <si>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</si>
  <si>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</si>
  <si>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</si>
  <si>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</si>
  <si>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</si>
  <si>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</si>
  <si>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</si>
  <si>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</si>
  <si>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</si>
  <si>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</si>
  <si>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</si>
  <si>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</si>
  <si>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</si>
  <si>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</si>
  <si>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</si>
  <si>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</si>
  <si>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</si>
  <si>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</si>
  <si>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</si>
  <si>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</si>
  <si>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</si>
  <si>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</si>
  <si>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</si>
  <si>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</si>
  <si>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</si>
  <si>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</si>
  <si>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</si>
  <si>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</si>
  <si>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</si>
  <si>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</si>
  <si>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</si>
  <si>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</si>
  <si>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</si>
  <si>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</si>
  <si>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</si>
  <si>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</si>
  <si>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</si>
  <si>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</si>
  <si>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</si>
  <si>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</si>
  <si>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</si>
  <si>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</si>
  <si>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</si>
  <si>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</si>
  <si>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</si>
  <si>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</si>
  <si>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</si>
  <si>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</si>
  <si>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</si>
  <si>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</si>
  <si>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</si>
  <si>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</si>
  <si>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</si>
  <si>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</si>
  <si>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</si>
  <si>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</si>
  <si>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</si>
  <si>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</si>
  <si>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</si>
  <si>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</si>
  <si>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</si>
  <si>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</si>
  <si>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</si>
  <si>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</si>
  <si>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</si>
  <si>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</si>
  <si>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</si>
  <si>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</si>
  <si>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</si>
  <si>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</si>
  <si>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</si>
  <si>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</si>
  <si>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</si>
  <si>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</si>
  <si>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</si>
  <si>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</si>
  <si>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</si>
  <si>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</si>
  <si>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</si>
  <si>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</si>
  <si>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</si>
  <si>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</si>
  <si>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</si>
  <si>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</si>
  <si>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</si>
  <si>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</si>
  <si>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</si>
  <si>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</si>
  <si>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</si>
  <si>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</si>
  <si>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</si>
  <si>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</si>
  <si>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</si>
  <si>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</si>
  <si>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</si>
  <si>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</si>
  <si>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</si>
  <si>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</si>
  <si>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</si>
  <si>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</si>
  <si>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</si>
  <si>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</si>
  <si>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</si>
  <si>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</si>
  <si>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</si>
  <si>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</si>
  <si>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</si>
  <si>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</si>
  <si>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</si>
  <si>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</si>
  <si>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</si>
  <si>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</si>
  <si>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</si>
  <si>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</si>
  <si>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</si>
  <si>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</si>
  <si>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</si>
  <si>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</si>
  <si>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</si>
  <si>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</si>
  <si>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</si>
  <si>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</si>
  <si>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</si>
  <si>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</si>
  <si>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</si>
  <si>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</si>
  <si>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</si>
  <si>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</si>
  <si>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</si>
  <si>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</si>
  <si>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</si>
  <si>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</si>
  <si>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</si>
  <si>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</si>
  <si>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</si>
  <si>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</si>
  <si>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</si>
  <si>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</si>
  <si>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</si>
  <si>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</si>
  <si>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</si>
  <si>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</si>
  <si>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</si>
  <si>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</si>
  <si>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</si>
  <si>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</si>
  <si>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</si>
  <si>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</si>
  <si>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</si>
  <si>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</si>
  <si>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</si>
  <si>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</si>
  <si>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</si>
  <si>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</si>
  <si>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</si>
  <si>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</si>
  <si>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</si>
  <si>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</si>
  <si>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</si>
  <si>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</si>
  <si>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</si>
  <si>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</si>
  <si>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</si>
  <si>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</si>
  <si>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</si>
  <si>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</si>
  <si>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</si>
  <si>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</si>
  <si>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</si>
  <si>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</si>
  <si>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</si>
  <si>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</si>
  <si>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</si>
  <si>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</si>
  <si>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</si>
  <si>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</si>
  <si>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</si>
  <si>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</si>
  <si>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</si>
  <si>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</si>
  <si>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</si>
  <si>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</si>
  <si>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</si>
  <si>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</si>
  <si>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</si>
  <si>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</si>
  <si>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</si>
  <si>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</si>
  <si>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</si>
  <si>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</si>
  <si>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</si>
  <si>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</si>
  <si>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</si>
  <si>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</si>
  <si>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</si>
  <si>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</si>
  <si>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</si>
  <si>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</si>
  <si>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</si>
  <si>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</si>
  <si>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</si>
  <si>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</si>
  <si>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</si>
  <si>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</si>
  <si>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</si>
  <si>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</si>
  <si>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</si>
  <si>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</si>
  <si>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</si>
  <si>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</si>
  <si>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</si>
  <si>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</si>
  <si>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</si>
  <si>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</si>
  <si>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</si>
  <si>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</si>
  <si>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</si>
  <si>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</si>
  <si>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</si>
  <si>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</si>
  <si>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</si>
  <si>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</si>
  <si>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</si>
  <si>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</si>
  <si>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</si>
  <si>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</si>
  <si>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</si>
  <si>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</si>
  <si>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</si>
  <si>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</si>
  <si>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</si>
  <si>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</si>
  <si>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</si>
  <si>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</si>
  <si>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</si>
  <si>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</si>
  <si>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</si>
  <si>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</si>
  <si>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</si>
  <si>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</si>
  <si>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</si>
  <si>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</si>
  <si>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</si>
  <si>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</si>
  <si>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</si>
  <si>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</si>
  <si>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</si>
  <si>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</si>
  <si>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</si>
  <si>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</si>
  <si>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</si>
  <si>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</si>
  <si>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</si>
  <si>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</si>
  <si>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</si>
  <si>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</si>
  <si>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</si>
  <si>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</si>
  <si>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</si>
  <si>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</si>
  <si>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</si>
  <si>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</si>
  <si>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</si>
  <si>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</si>
  <si>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</si>
  <si>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</si>
  <si>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</si>
  <si>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</si>
  <si>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</si>
  <si>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</si>
  <si>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</si>
  <si>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</si>
  <si>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</si>
  <si>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</si>
  <si>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</si>
  <si>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</si>
  <si>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</si>
  <si>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</si>
  <si>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</si>
  <si>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</si>
  <si>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</si>
  <si>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</si>
  <si>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</si>
  <si>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</si>
  <si>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</si>
  <si>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</si>
  <si>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</si>
  <si>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</si>
  <si>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</si>
  <si>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</si>
  <si>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</si>
  <si>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</si>
  <si>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</si>
  <si>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</si>
  <si>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</si>
  <si>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</si>
  <si>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</si>
  <si>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</si>
  <si>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</si>
  <si>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</si>
  <si>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</si>
  <si>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</si>
  <si>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</si>
  <si>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</si>
  <si>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</si>
  <si>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</si>
  <si>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</si>
  <si>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</si>
  <si>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</si>
  <si>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</si>
  <si>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</si>
  <si>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</si>
  <si>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</si>
  <si>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</si>
  <si>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</si>
  <si>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</si>
  <si>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</si>
  <si>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</si>
  <si>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</si>
  <si>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</si>
  <si>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</si>
  <si>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</si>
  <si>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</si>
  <si>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</si>
  <si>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</si>
  <si>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</si>
  <si>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</si>
  <si>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</si>
  <si>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</si>
  <si>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</si>
  <si>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</si>
  <si>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</si>
  <si>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</si>
  <si>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</si>
  <si>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</si>
  <si>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</si>
  <si>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</si>
  <si>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</si>
  <si>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</si>
  <si>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</si>
  <si>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</si>
  <si>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</si>
  <si>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</si>
  <si>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</si>
  <si>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</si>
  <si>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</si>
  <si>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</si>
  <si>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</si>
  <si>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</si>
  <si>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</si>
  <si>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</si>
  <si>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</si>
  <si>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</si>
  <si>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</si>
  <si>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</si>
  <si>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</si>
  <si>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</si>
  <si>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</si>
  <si>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</si>
  <si>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</si>
  <si>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</si>
  <si>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</si>
  <si>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</si>
  <si>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</si>
  <si>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</si>
  <si>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</si>
  <si>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</si>
  <si>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</si>
  <si>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</si>
  <si>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</si>
  <si>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</si>
  <si>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</si>
  <si>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</si>
  <si>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</si>
  <si>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</si>
  <si>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</si>
  <si>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</si>
  <si>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</si>
  <si>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</si>
  <si>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</si>
  <si>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</si>
  <si>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</si>
  <si>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</si>
  <si>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</si>
  <si>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</si>
  <si>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</si>
  <si>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</si>
  <si>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</si>
  <si>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</si>
  <si>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</si>
  <si>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</si>
  <si>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</si>
  <si>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</si>
  <si>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</si>
  <si>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</si>
  <si>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</si>
  <si>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</si>
  <si>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</si>
  <si>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</si>
  <si>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</si>
  <si>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</si>
  <si>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</si>
  <si>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</si>
  <si>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</si>
  <si>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</si>
  <si>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</si>
  <si>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</si>
  <si>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</si>
  <si>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</si>
  <si>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</si>
  <si>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</si>
  <si>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</si>
  <si>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</si>
  <si>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</si>
  <si>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</si>
  <si>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</si>
  <si>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</si>
  <si>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</si>
  <si>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</si>
  <si>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</si>
  <si>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</si>
  <si>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</si>
  <si>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</si>
  <si>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</si>
  <si>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</si>
  <si>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</si>
  <si>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</si>
  <si>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</si>
  <si>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</si>
  <si>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</si>
  <si>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</si>
  <si>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</si>
  <si>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</si>
  <si>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</si>
  <si>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</si>
  <si>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</si>
  <si>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</si>
  <si>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</si>
  <si>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</si>
  <si>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</si>
  <si>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</si>
  <si>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</si>
  <si>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</si>
  <si>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</si>
  <si>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</si>
  <si>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</si>
  <si>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</si>
  <si>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</si>
  <si>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</si>
  <si>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</si>
  <si>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</si>
  <si>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</si>
  <si>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</si>
  <si>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</si>
  <si>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</si>
  <si>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</si>
  <si>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</si>
  <si>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</si>
  <si>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</si>
  <si>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</si>
  <si>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</si>
  <si>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</si>
  <si>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</si>
  <si>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</si>
  <si>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</si>
  <si>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</si>
  <si>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</si>
  <si>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</si>
  <si>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</si>
  <si>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</si>
  <si>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</si>
  <si>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</si>
  <si>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</si>
  <si>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</si>
  <si>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</si>
  <si>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</si>
  <si>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</si>
  <si>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</si>
  <si>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</si>
  <si>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</si>
  <si>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</si>
  <si>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</si>
  <si>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</si>
  <si>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</si>
  <si>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</si>
  <si>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</si>
  <si>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</si>
  <si>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</si>
  <si>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</si>
  <si>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</si>
  <si>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</si>
  <si>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</si>
  <si>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</si>
  <si>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</si>
  <si>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</si>
  <si>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</si>
  <si>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</si>
  <si>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</si>
  <si>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</si>
  <si>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</si>
  <si>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</si>
  <si>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</si>
  <si>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</si>
  <si>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</si>
  <si>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</si>
  <si>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</si>
  <si>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</si>
  <si>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</si>
  <si>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</si>
  <si>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</si>
  <si>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</si>
  <si>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</si>
  <si>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</si>
  <si>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</si>
  <si>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</si>
  <si>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</si>
  <si>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</si>
  <si>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</si>
  <si>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</si>
  <si>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</si>
  <si>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</si>
  <si>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</si>
  <si>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</si>
  <si>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</si>
  <si>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</si>
  <si>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</si>
  <si>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</si>
  <si>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</si>
  <si>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</si>
  <si>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</si>
  <si>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</si>
  <si>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</si>
  <si>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</si>
  <si>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</si>
  <si>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</si>
  <si>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</si>
  <si>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</si>
  <si>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</si>
  <si>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</si>
  <si>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</si>
  <si>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</si>
  <si>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</si>
  <si>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</si>
  <si>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</si>
  <si>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</si>
  <si>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</si>
  <si>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</si>
  <si>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</si>
  <si>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</si>
  <si>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</si>
  <si>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</si>
  <si>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</si>
  <si>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</si>
  <si>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</si>
  <si>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</si>
  <si>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</si>
  <si>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</si>
  <si>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</si>
  <si>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</si>
  <si>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</si>
  <si>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</si>
  <si>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</si>
  <si>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</si>
  <si>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</si>
  <si>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</si>
  <si>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</si>
  <si>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</si>
  <si>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</si>
  <si>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</si>
  <si>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</si>
  <si>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</si>
  <si>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</si>
  <si>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</si>
  <si>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</si>
  <si>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</si>
  <si>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</si>
  <si>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</si>
  <si>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</si>
  <si>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</si>
  <si>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</si>
  <si>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</si>
  <si>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</si>
  <si>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</si>
  <si>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</si>
  <si>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</si>
  <si>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</si>
  <si>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</si>
  <si>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</si>
  <si>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</si>
  <si>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</si>
  <si>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</si>
  <si>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</si>
  <si>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</si>
  <si>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</si>
  <si>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</si>
  <si>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</si>
  <si>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</si>
  <si>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</si>
  <si>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</si>
  <si>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</si>
  <si>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</si>
  <si>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</si>
  <si>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</si>
  <si>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</si>
  <si>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</si>
  <si>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</si>
  <si>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</si>
  <si>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</si>
  <si>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</si>
  <si>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</si>
  <si>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</si>
  <si>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</si>
  <si>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</si>
  <si>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</si>
  <si>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</si>
  <si>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</si>
  <si>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</si>
  <si>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</si>
  <si>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</si>
  <si>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</si>
  <si>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</si>
  <si>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</si>
  <si>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</si>
  <si>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</si>
  <si>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</si>
  <si>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</si>
  <si>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</si>
  <si>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</si>
  <si>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</si>
  <si>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</si>
  <si>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</si>
  <si>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</si>
  <si>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</si>
  <si>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</si>
  <si>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</si>
  <si>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</si>
  <si>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</si>
  <si>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</si>
  <si>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</si>
  <si>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</si>
  <si>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</si>
  <si>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</si>
  <si>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</si>
  <si>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</si>
  <si>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</si>
  <si>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</si>
  <si>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</si>
  <si>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</si>
  <si>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</si>
  <si>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</si>
  <si>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</si>
  <si>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</si>
  <si>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</si>
  <si>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</si>
  <si>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</si>
  <si>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</si>
  <si>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</si>
  <si>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</si>
  <si>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</si>
  <si>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</si>
  <si>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</si>
  <si>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</si>
  <si>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</si>
  <si>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</si>
  <si>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</si>
  <si>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</si>
  <si>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</si>
  <si>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</si>
  <si>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</si>
  <si>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</si>
  <si>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</si>
  <si>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</si>
  <si>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</si>
  <si>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</si>
  <si>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</si>
  <si>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</si>
  <si>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</si>
  <si>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</si>
  <si>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</si>
  <si>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</si>
  <si>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</si>
  <si>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</si>
  <si>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</si>
  <si>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</si>
  <si>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</si>
  <si>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</si>
  <si>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</si>
  <si>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</si>
  <si>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</si>
  <si>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</si>
  <si>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</si>
  <si>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</si>
  <si>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</si>
  <si>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</si>
  <si>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</si>
  <si>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</si>
  <si>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</si>
  <si>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</si>
  <si>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</si>
  <si>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</si>
  <si>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</si>
  <si>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</si>
  <si>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</si>
  <si>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</si>
  <si>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</si>
  <si>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</si>
  <si>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</si>
  <si>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</si>
  <si>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</si>
  <si>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</si>
  <si>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</si>
  <si>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</si>
  <si>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</si>
  <si>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</si>
  <si>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</si>
  <si>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</si>
  <si>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</si>
  <si>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</si>
  <si>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</si>
  <si>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</si>
  <si>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</si>
  <si>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</si>
  <si>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</si>
  <si>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</si>
  <si>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</si>
  <si>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</si>
  <si>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</si>
  <si>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</si>
  <si>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</si>
  <si>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</si>
  <si>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</si>
  <si>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</si>
  <si>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</si>
  <si>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</si>
  <si>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</si>
  <si>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</si>
  <si>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</si>
  <si>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</si>
  <si>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</si>
  <si>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</si>
  <si>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</si>
  <si>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</si>
  <si>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</si>
  <si>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</si>
  <si>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</si>
  <si>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</si>
  <si>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</si>
  <si>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</si>
  <si>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</si>
  <si>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</si>
  <si>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</si>
  <si>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</si>
  <si>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</si>
  <si>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</si>
  <si>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</si>
  <si>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</si>
  <si>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</si>
  <si>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</si>
  <si>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</si>
  <si>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</si>
  <si>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</si>
  <si>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</si>
  <si>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</si>
  <si>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</si>
  <si>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</si>
  <si>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</si>
  <si>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</si>
  <si>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</si>
  <si>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</si>
  <si>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</si>
  <si>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</si>
  <si>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</si>
  <si>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</si>
  <si>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</si>
  <si>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</si>
  <si>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</si>
  <si>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</si>
  <si>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</si>
  <si>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</si>
  <si>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</si>
  <si>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</si>
  <si>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</si>
  <si>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</si>
  <si>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</si>
  <si>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</si>
  <si>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</si>
  <si>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</si>
  <si>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</si>
  <si>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</si>
  <si>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</si>
  <si>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</si>
  <si>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</si>
  <si>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</si>
  <si>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</si>
  <si>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</si>
  <si>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</si>
  <si>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</si>
  <si>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</si>
  <si>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</si>
  <si>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</si>
  <si>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</si>
  <si>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</si>
  <si>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</si>
  <si>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</si>
  <si>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</si>
  <si>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</si>
  <si>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</si>
  <si>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</si>
  <si>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</si>
  <si>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</si>
  <si>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</si>
  <si>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</si>
  <si>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</si>
  <si>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</si>
  <si>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</si>
  <si>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</si>
  <si>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</si>
  <si>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</si>
  <si>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</si>
  <si>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</si>
  <si>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</si>
  <si>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</si>
  <si>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</si>
  <si>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</si>
  <si>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</si>
  <si>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</si>
  <si>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</si>
  <si>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</si>
  <si>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</si>
  <si>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</si>
  <si>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</si>
  <si>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</si>
  <si>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</si>
  <si>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</si>
  <si>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</si>
  <si>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</si>
  <si>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</si>
  <si>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</si>
  <si>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</si>
  <si>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</si>
  <si>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</si>
  <si>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</si>
  <si>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</si>
  <si>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</si>
  <si>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</si>
  <si>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</si>
  <si>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</si>
  <si>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</si>
  <si>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</si>
  <si>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</si>
  <si>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</si>
  <si>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</si>
  <si>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</si>
  <si>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</si>
  <si>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</si>
  <si>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</si>
  <si>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</si>
  <si>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</si>
  <si>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</si>
  <si>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</si>
  <si>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</si>
  <si>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</si>
  <si>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</si>
  <si>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</si>
  <si>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</si>
  <si>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</si>
  <si>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</si>
  <si>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</si>
  <si>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</si>
  <si>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</si>
  <si>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</si>
  <si>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</si>
  <si>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</si>
  <si>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</si>
  <si>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</si>
  <si>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</si>
  <si>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</si>
  <si>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</si>
  <si>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</si>
  <si>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</si>
  <si>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</si>
  <si>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</si>
  <si>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</si>
  <si>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</si>
  <si>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</si>
  <si>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</si>
  <si>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</si>
  <si>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</si>
  <si>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</si>
  <si>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</si>
  <si>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</si>
  <si>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</si>
  <si>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</si>
  <si>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</si>
  <si>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</si>
  <si>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</si>
  <si>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</si>
  <si>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</si>
  <si>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</si>
  <si>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</si>
  <si>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</si>
  <si>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</si>
  <si>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</si>
  <si>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</si>
  <si>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</si>
  <si>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</si>
  <si>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</si>
  <si>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</si>
  <si>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</si>
  <si>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</si>
  <si>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</si>
  <si>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</si>
  <si>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</si>
  <si>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</si>
  <si>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</si>
  <si>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</si>
  <si>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</si>
  <si>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</si>
  <si>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</si>
  <si>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</si>
  <si>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</si>
  <si>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</si>
  <si>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</si>
  <si>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</si>
  <si>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</si>
  <si>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</si>
  <si>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</si>
  <si>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</si>
  <si>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</si>
  <si>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</si>
  <si>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</si>
  <si>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</si>
  <si>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</si>
  <si>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</si>
  <si>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</si>
  <si>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</si>
  <si>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</si>
  <si>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</si>
  <si>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</si>
  <si>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</si>
  <si>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</si>
  <si>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</si>
  <si>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</si>
  <si>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</si>
  <si>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</si>
  <si>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</si>
  <si>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</si>
  <si>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</si>
  <si>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</si>
  <si>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</si>
  <si>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</si>
  <si>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</si>
  <si>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</si>
  <si>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</si>
  <si>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</si>
  <si>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</si>
  <si>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</si>
  <si>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</si>
  <si>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</si>
  <si>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</si>
  <si>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</si>
  <si>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</si>
  <si>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</si>
  <si>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</si>
  <si>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</si>
  <si>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</si>
  <si>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</si>
  <si>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</si>
  <si>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</si>
  <si>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</si>
  <si>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</si>
  <si>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</si>
  <si>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</si>
  <si>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</si>
  <si>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</si>
  <si>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</si>
  <si>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</si>
  <si>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</si>
  <si>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</si>
  <si>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</si>
  <si>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</si>
  <si>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</si>
  <si>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</si>
  <si>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</si>
  <si>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</si>
  <si>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</si>
  <si>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</si>
  <si>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</si>
  <si>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</si>
  <si>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</si>
  <si>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</si>
  <si>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</si>
  <si>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</si>
  <si>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</si>
  <si>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</si>
  <si>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</si>
  <si>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</si>
  <si>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</si>
  <si>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</si>
  <si>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</si>
  <si>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</si>
  <si>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</si>
  <si>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</si>
  <si>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</si>
  <si>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</si>
  <si>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</si>
  <si>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</si>
  <si>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</si>
  <si>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</si>
  <si>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</si>
  <si>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</si>
  <si>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</si>
  <si>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</si>
  <si>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</si>
  <si>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</si>
  <si>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</si>
  <si>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</si>
  <si>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</si>
  <si>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</si>
  <si>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</si>
  <si>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</si>
  <si>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</si>
  <si>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</si>
  <si>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</si>
  <si>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</si>
  <si>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</si>
  <si>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</si>
  <si>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</si>
  <si>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</si>
  <si>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</si>
  <si>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</si>
  <si>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</si>
  <si>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</si>
  <si>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</si>
  <si>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</si>
  <si>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</si>
  <si>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</si>
  <si>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</si>
  <si>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</si>
  <si>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</si>
  <si>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</si>
  <si>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</si>
  <si>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</si>
  <si>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</si>
  <si>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</si>
  <si>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</si>
  <si>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</si>
  <si>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</si>
  <si>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</si>
  <si>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</si>
  <si>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</si>
  <si>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</si>
  <si>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</si>
  <si>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</si>
  <si>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</si>
  <si>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</si>
  <si>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</si>
  <si>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</si>
  <si>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</si>
  <si>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</si>
  <si>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</si>
  <si>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</si>
  <si>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</si>
  <si>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</si>
  <si>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</si>
  <si>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</si>
  <si>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</si>
  <si>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</si>
  <si>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</si>
  <si>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</si>
  <si>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</si>
  <si>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</si>
  <si>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</si>
  <si>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</si>
  <si>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</si>
  <si>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</si>
  <si>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</si>
  <si>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</si>
  <si>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</si>
  <si>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</si>
  <si>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</si>
  <si>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</si>
  <si>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</si>
  <si>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</si>
  <si>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</si>
  <si>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</si>
  <si>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</si>
  <si>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</si>
  <si>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</si>
  <si>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</si>
  <si>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</si>
  <si>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</si>
  <si>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</si>
  <si>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</si>
  <si>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</si>
  <si>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</si>
  <si>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</si>
  <si>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</si>
  <si>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</si>
  <si>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</si>
  <si>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</si>
  <si>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</si>
  <si>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</si>
  <si>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</si>
  <si>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</si>
  <si>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</si>
  <si>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</si>
  <si>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</si>
  <si>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</si>
  <si>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</si>
  <si>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</si>
  <si>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</si>
  <si>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</si>
  <si>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</si>
  <si>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</si>
  <si>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</si>
  <si>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</si>
  <si>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</si>
  <si>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</si>
  <si>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</si>
  <si>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</si>
  <si>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</si>
  <si>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</si>
  <si>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</si>
  <si>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</si>
  <si>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</si>
  <si>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</si>
  <si>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</si>
  <si>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</si>
  <si>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</si>
  <si>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</si>
  <si>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</si>
  <si>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</si>
  <si>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</si>
  <si>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</si>
  <si>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</si>
  <si>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</si>
  <si>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</si>
  <si>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</si>
  <si>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</si>
  <si>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</si>
  <si>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</si>
  <si>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</si>
  <si>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</si>
  <si>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</si>
  <si>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</si>
  <si>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</si>
  <si>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</si>
  <si>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</si>
  <si>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</si>
  <si>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</si>
  <si>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</si>
  <si>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</si>
  <si>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</si>
  <si>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</si>
  <si>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</si>
  <si>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</si>
  <si>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</si>
  <si>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</si>
  <si>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</si>
  <si>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</si>
  <si>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</si>
  <si>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</si>
  <si>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</si>
  <si>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</si>
  <si>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</si>
  <si>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</si>
  <si>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</si>
  <si>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</si>
  <si>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</si>
  <si>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</si>
  <si>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</si>
  <si>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</si>
  <si>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</si>
  <si>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</si>
  <si>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</si>
  <si>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</si>
  <si>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</si>
  <si>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</si>
  <si>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</si>
  <si>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</si>
  <si>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</si>
  <si>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</si>
  <si>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</si>
  <si>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</si>
  <si>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</si>
  <si>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</si>
  <si>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</si>
  <si>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</si>
  <si>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</si>
  <si>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</si>
  <si>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</si>
  <si>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</si>
  <si>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</si>
  <si>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</si>
  <si>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</si>
  <si>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</si>
  <si>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</si>
  <si>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</si>
  <si>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</si>
  <si>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</si>
  <si>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</si>
  <si>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</si>
  <si>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</si>
  <si>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</si>
  <si>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</si>
  <si>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</si>
  <si>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</si>
  <si>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</si>
  <si>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</si>
  <si>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</si>
  <si>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</si>
  <si>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</si>
  <si>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</si>
  <si>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</si>
  <si>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</si>
  <si>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</si>
  <si>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</si>
  <si>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</si>
  <si>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</si>
  <si>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</si>
  <si>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</si>
  <si>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</si>
  <si>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</si>
  <si>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</si>
  <si>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</si>
  <si>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</si>
  <si>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</si>
  <si>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</si>
  <si>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</si>
  <si>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</si>
  <si>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</si>
  <si>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</si>
  <si>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</si>
  <si>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</si>
  <si>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</si>
  <si>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</si>
  <si>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</si>
  <si>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</si>
  <si>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</si>
  <si>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</si>
  <si>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</si>
  <si>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</si>
  <si>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</si>
  <si>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</si>
  <si>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</si>
  <si>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</si>
  <si>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</si>
  <si>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</si>
  <si>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</si>
  <si>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</si>
  <si>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</si>
  <si>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</si>
  <si>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</si>
  <si>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</si>
  <si>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</si>
  <si>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</si>
  <si>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</si>
  <si>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</si>
  <si>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</si>
  <si>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</si>
  <si>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</si>
  <si>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</si>
  <si>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</si>
  <si>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</si>
  <si>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</si>
  <si>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</si>
  <si>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</si>
  <si>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</si>
  <si>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</si>
  <si>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</si>
  <si>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</si>
  <si>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</si>
  <si>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</si>
  <si>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</si>
  <si>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</si>
  <si>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</si>
  <si>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</si>
  <si>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</si>
  <si>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</si>
  <si>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</si>
  <si>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</si>
  <si>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</si>
  <si>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</si>
  <si>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</si>
  <si>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</si>
  <si>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</si>
  <si>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</si>
  <si>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</si>
  <si>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</si>
  <si>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</si>
  <si>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</si>
  <si>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</si>
  <si>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</si>
  <si>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</si>
  <si>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</si>
  <si>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</si>
  <si>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</si>
  <si>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</si>
  <si>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</si>
  <si>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</si>
  <si>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</si>
  <si>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</si>
  <si>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</si>
  <si>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</si>
  <si>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</si>
  <si>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</si>
  <si>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</si>
  <si>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</si>
  <si>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</si>
  <si>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</si>
  <si>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</si>
  <si>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</si>
  <si>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</si>
  <si>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</si>
  <si>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</si>
  <si>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</si>
  <si>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</si>
  <si>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</si>
  <si>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</si>
  <si>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</si>
  <si>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</si>
  <si>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</si>
  <si>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</si>
  <si>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</si>
  <si>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</si>
  <si>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</si>
  <si>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</si>
  <si>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</si>
  <si>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</si>
  <si>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</si>
  <si>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</si>
  <si>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</si>
  <si>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</si>
  <si>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</si>
  <si>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</si>
  <si>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</si>
  <si>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</si>
  <si>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</si>
  <si>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</si>
  <si>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</si>
  <si>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</si>
  <si>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</si>
  <si>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</si>
  <si>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</si>
  <si>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</si>
  <si>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</si>
  <si>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</si>
  <si>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</si>
  <si>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</si>
  <si>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</si>
  <si>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</si>
  <si>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</si>
  <si>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</si>
  <si>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</si>
  <si>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</si>
  <si>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</si>
  <si>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</si>
  <si>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</si>
  <si>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</si>
  <si>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</si>
  <si>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</si>
  <si>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</si>
  <si>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</si>
  <si>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</si>
  <si>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</si>
  <si>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</si>
  <si>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</si>
  <si>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</si>
  <si>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</si>
  <si>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</si>
  <si>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</si>
  <si>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</si>
  <si>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</si>
  <si>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</si>
  <si>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</si>
  <si>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</si>
  <si>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</si>
  <si>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</si>
  <si>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</si>
  <si>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</si>
  <si>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</si>
  <si>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</si>
  <si>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</si>
  <si>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</si>
  <si>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</si>
  <si>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</si>
  <si>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</si>
  <si>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</si>
  <si>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</si>
  <si>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</si>
  <si>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</si>
  <si>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</si>
  <si>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</si>
  <si>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</si>
  <si>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</si>
  <si>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</si>
  <si>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</si>
  <si>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</si>
  <si>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</si>
  <si>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</si>
  <si>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</si>
  <si>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</si>
  <si>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</si>
  <si>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</si>
  <si>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</si>
  <si>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</si>
  <si>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</si>
  <si>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</si>
  <si>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</si>
  <si>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</si>
  <si>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</si>
  <si>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</si>
  <si>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</si>
  <si>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</si>
  <si>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</si>
  <si>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</si>
  <si>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</si>
  <si>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</si>
  <si>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</si>
  <si>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</si>
  <si>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</si>
  <si>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</si>
  <si>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</si>
  <si>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</si>
  <si>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</si>
  <si>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</si>
  <si>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</si>
  <si>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</si>
  <si>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</si>
  <si>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</si>
  <si>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</si>
  <si>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</si>
  <si>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</si>
  <si>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</si>
  <si>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</si>
  <si>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</si>
  <si>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</si>
  <si>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</si>
  <si>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</si>
  <si>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</si>
  <si>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</si>
  <si>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</si>
  <si>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</si>
  <si>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</si>
  <si>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</si>
  <si>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</si>
  <si>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</si>
  <si>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</si>
  <si>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</si>
  <si>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</si>
  <si>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</si>
  <si>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</si>
  <si>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</si>
  <si>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</si>
  <si>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</si>
  <si>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</si>
  <si>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</si>
  <si>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</si>
  <si>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</si>
  <si>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</si>
  <si>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</si>
  <si>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</si>
  <si>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</si>
  <si>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</si>
  <si>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</si>
  <si>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</si>
  <si>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</si>
  <si>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</si>
  <si>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</si>
  <si>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</si>
  <si>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</si>
  <si>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</si>
  <si>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</si>
  <si>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</si>
  <si>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</si>
  <si>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</si>
  <si>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</si>
  <si>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</si>
  <si>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</si>
  <si>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</si>
  <si>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</si>
  <si>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</si>
  <si>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</si>
  <si>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</si>
  <si>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</si>
  <si>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</si>
  <si>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</si>
  <si>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</si>
  <si>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</si>
  <si>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</si>
  <si>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</si>
  <si>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</si>
  <si>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</si>
  <si>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</si>
  <si>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</si>
  <si>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</si>
  <si>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</si>
  <si>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</si>
  <si>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</si>
  <si>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</si>
  <si>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</si>
  <si>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</si>
  <si>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</si>
  <si>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</si>
  <si>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</si>
  <si>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</si>
  <si>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</si>
  <si>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</si>
  <si>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</si>
  <si>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</si>
  <si>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</si>
  <si>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</si>
  <si>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</si>
  <si>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</si>
  <si>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</si>
  <si>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</si>
  <si>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</si>
  <si>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</si>
  <si>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</si>
  <si>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</si>
  <si>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</si>
  <si>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</si>
  <si>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</si>
  <si>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</si>
  <si>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</si>
  <si>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</si>
  <si>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</si>
  <si>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</si>
  <si>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</si>
  <si>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</si>
  <si>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</si>
  <si>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</si>
  <si>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</si>
  <si>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</si>
  <si>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</si>
  <si>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</si>
  <si>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</si>
  <si>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</si>
  <si>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</si>
  <si>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</si>
  <si>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</si>
  <si>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</si>
  <si>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</si>
  <si>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</si>
  <si>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</si>
  <si>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</si>
  <si>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</si>
  <si>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</si>
  <si>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</si>
  <si>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</si>
  <si>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</si>
  <si>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</si>
  <si>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</si>
  <si>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</si>
  <si>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</si>
  <si>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</si>
  <si>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</si>
  <si>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</si>
  <si>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</si>
  <si>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</si>
  <si>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</si>
  <si>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</si>
  <si>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</si>
  <si>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</si>
  <si>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</si>
  <si>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</si>
  <si>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</si>
  <si>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</si>
  <si>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</si>
  <si>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</si>
  <si>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</si>
  <si>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</si>
  <si>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</si>
  <si>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</si>
  <si>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</si>
  <si>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</si>
  <si>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</si>
  <si>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</si>
  <si>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</si>
  <si>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</si>
  <si>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</si>
  <si>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</si>
  <si>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</si>
  <si>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</si>
  <si>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</si>
  <si>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</si>
  <si>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</si>
  <si>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</si>
  <si>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</si>
  <si>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</si>
  <si>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</si>
  <si>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</si>
  <si>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</si>
  <si>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</si>
  <si>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</si>
  <si>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</si>
  <si>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</si>
  <si>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</si>
  <si>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</si>
  <si>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</si>
  <si>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</si>
  <si>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</si>
  <si>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</si>
  <si>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</si>
  <si>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</si>
  <si>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</si>
  <si>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</si>
  <si>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</si>
  <si>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</si>
  <si>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</si>
  <si>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</si>
  <si>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</si>
  <si>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</si>
  <si>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</si>
  <si>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</si>
  <si>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</si>
  <si>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</si>
  <si>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</si>
  <si>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</si>
  <si>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</si>
  <si>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</si>
  <si>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</si>
  <si>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</si>
  <si>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</si>
  <si>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</si>
  <si>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</si>
  <si>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</si>
  <si>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</si>
  <si>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</si>
  <si>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</si>
  <si>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</si>
  <si>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</si>
  <si>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</si>
  <si>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</si>
  <si>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</si>
  <si>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</si>
  <si>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</si>
  <si>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</si>
  <si>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</si>
  <si>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</si>
  <si>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</si>
  <si>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</si>
  <si>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</si>
  <si>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</si>
  <si>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</si>
  <si>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</si>
  <si>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</si>
  <si>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</si>
  <si>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</si>
  <si>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</si>
  <si>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</si>
  <si>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</si>
  <si>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</si>
  <si>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</si>
  <si>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</si>
  <si>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</si>
  <si>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</si>
  <si>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</si>
  <si>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</si>
  <si>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</si>
  <si>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</si>
  <si>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</si>
  <si>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</si>
  <si>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</si>
  <si>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</si>
  <si>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</si>
  <si>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</si>
  <si>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</si>
  <si>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</si>
  <si>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</si>
  <si>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</si>
  <si>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</si>
  <si>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</si>
  <si>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</si>
  <si>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</si>
  <si>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</si>
  <si>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</si>
  <si>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</si>
  <si>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</si>
  <si>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</si>
  <si>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</si>
  <si>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</si>
  <si>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</si>
  <si>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</si>
  <si>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</si>
  <si>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</si>
  <si>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</si>
  <si>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</si>
  <si>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</si>
  <si>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</si>
  <si>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</si>
  <si>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</si>
  <si>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</si>
  <si>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</si>
  <si>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</si>
  <si>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</si>
  <si>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</si>
  <si>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</si>
  <si>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</si>
  <si>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</si>
  <si>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</si>
  <si>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</si>
  <si>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</si>
  <si>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</si>
  <si>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</si>
  <si>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</si>
  <si>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</si>
  <si>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</si>
  <si>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</si>
  <si>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</si>
  <si>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</si>
  <si>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</si>
  <si>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</si>
  <si>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</si>
  <si>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</si>
  <si>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</si>
  <si>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</si>
  <si>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</si>
  <si>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</si>
  <si>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</si>
  <si>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</si>
  <si>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</si>
  <si>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</si>
  <si>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</si>
  <si>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</si>
  <si>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</si>
  <si>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</si>
  <si>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</si>
  <si>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</si>
  <si>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</si>
  <si>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</si>
  <si>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</si>
  <si>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</si>
  <si>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</si>
  <si>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</si>
  <si>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</si>
  <si>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</si>
  <si>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</si>
  <si>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</si>
  <si>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</si>
  <si>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</si>
  <si>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</si>
  <si>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</si>
  <si>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</si>
  <si>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</si>
  <si>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</si>
  <si>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</si>
  <si>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</si>
  <si>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</si>
  <si>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</si>
  <si>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</si>
  <si>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</si>
  <si>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</si>
  <si>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</si>
  <si>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</si>
  <si>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</si>
  <si>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</si>
  <si>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</si>
  <si>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</si>
  <si>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</si>
  <si>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</si>
  <si>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</si>
  <si>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</si>
  <si>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</si>
  <si>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</si>
  <si>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</si>
  <si>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</si>
  <si>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</si>
  <si>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</si>
  <si>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</si>
  <si>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</si>
  <si>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</si>
  <si>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</si>
  <si>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</si>
  <si>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</si>
  <si>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</si>
  <si>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</si>
  <si>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</si>
  <si>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</si>
  <si>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</si>
  <si>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</si>
  <si>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</si>
  <si>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</si>
  <si>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</si>
  <si>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</si>
  <si>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</si>
  <si>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</si>
  <si>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</si>
  <si>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</si>
  <si>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</si>
  <si>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</si>
  <si>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</si>
  <si>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</si>
  <si>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</si>
  <si>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</si>
  <si>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</si>
  <si>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</si>
  <si>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</si>
  <si>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</si>
  <si>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</si>
  <si>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</si>
  <si>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</si>
  <si>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</si>
  <si>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</si>
  <si>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</si>
  <si>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</si>
  <si>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</si>
  <si>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</si>
  <si>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</si>
  <si>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</si>
  <si>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</si>
  <si>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</si>
  <si>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</si>
  <si>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</si>
  <si>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</si>
  <si>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</si>
  <si>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</si>
  <si>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</si>
  <si>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</si>
  <si>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</si>
  <si>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</si>
  <si>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</si>
  <si>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</si>
  <si>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</si>
  <si>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</si>
  <si>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</si>
  <si>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</si>
  <si>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</si>
  <si>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</si>
  <si>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</si>
  <si>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</si>
  <si>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</si>
  <si>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</si>
  <si>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</si>
  <si>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</si>
  <si>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</si>
  <si>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</si>
  <si>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</si>
  <si>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</si>
  <si>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</si>
  <si>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</si>
  <si>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</si>
  <si>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</si>
  <si>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</si>
  <si>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</si>
  <si>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</si>
  <si>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</si>
  <si>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</si>
  <si>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</si>
  <si>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</si>
  <si>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</si>
  <si>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</si>
  <si>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</si>
  <si>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</si>
  <si>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</si>
  <si>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</si>
  <si>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</si>
  <si>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</si>
  <si>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</si>
  <si>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</si>
  <si>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</si>
  <si>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</si>
  <si>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</si>
  <si>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</si>
  <si>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</si>
  <si>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</si>
  <si>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</si>
  <si>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</si>
  <si>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</si>
  <si>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</si>
  <si>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</si>
  <si>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</si>
  <si>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</si>
  <si>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</si>
  <si>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</si>
  <si>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</si>
  <si>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</si>
  <si>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</si>
  <si>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</si>
  <si>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</si>
  <si>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</si>
  <si>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</si>
  <si>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</si>
  <si>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</si>
  <si>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</si>
  <si>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</si>
  <si>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</si>
  <si>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</si>
  <si>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</si>
  <si>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</si>
  <si>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</si>
  <si>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</si>
  <si>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</si>
  <si>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</si>
  <si>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</si>
  <si>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</si>
  <si>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</si>
  <si>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</si>
  <si>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</si>
  <si>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</si>
  <si>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</si>
  <si>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</si>
  <si>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</si>
  <si>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</si>
  <si>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</si>
  <si>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</si>
  <si>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</si>
  <si>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</si>
  <si>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</si>
  <si>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</si>
  <si>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</si>
  <si>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</si>
  <si>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</si>
  <si>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</si>
  <si>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</si>
  <si>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</si>
  <si>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</si>
  <si>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</si>
  <si>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</si>
  <si>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</si>
  <si>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Figure 19 - Hamada Equation - Adjustment to CAPM Results in Basis Points</t>
  </si>
  <si>
    <t>Proxy Group</t>
  </si>
  <si>
    <t>Average MRP</t>
  </si>
  <si>
    <t>Forward-looking MRP</t>
  </si>
  <si>
    <t>Historical MRP</t>
  </si>
  <si>
    <t>Electric T&amp;D (40%)</t>
  </si>
  <si>
    <t>Electric Generation (45%)</t>
  </si>
  <si>
    <t>Gas Distribution (38%)</t>
  </si>
  <si>
    <t>Capital Asset Pricing Model - Average MRP - Hamada Adjustments</t>
  </si>
  <si>
    <t>Canadian Proxy Group</t>
  </si>
  <si>
    <t>Capital Structure</t>
  </si>
  <si>
    <t>Beta</t>
  </si>
  <si>
    <t>Value Line 2023 Tax Rate</t>
  </si>
  <si>
    <t>2023 Unlevered Beta</t>
  </si>
  <si>
    <t>2023 Beta - Equity at</t>
  </si>
  <si>
    <t>Average Equity Risk Premium</t>
  </si>
  <si>
    <t xml:space="preserve">Hamada 2023 Adjustment - Equity at </t>
  </si>
  <si>
    <t>Based on Operating Company Financials (2023)</t>
  </si>
  <si>
    <t>LT Debt</t>
  </si>
  <si>
    <t>ST Debt</t>
  </si>
  <si>
    <t>Common Equity</t>
  </si>
  <si>
    <t>Preferred Stock</t>
  </si>
  <si>
    <t>AltaGas Limited</t>
  </si>
  <si>
    <t>Fortis, Inc.</t>
  </si>
  <si>
    <t>Hydro One, Ltd.</t>
  </si>
  <si>
    <t>MEAN</t>
  </si>
  <si>
    <t>US Electric Proxy Group</t>
  </si>
  <si>
    <t>Based on Operating Company Financials (2023 Q4)</t>
  </si>
  <si>
    <t>US Gas Proxy Group</t>
  </si>
  <si>
    <t>Atmos Energy Corp.</t>
  </si>
  <si>
    <t>North American Electric Proxy Group</t>
  </si>
  <si>
    <t>North American Gas Proxy Group</t>
  </si>
  <si>
    <t>North American Combined Proxy Group</t>
  </si>
  <si>
    <t>Equity Risk Premium</t>
  </si>
  <si>
    <t>40% or 38%</t>
  </si>
  <si>
    <t>[1] Source: Value Line Investment Survey; Values for ALA, CU, and H derived from financial statements</t>
  </si>
  <si>
    <t>[2] Source: Value Line Investment Survey</t>
  </si>
  <si>
    <t>[3] Equals 100% - [1] - [2]</t>
  </si>
  <si>
    <t>[4] Source: Bloomberg Professional</t>
  </si>
  <si>
    <t>[5] Source: Value Line Investment Survey</t>
  </si>
  <si>
    <t>[6] Equals [4] / (1 + (1 - [5]) x (([1] + [3]) / [2]))</t>
  </si>
  <si>
    <t>[7] Equals [6] x (1 + (1 - [5]) x ((1 - Equity %) / (Equity %)))</t>
  </si>
  <si>
    <t>[8] Source: Exhibit JMC-8.1</t>
  </si>
  <si>
    <t>[9] Equals [8] x ([7] - [4])</t>
  </si>
  <si>
    <t>45% or 38%</t>
  </si>
  <si>
    <t>Capital Asset Pricing Model - Forward MRP - Hamada Adjustments</t>
  </si>
  <si>
    <t>Forward Equity Risk Premium</t>
  </si>
  <si>
    <t>Capital Asset Pricing Model - Historical MRP - Hamada Adjustments</t>
  </si>
  <si>
    <t>Historical Equity Risk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</si>
</sst>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_(* #,##0_);_(* \(#,##0\);_(* &quot;-&quot;??_);_(@_)"/>
    <numFmt numFmtId="173" formatCode="_(* #,##0.0000_);_(* \(#,##0.0000\);_(* &quot;-&quot;??_);_(@_)"/>
    <numFmt numFmtId="174" formatCode="\+0;0;\-0"/>
  </numFmts>
  <fonts count="90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1"/>
      <color rgb="FF0070C0"/>
      <name val="Century Gothic"/>
      <family val="2"/>
    </font>
    <font>
      <i/>
      <sz val="12"/>
      <name val="Times New Roman"/>
      <family val="1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85">
    <xf numFmtId="0" fontId="0" fillId="0" borderId="0"/>
    <xf numFmtId="9" fontId="21" fillId="0" borderId="0" applyFont="0" applyFill="0" applyBorder="0" applyAlignment="0" applyProtection="0"/>
    <xf numFmtId="0" fontId="20" fillId="0" borderId="0"/>
    <xf numFmtId="0" fontId="21" fillId="0" borderId="0" applyNumberFormat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2" fontId="26" fillId="1" borderId="2">
      <alignment vertical="top" wrapText="1"/>
    </xf>
    <xf numFmtId="2" fontId="26" fillId="0" borderId="2">
      <alignment vertical="top" wrapText="1"/>
    </xf>
    <xf numFmtId="2" fontId="26" fillId="1" borderId="5">
      <alignment vertical="top" wrapText="1"/>
    </xf>
    <xf numFmtId="0" fontId="27" fillId="0" borderId="0" applyNumberFormat="0" applyFill="0" applyBorder="0" applyAlignment="0" applyProtection="0"/>
    <xf numFmtId="0" fontId="28" fillId="16" borderId="0"/>
    <xf numFmtId="0" fontId="28" fillId="16" borderId="0">
      <alignment horizontal="centerContinuous" wrapText="1"/>
    </xf>
    <xf numFmtId="0" fontId="29" fillId="17" borderId="6" applyNumberFormat="0" applyAlignment="0" applyProtection="0"/>
    <xf numFmtId="0" fontId="30" fillId="0" borderId="7" applyNumberFormat="0" applyFill="0" applyAlignment="0" applyProtection="0"/>
    <xf numFmtId="43" fontId="20" fillId="0" borderId="0" applyFont="0" applyFill="0" applyBorder="0" applyAlignment="0" applyProtection="0"/>
    <xf numFmtId="0" fontId="24" fillId="18" borderId="8" applyNumberFormat="0" applyFont="0" applyAlignment="0" applyProtection="0"/>
    <xf numFmtId="44" fontId="20" fillId="0" borderId="0" applyFont="0" applyFill="0" applyBorder="0" applyAlignment="0" applyProtection="0"/>
    <xf numFmtId="166" fontId="31" fillId="0" borderId="0"/>
    <xf numFmtId="1" fontId="32" fillId="19" borderId="9">
      <alignment horizontal="right"/>
    </xf>
    <xf numFmtId="0" fontId="33" fillId="7" borderId="6" applyNumberFormat="0" applyAlignment="0" applyProtection="0"/>
    <xf numFmtId="0" fontId="21" fillId="0" borderId="0" applyFont="0" applyFill="0" applyBorder="0" applyAlignment="0" applyProtection="0"/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justify" vertical="top" wrapText="1"/>
    </xf>
    <xf numFmtId="0" fontId="34" fillId="3" borderId="0" applyNumberFormat="0" applyBorder="0" applyAlignment="0" applyProtection="0"/>
    <xf numFmtId="0" fontId="35" fillId="0" borderId="0"/>
    <xf numFmtId="0" fontId="36" fillId="0" borderId="0">
      <alignment horizontal="center"/>
    </xf>
    <xf numFmtId="0" fontId="37" fillId="20" borderId="0" applyNumberFormat="0" applyBorder="0" applyAlignment="0" applyProtection="0"/>
    <xf numFmtId="3" fontId="38" fillId="0" borderId="0">
      <alignment horizontal="right"/>
    </xf>
    <xf numFmtId="0" fontId="20" fillId="0" borderId="0"/>
    <xf numFmtId="0" fontId="20" fillId="0" borderId="0"/>
    <xf numFmtId="167" fontId="39" fillId="0" borderId="0">
      <alignment horizontal="center"/>
    </xf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17" borderId="10" applyNumberFormat="0" applyAlignment="0" applyProtection="0"/>
    <xf numFmtId="0" fontId="42" fillId="21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21" borderId="0" applyNumberFormat="0" applyBorder="0" applyAlignment="0" applyProtection="0"/>
    <xf numFmtId="0" fontId="4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Protection="0">
      <alignment horizontal="center"/>
    </xf>
    <xf numFmtId="0" fontId="47" fillId="22" borderId="0" applyNumberFormat="0" applyBorder="0" applyAlignment="0" applyProtection="0"/>
    <xf numFmtId="0" fontId="21" fillId="0" borderId="0" applyNumberFormat="0" applyFont="0" applyFill="0" applyBorder="0" applyProtection="0">
      <alignment horizontal="right"/>
    </xf>
    <xf numFmtId="0" fontId="21" fillId="0" borderId="0" applyNumberFormat="0" applyFont="0" applyFill="0" applyBorder="0" applyProtection="0">
      <alignment horizontal="left"/>
    </xf>
    <xf numFmtId="0" fontId="3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1" fillId="23" borderId="0" applyNumberFormat="0" applyFont="0" applyBorder="0" applyAlignment="0" applyProtection="0"/>
    <xf numFmtId="168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3" applyNumberFormat="0" applyFon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0" borderId="12" applyNumberFormat="0" applyFill="0" applyAlignment="0" applyProtection="0"/>
    <xf numFmtId="0" fontId="53" fillId="0" borderId="13" applyNumberFormat="0" applyFill="0" applyAlignment="0" applyProtection="0"/>
    <xf numFmtId="0" fontId="53" fillId="0" borderId="0" applyNumberFormat="0" applyFill="0" applyBorder="0" applyAlignment="0" applyProtection="0"/>
    <xf numFmtId="4" fontId="32" fillId="0" borderId="0">
      <alignment horizontal="centerContinuous"/>
    </xf>
    <xf numFmtId="4" fontId="31" fillId="0" borderId="0">
      <alignment horizontal="centerContinuous"/>
    </xf>
    <xf numFmtId="4" fontId="54" fillId="0" borderId="0">
      <alignment horizontal="centerContinuous"/>
    </xf>
    <xf numFmtId="0" fontId="55" fillId="24" borderId="14" applyNumberFormat="0" applyAlignment="0" applyProtection="0"/>
    <xf numFmtId="0" fontId="56" fillId="0" borderId="0" applyNumberFormat="0" applyFill="0" applyBorder="0" applyAlignment="0" applyProtection="0"/>
    <xf numFmtId="0" fontId="57" fillId="0" borderId="16" applyNumberFormat="0" applyFill="0" applyAlignment="0" applyProtection="0"/>
    <xf numFmtId="0" fontId="58" fillId="0" borderId="17" applyNumberFormat="0" applyFill="0" applyAlignment="0" applyProtection="0"/>
    <xf numFmtId="0" fontId="59" fillId="0" borderId="18" applyNumberFormat="0" applyFill="0" applyAlignment="0" applyProtection="0"/>
    <xf numFmtId="0" fontId="59" fillId="0" borderId="0" applyNumberFormat="0" applyFill="0" applyBorder="0" applyAlignment="0" applyProtection="0"/>
    <xf numFmtId="0" fontId="60" fillId="25" borderId="0" applyNumberFormat="0" applyBorder="0" applyAlignment="0" applyProtection="0"/>
    <xf numFmtId="0" fontId="61" fillId="26" borderId="0" applyNumberFormat="0" applyBorder="0" applyAlignment="0" applyProtection="0"/>
    <xf numFmtId="0" fontId="62" fillId="27" borderId="0" applyNumberFormat="0" applyBorder="0" applyAlignment="0" applyProtection="0"/>
    <xf numFmtId="0" fontId="63" fillId="28" borderId="19" applyNumberFormat="0" applyAlignment="0" applyProtection="0"/>
    <xf numFmtId="0" fontId="64" fillId="29" borderId="20" applyNumberFormat="0" applyAlignment="0" applyProtection="0"/>
    <xf numFmtId="0" fontId="65" fillId="29" borderId="19" applyNumberFormat="0" applyAlignment="0" applyProtection="0"/>
    <xf numFmtId="0" fontId="66" fillId="0" borderId="21" applyNumberFormat="0" applyFill="0" applyAlignment="0" applyProtection="0"/>
    <xf numFmtId="0" fontId="67" fillId="30" borderId="22" applyNumberFormat="0" applyAlignment="0" applyProtection="0"/>
    <xf numFmtId="0" fontId="2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6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4" borderId="0" applyNumberFormat="0" applyBorder="0" applyAlignment="0" applyProtection="0"/>
    <xf numFmtId="0" fontId="69" fillId="55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31" borderId="23" applyNumberFormat="0" applyFont="0" applyAlignment="0" applyProtection="0"/>
    <xf numFmtId="0" fontId="21" fillId="0" borderId="0"/>
    <xf numFmtId="0" fontId="21" fillId="0" borderId="15" applyNumberFormat="0" applyFont="0" applyFill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70" fillId="0" borderId="0"/>
    <xf numFmtId="0" fontId="29" fillId="17" borderId="6" applyNumberFormat="0" applyAlignment="0" applyProtection="0"/>
    <xf numFmtId="43" fontId="18" fillId="0" borderId="0" applyFont="0" applyFill="0" applyBorder="0" applyAlignment="0" applyProtection="0"/>
    <xf numFmtId="0" fontId="24" fillId="18" borderId="8" applyNumberFormat="0" applyFont="0" applyAlignment="0" applyProtection="0"/>
    <xf numFmtId="44" fontId="18" fillId="0" borderId="0" applyFont="0" applyFill="0" applyBorder="0" applyAlignment="0" applyProtection="0"/>
    <xf numFmtId="1" fontId="32" fillId="19" borderId="9">
      <alignment horizontal="right"/>
    </xf>
    <xf numFmtId="0" fontId="33" fillId="7" borderId="6" applyNumberFormat="0" applyAlignment="0" applyProtection="0"/>
    <xf numFmtId="0" fontId="41" fillId="17" borderId="10" applyNumberFormat="0" applyAlignment="0" applyProtection="0"/>
    <xf numFmtId="9" fontId="17" fillId="0" borderId="0" applyFont="0" applyFill="0" applyBorder="0" applyAlignment="0" applyProtection="0"/>
    <xf numFmtId="0" fontId="21" fillId="0" borderId="0"/>
    <xf numFmtId="43" fontId="71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71" fillId="0" borderId="0"/>
    <xf numFmtId="0" fontId="21" fillId="0" borderId="0"/>
    <xf numFmtId="43" fontId="21" fillId="0" borderId="0" applyFont="0" applyFill="0" applyBorder="0" applyAlignment="0" applyProtection="0"/>
    <xf numFmtId="0" fontId="85" fillId="0" borderId="0"/>
    <xf numFmtId="0" fontId="21" fillId="0" borderId="0"/>
    <xf numFmtId="0" fontId="21" fillId="0" borderId="0"/>
    <xf numFmtId="0" fontId="85" fillId="0" borderId="0"/>
    <xf numFmtId="0" fontId="85" fillId="0" borderId="0"/>
    <xf numFmtId="0" fontId="85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71" fillId="0" borderId="0" applyFont="0" applyFill="0" applyBorder="0" applyAlignment="0" applyProtection="0"/>
    <xf numFmtId="0" fontId="11" fillId="0" borderId="0"/>
    <xf numFmtId="0" fontId="85" fillId="0" borderId="0"/>
    <xf numFmtId="0" fontId="1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87" fillId="0" borderId="0"/>
    <xf numFmtId="0" fontId="21" fillId="0" borderId="0"/>
    <xf numFmtId="0" fontId="21" fillId="0" borderId="0"/>
    <xf numFmtId="0" fontId="8" fillId="0" borderId="0"/>
    <xf numFmtId="0" fontId="71" fillId="0" borderId="0"/>
    <xf numFmtId="43" fontId="7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8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14">
    <xf numFmtId="0" fontId="0" fillId="0" borderId="0" xfId="0"/>
    <xf numFmtId="0" fontId="21" fillId="0" borderId="0" xfId="121"/>
    <xf numFmtId="14" fontId="21" fillId="0" borderId="0" xfId="121" applyNumberFormat="1" applyAlignment="1">
      <alignment horizontal="centerContinuous"/>
    </xf>
    <xf numFmtId="0" fontId="21" fillId="0" borderId="0" xfId="121" applyAlignment="1">
      <alignment horizontal="centerContinuous"/>
    </xf>
    <xf numFmtId="0" fontId="21" fillId="0" borderId="1" xfId="121" applyBorder="1" applyAlignment="1">
      <alignment horizontal="centerContinuous"/>
    </xf>
    <xf numFmtId="0" fontId="21" fillId="0" borderId="0" xfId="121" applyAlignment="1">
      <alignment horizontal="center"/>
    </xf>
    <xf numFmtId="168" fontId="21" fillId="0" borderId="0" xfId="121" quotePrefix="1" applyNumberFormat="1" applyAlignment="1">
      <alignment horizontal="center"/>
    </xf>
    <xf numFmtId="0" fontId="21" fillId="0" borderId="0" xfId="137"/>
    <xf numFmtId="0" fontId="21" fillId="0" borderId="0" xfId="137" applyAlignment="1">
      <alignment horizontal="center"/>
    </xf>
    <xf numFmtId="0" fontId="21" fillId="0" borderId="0" xfId="137" applyAlignment="1">
      <alignment horizontal="center" wrapText="1"/>
    </xf>
    <xf numFmtId="14" fontId="0" fillId="0" borderId="0" xfId="0" applyNumberFormat="1"/>
    <xf numFmtId="169" fontId="21" fillId="0" borderId="0" xfId="121" applyNumberFormat="1"/>
    <xf numFmtId="0" fontId="72" fillId="56" borderId="27" xfId="0" applyFont="1" applyFill="1" applyBorder="1"/>
    <xf numFmtId="0" fontId="72" fillId="56" borderId="28" xfId="0" applyFont="1" applyFill="1" applyBorder="1"/>
    <xf numFmtId="0" fontId="72" fillId="56" borderId="29" xfId="0" applyFont="1" applyFill="1" applyBorder="1"/>
    <xf numFmtId="0" fontId="72" fillId="56" borderId="30" xfId="0" applyFont="1" applyFill="1" applyBorder="1"/>
    <xf numFmtId="0" fontId="21" fillId="0" borderId="0" xfId="0" applyFont="1"/>
    <xf numFmtId="0" fontId="21" fillId="0" borderId="0" xfId="0" applyFont="1" applyAlignment="1">
      <alignment horizontal="center"/>
    </xf>
    <xf numFmtId="165" fontId="21" fillId="0" borderId="0" xfId="0" applyNumberFormat="1" applyFont="1"/>
    <xf numFmtId="4" fontId="21" fillId="0" borderId="0" xfId="0" applyNumberFormat="1" applyFont="1"/>
    <xf numFmtId="4" fontId="21" fillId="0" borderId="0" xfId="0" applyNumberFormat="1" applyFont="1" applyAlignment="1">
      <alignment horizontal="right"/>
    </xf>
    <xf numFmtId="0" fontId="21" fillId="57" borderId="4" xfId="0" applyFont="1" applyFill="1" applyBorder="1" applyAlignment="1">
      <alignment horizontal="center"/>
    </xf>
    <xf numFmtId="0" fontId="21" fillId="57" borderId="4" xfId="0" applyFont="1" applyFill="1" applyBorder="1" applyAlignment="1">
      <alignment horizontal="center" wrapText="1"/>
    </xf>
    <xf numFmtId="0" fontId="21" fillId="57" borderId="32" xfId="0" applyFont="1" applyFill="1" applyBorder="1" applyAlignment="1">
      <alignment horizontal="center" wrapText="1"/>
    </xf>
    <xf numFmtId="165" fontId="21" fillId="57" borderId="40" xfId="0" applyNumberFormat="1" applyFont="1" applyFill="1" applyBorder="1"/>
    <xf numFmtId="4" fontId="21" fillId="57" borderId="40" xfId="0" applyNumberFormat="1" applyFont="1" applyFill="1" applyBorder="1"/>
    <xf numFmtId="4" fontId="21" fillId="57" borderId="40" xfId="0" applyNumberFormat="1" applyFont="1" applyFill="1" applyBorder="1" applyAlignment="1">
      <alignment horizontal="right"/>
    </xf>
    <xf numFmtId="10" fontId="21" fillId="57" borderId="40" xfId="1" applyNumberFormat="1" applyFont="1" applyFill="1" applyBorder="1"/>
    <xf numFmtId="10" fontId="21" fillId="57" borderId="40" xfId="1" applyNumberFormat="1" applyFont="1" applyFill="1" applyBorder="1" applyAlignment="1">
      <alignment horizontal="right"/>
    </xf>
    <xf numFmtId="10" fontId="21" fillId="57" borderId="41" xfId="1" applyNumberFormat="1" applyFont="1" applyFill="1" applyBorder="1" applyAlignment="1">
      <alignment horizontal="right"/>
    </xf>
    <xf numFmtId="0" fontId="21" fillId="57" borderId="31" xfId="0" applyFont="1" applyFill="1" applyBorder="1"/>
    <xf numFmtId="0" fontId="21" fillId="57" borderId="33" xfId="0" applyFont="1" applyFill="1" applyBorder="1"/>
    <xf numFmtId="0" fontId="21" fillId="57" borderId="0" xfId="0" applyFont="1" applyFill="1"/>
    <xf numFmtId="0" fontId="21" fillId="57" borderId="34" xfId="0" applyFont="1" applyFill="1" applyBorder="1"/>
    <xf numFmtId="0" fontId="21" fillId="57" borderId="35" xfId="0" applyFont="1" applyFill="1" applyBorder="1"/>
    <xf numFmtId="0" fontId="21" fillId="57" borderId="35" xfId="0" applyFont="1" applyFill="1" applyBorder="1" applyAlignment="1">
      <alignment horizontal="center"/>
    </xf>
    <xf numFmtId="165" fontId="21" fillId="57" borderId="35" xfId="0" applyNumberFormat="1" applyFont="1" applyFill="1" applyBorder="1"/>
    <xf numFmtId="4" fontId="21" fillId="57" borderId="35" xfId="0" applyNumberFormat="1" applyFont="1" applyFill="1" applyBorder="1"/>
    <xf numFmtId="4" fontId="21" fillId="57" borderId="35" xfId="0" applyNumberFormat="1" applyFont="1" applyFill="1" applyBorder="1" applyAlignment="1">
      <alignment horizontal="right"/>
    </xf>
    <xf numFmtId="10" fontId="21" fillId="57" borderId="35" xfId="1" applyNumberFormat="1" applyFont="1" applyFill="1" applyBorder="1"/>
    <xf numFmtId="10" fontId="21" fillId="57" borderId="35" xfId="1" applyNumberFormat="1" applyFont="1" applyFill="1" applyBorder="1" applyAlignment="1">
      <alignment horizontal="right"/>
    </xf>
    <xf numFmtId="10" fontId="21" fillId="57" borderId="36" xfId="1" applyNumberFormat="1" applyFont="1" applyFill="1" applyBorder="1" applyAlignment="1">
      <alignment horizontal="right"/>
    </xf>
    <xf numFmtId="0" fontId="21" fillId="57" borderId="37" xfId="0" applyFont="1" applyFill="1" applyBorder="1"/>
    <xf numFmtId="0" fontId="21" fillId="57" borderId="37" xfId="0" applyFont="1" applyFill="1" applyBorder="1" applyAlignment="1">
      <alignment horizontal="center"/>
    </xf>
    <xf numFmtId="165" fontId="21" fillId="57" borderId="37" xfId="0" applyNumberFormat="1" applyFont="1" applyFill="1" applyBorder="1"/>
    <xf numFmtId="4" fontId="21" fillId="57" borderId="37" xfId="0" applyNumberFormat="1" applyFont="1" applyFill="1" applyBorder="1"/>
    <xf numFmtId="4" fontId="21" fillId="57" borderId="37" xfId="0" applyNumberFormat="1" applyFont="1" applyFill="1" applyBorder="1" applyAlignment="1">
      <alignment horizontal="right"/>
    </xf>
    <xf numFmtId="0" fontId="21" fillId="57" borderId="40" xfId="0" applyFont="1" applyFill="1" applyBorder="1"/>
    <xf numFmtId="0" fontId="21" fillId="57" borderId="40" xfId="0" applyFont="1" applyFill="1" applyBorder="1" applyAlignment="1">
      <alignment horizontal="center"/>
    </xf>
    <xf numFmtId="10" fontId="21" fillId="0" borderId="0" xfId="1" applyNumberFormat="1" applyFont="1"/>
    <xf numFmtId="10" fontId="21" fillId="57" borderId="42" xfId="1" applyNumberFormat="1" applyFont="1" applyFill="1" applyBorder="1" applyAlignment="1">
      <alignment horizontal="right"/>
    </xf>
    <xf numFmtId="10" fontId="21" fillId="0" borderId="0" xfId="137" applyNumberFormat="1"/>
    <xf numFmtId="43" fontId="0" fillId="0" borderId="0" xfId="138" applyFont="1"/>
    <xf numFmtId="0" fontId="0" fillId="57" borderId="31" xfId="0" applyFill="1" applyBorder="1"/>
    <xf numFmtId="0" fontId="0" fillId="57" borderId="33" xfId="0" applyFill="1" applyBorder="1"/>
    <xf numFmtId="0" fontId="0" fillId="57" borderId="0" xfId="0" applyFill="1"/>
    <xf numFmtId="0" fontId="0" fillId="57" borderId="34" xfId="0" applyFill="1" applyBorder="1"/>
    <xf numFmtId="0" fontId="0" fillId="57" borderId="35" xfId="0" applyFill="1" applyBorder="1"/>
    <xf numFmtId="0" fontId="0" fillId="57" borderId="35" xfId="0" applyFill="1" applyBorder="1" applyAlignment="1">
      <alignment horizontal="center"/>
    </xf>
    <xf numFmtId="165" fontId="0" fillId="57" borderId="35" xfId="0" applyNumberFormat="1" applyFill="1" applyBorder="1"/>
    <xf numFmtId="4" fontId="0" fillId="57" borderId="35" xfId="0" applyNumberFormat="1" applyFill="1" applyBorder="1"/>
    <xf numFmtId="4" fontId="0" fillId="57" borderId="35" xfId="0" applyNumberFormat="1" applyFill="1" applyBorder="1" applyAlignment="1">
      <alignment horizontal="right"/>
    </xf>
    <xf numFmtId="10" fontId="0" fillId="57" borderId="35" xfId="1" applyNumberFormat="1" applyFont="1" applyFill="1" applyBorder="1"/>
    <xf numFmtId="10" fontId="0" fillId="57" borderId="35" xfId="1" applyNumberFormat="1" applyFont="1" applyFill="1" applyBorder="1" applyAlignment="1">
      <alignment horizontal="right"/>
    </xf>
    <xf numFmtId="10" fontId="0" fillId="57" borderId="36" xfId="1" applyNumberFormat="1" applyFon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0" fontId="0" fillId="57" borderId="38" xfId="0" applyFill="1" applyBorder="1"/>
    <xf numFmtId="0" fontId="0" fillId="57" borderId="38" xfId="0" applyFill="1" applyBorder="1" applyAlignment="1">
      <alignment horizontal="center"/>
    </xf>
    <xf numFmtId="165" fontId="0" fillId="57" borderId="38" xfId="0" applyNumberFormat="1" applyFill="1" applyBorder="1"/>
    <xf numFmtId="4" fontId="0" fillId="57" borderId="38" xfId="0" applyNumberFormat="1" applyFill="1" applyBorder="1"/>
    <xf numFmtId="4" fontId="0" fillId="57" borderId="38" xfId="0" applyNumberForma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10" fontId="0" fillId="57" borderId="39" xfId="1" applyNumberFormat="1" applyFont="1" applyFill="1" applyBorder="1" applyAlignment="1">
      <alignment horizontal="right"/>
    </xf>
    <xf numFmtId="0" fontId="0" fillId="57" borderId="40" xfId="0" applyFill="1" applyBorder="1"/>
    <xf numFmtId="0" fontId="0" fillId="57" borderId="40" xfId="0" applyFill="1" applyBorder="1" applyAlignment="1">
      <alignment horizontal="center"/>
    </xf>
    <xf numFmtId="0" fontId="0" fillId="0" borderId="0" xfId="0" applyAlignment="1">
      <alignment wrapText="1"/>
    </xf>
    <xf numFmtId="0" fontId="74" fillId="0" borderId="0" xfId="0" applyFont="1"/>
    <xf numFmtId="0" fontId="75" fillId="0" borderId="0" xfId="0" applyFont="1"/>
    <xf numFmtId="14" fontId="75" fillId="0" borderId="0" xfId="0" applyNumberFormat="1" applyFont="1"/>
    <xf numFmtId="0" fontId="77" fillId="0" borderId="0" xfId="128" applyFont="1"/>
    <xf numFmtId="0" fontId="77" fillId="0" borderId="4" xfId="128" applyFont="1" applyBorder="1" applyAlignment="1">
      <alignment horizontal="center" wrapText="1"/>
    </xf>
    <xf numFmtId="170" fontId="77" fillId="0" borderId="4" xfId="128" applyNumberFormat="1" applyFont="1" applyBorder="1" applyAlignment="1">
      <alignment horizontal="center" wrapText="1"/>
    </xf>
    <xf numFmtId="171" fontId="77" fillId="0" borderId="4" xfId="128" applyNumberFormat="1" applyFont="1" applyBorder="1" applyAlignment="1">
      <alignment horizontal="center" wrapText="1"/>
    </xf>
    <xf numFmtId="0" fontId="78" fillId="0" borderId="0" xfId="128" applyFont="1"/>
    <xf numFmtId="0" fontId="78" fillId="0" borderId="0" xfId="128" applyFont="1" applyAlignment="1">
      <alignment horizontal="center"/>
    </xf>
    <xf numFmtId="170" fontId="77" fillId="0" borderId="0" xfId="128" applyNumberFormat="1" applyFont="1" applyAlignment="1">
      <alignment horizontal="center"/>
    </xf>
    <xf numFmtId="171" fontId="77" fillId="0" borderId="43" xfId="128" applyNumberFormat="1" applyFont="1" applyBorder="1"/>
    <xf numFmtId="0" fontId="77" fillId="0" borderId="43" xfId="128" applyFont="1" applyBorder="1"/>
    <xf numFmtId="0" fontId="77" fillId="0" borderId="1" xfId="128" applyFont="1" applyBorder="1"/>
    <xf numFmtId="0" fontId="79" fillId="0" borderId="0" xfId="128" applyFont="1" applyAlignment="1">
      <alignment horizontal="centerContinuous"/>
    </xf>
    <xf numFmtId="0" fontId="79" fillId="0" borderId="0" xfId="128" applyFont="1"/>
    <xf numFmtId="0" fontId="77" fillId="0" borderId="0" xfId="128" applyFont="1" applyAlignment="1">
      <alignment horizontal="center"/>
    </xf>
    <xf numFmtId="10" fontId="79" fillId="0" borderId="0" xfId="128" applyNumberFormat="1" applyFont="1"/>
    <xf numFmtId="0" fontId="77" fillId="0" borderId="0" xfId="128" applyFont="1" applyAlignment="1">
      <alignment horizontal="centerContinuous"/>
    </xf>
    <xf numFmtId="10" fontId="77" fillId="0" borderId="0" xfId="1" applyNumberFormat="1" applyFont="1" applyFill="1" applyBorder="1" applyAlignment="1">
      <alignment horizontal="center"/>
    </xf>
    <xf numFmtId="170" fontId="77" fillId="0" borderId="0" xfId="128" applyNumberFormat="1" applyFont="1" applyAlignment="1">
      <alignment horizontal="left"/>
    </xf>
    <xf numFmtId="0" fontId="83" fillId="0" borderId="0" xfId="128" applyFont="1" applyAlignment="1">
      <alignment horizontal="centerContinuous"/>
    </xf>
    <xf numFmtId="0" fontId="83" fillId="0" borderId="0" xfId="128" applyFont="1"/>
    <xf numFmtId="0" fontId="86" fillId="0" borderId="0" xfId="128" applyFont="1"/>
    <xf numFmtId="0" fontId="78" fillId="0" borderId="0" xfId="128" applyFont="1" applyAlignment="1">
      <alignment horizontal="left"/>
    </xf>
    <xf numFmtId="2" fontId="77" fillId="0" borderId="0" xfId="128" applyNumberFormat="1" applyFont="1" applyAlignment="1">
      <alignment horizontal="center"/>
    </xf>
    <xf numFmtId="10" fontId="78" fillId="0" borderId="0" xfId="1" applyNumberFormat="1" applyFont="1" applyFill="1" applyBorder="1" applyAlignment="1">
      <alignment horizontal="center"/>
    </xf>
    <xf numFmtId="0" fontId="77" fillId="0" borderId="25" xfId="128" applyFont="1" applyBorder="1" applyAlignment="1">
      <alignment horizontal="center"/>
    </xf>
    <xf numFmtId="2" fontId="77" fillId="0" borderId="25" xfId="128" applyNumberFormat="1" applyFont="1" applyBorder="1" applyAlignment="1">
      <alignment horizontal="center"/>
    </xf>
    <xf numFmtId="0" fontId="78" fillId="0" borderId="25" xfId="128" applyFont="1" applyBorder="1" applyAlignment="1">
      <alignment horizontal="center"/>
    </xf>
    <xf numFmtId="10" fontId="77" fillId="0" borderId="25" xfId="1" applyNumberFormat="1" applyFont="1" applyFill="1" applyBorder="1" applyAlignment="1">
      <alignment horizontal="center"/>
    </xf>
    <xf numFmtId="0" fontId="76" fillId="0" borderId="0" xfId="128" applyFont="1" applyAlignment="1">
      <alignment horizontal="left"/>
    </xf>
    <xf numFmtId="0" fontId="76" fillId="0" borderId="0" xfId="128" applyFont="1" applyAlignment="1">
      <alignment horizontal="left" vertical="top"/>
    </xf>
    <xf numFmtId="172" fontId="78" fillId="0" borderId="0" xfId="159" applyNumberFormat="1" applyFont="1" applyAlignment="1">
      <alignment horizontal="center"/>
    </xf>
    <xf numFmtId="9" fontId="78" fillId="0" borderId="0" xfId="160" applyFont="1" applyAlignment="1">
      <alignment horizontal="center"/>
    </xf>
    <xf numFmtId="172" fontId="78" fillId="0" borderId="0" xfId="159" applyNumberFormat="1" applyFont="1" applyFill="1" applyAlignment="1">
      <alignment horizontal="center"/>
    </xf>
    <xf numFmtId="172" fontId="78" fillId="0" borderId="0" xfId="159" applyNumberFormat="1" applyFont="1" applyAlignment="1">
      <alignment horizontal="right"/>
    </xf>
    <xf numFmtId="9" fontId="78" fillId="0" borderId="0" xfId="160" applyFont="1" applyFill="1" applyAlignment="1">
      <alignment horizontal="center"/>
    </xf>
    <xf numFmtId="9" fontId="82" fillId="0" borderId="0" xfId="160" applyFont="1" applyFill="1" applyAlignment="1">
      <alignment horizontal="center"/>
    </xf>
    <xf numFmtId="2" fontId="77" fillId="0" borderId="1" xfId="128" applyNumberFormat="1" applyFont="1" applyBorder="1" applyAlignment="1">
      <alignment horizontal="center"/>
    </xf>
    <xf numFmtId="10" fontId="78" fillId="0" borderId="1" xfId="1" applyNumberFormat="1" applyFont="1" applyFill="1" applyBorder="1" applyAlignment="1">
      <alignment horizontal="center"/>
    </xf>
    <xf numFmtId="2" fontId="78" fillId="0" borderId="0" xfId="128" applyNumberFormat="1" applyFont="1" applyAlignment="1">
      <alignment horizontal="center"/>
    </xf>
    <xf numFmtId="0" fontId="80" fillId="0" borderId="0" xfId="128" applyFont="1" applyAlignment="1">
      <alignment horizontal="center"/>
    </xf>
    <xf numFmtId="0" fontId="86" fillId="0" borderId="0" xfId="128" applyFont="1" applyAlignment="1">
      <alignment horizontal="center"/>
    </xf>
    <xf numFmtId="2" fontId="77" fillId="0" borderId="3" xfId="128" applyNumberFormat="1" applyFont="1" applyBorder="1" applyAlignment="1">
      <alignment horizontal="center"/>
    </xf>
    <xf numFmtId="0" fontId="78" fillId="0" borderId="3" xfId="128" applyFont="1" applyBorder="1" applyAlignment="1">
      <alignment horizontal="center"/>
    </xf>
    <xf numFmtId="0" fontId="77" fillId="0" borderId="3" xfId="128" applyFont="1" applyBorder="1" applyAlignment="1">
      <alignment horizontal="center"/>
    </xf>
    <xf numFmtId="10" fontId="77" fillId="0" borderId="0" xfId="128" quotePrefix="1" applyNumberFormat="1" applyFont="1" applyAlignment="1">
      <alignment horizontal="center"/>
    </xf>
    <xf numFmtId="10" fontId="78" fillId="0" borderId="3" xfId="128" applyNumberFormat="1" applyFont="1" applyBorder="1" applyAlignment="1">
      <alignment horizontal="center"/>
    </xf>
    <xf numFmtId="0" fontId="77" fillId="0" borderId="0" xfId="144" applyFont="1" applyAlignment="1">
      <alignment horizontal="center"/>
    </xf>
    <xf numFmtId="170" fontId="77" fillId="0" borderId="1" xfId="128" applyNumberFormat="1" applyFont="1" applyBorder="1" applyAlignment="1">
      <alignment horizontal="center"/>
    </xf>
    <xf numFmtId="10" fontId="78" fillId="0" borderId="0" xfId="128" applyNumberFormat="1" applyFont="1" applyAlignment="1">
      <alignment horizontal="center"/>
    </xf>
    <xf numFmtId="0" fontId="77" fillId="0" borderId="1" xfId="128" applyFont="1" applyBorder="1" applyAlignment="1">
      <alignment horizontal="center"/>
    </xf>
    <xf numFmtId="10" fontId="78" fillId="0" borderId="0" xfId="1" applyNumberFormat="1" applyFont="1" applyAlignment="1">
      <alignment horizontal="center"/>
    </xf>
    <xf numFmtId="10" fontId="77" fillId="0" borderId="0" xfId="1" applyNumberFormat="1" applyFont="1" applyAlignment="1">
      <alignment horizontal="center"/>
    </xf>
    <xf numFmtId="43" fontId="79" fillId="0" borderId="0" xfId="138" applyFont="1" applyAlignment="1">
      <alignment horizontal="center"/>
    </xf>
    <xf numFmtId="43" fontId="79" fillId="0" borderId="0" xfId="128" applyNumberFormat="1" applyFont="1" applyAlignment="1">
      <alignment horizontal="center"/>
    </xf>
    <xf numFmtId="10" fontId="78" fillId="0" borderId="0" xfId="1" applyNumberFormat="1" applyFont="1" applyFill="1" applyAlignment="1">
      <alignment horizontal="center"/>
    </xf>
    <xf numFmtId="2" fontId="77" fillId="0" borderId="0" xfId="144" applyNumberFormat="1" applyFont="1" applyAlignment="1">
      <alignment horizontal="center" wrapText="1"/>
    </xf>
    <xf numFmtId="2" fontId="77" fillId="0" borderId="1" xfId="0" applyNumberFormat="1" applyFont="1" applyBorder="1" applyAlignment="1">
      <alignment horizontal="center"/>
    </xf>
    <xf numFmtId="2" fontId="77" fillId="0" borderId="1" xfId="144" applyNumberFormat="1" applyFont="1" applyBorder="1" applyAlignment="1">
      <alignment horizontal="center" wrapText="1"/>
    </xf>
    <xf numFmtId="0" fontId="77" fillId="0" borderId="0" xfId="128" applyFont="1" applyAlignment="1">
      <alignment horizontal="left"/>
    </xf>
    <xf numFmtId="43" fontId="79" fillId="0" borderId="0" xfId="138" applyFont="1" applyFill="1" applyAlignment="1">
      <alignment horizontal="center"/>
    </xf>
    <xf numFmtId="173" fontId="79" fillId="0" borderId="0" xfId="138" applyNumberFormat="1" applyFont="1" applyFill="1" applyAlignment="1">
      <alignment horizontal="center"/>
    </xf>
    <xf numFmtId="10" fontId="77" fillId="0" borderId="25" xfId="1" applyNumberFormat="1" applyFont="1" applyBorder="1" applyAlignment="1">
      <alignment horizontal="center"/>
    </xf>
    <xf numFmtId="10" fontId="77" fillId="0" borderId="0" xfId="1" applyNumberFormat="1" applyFont="1" applyBorder="1" applyAlignment="1">
      <alignment horizontal="center"/>
    </xf>
    <xf numFmtId="10" fontId="77" fillId="0" borderId="0" xfId="144" applyNumberFormat="1" applyFont="1" applyAlignment="1">
      <alignment horizontal="center" wrapText="1"/>
    </xf>
    <xf numFmtId="10" fontId="77" fillId="0" borderId="1" xfId="1" applyNumberFormat="1" applyFont="1" applyBorder="1" applyAlignment="1">
      <alignment horizontal="center"/>
    </xf>
    <xf numFmtId="2" fontId="86" fillId="0" borderId="0" xfId="128" applyNumberFormat="1" applyFont="1" applyAlignment="1">
      <alignment horizontal="center"/>
    </xf>
    <xf numFmtId="0" fontId="77" fillId="0" borderId="1" xfId="144" applyFont="1" applyBorder="1" applyAlignment="1">
      <alignment horizontal="center" wrapText="1"/>
    </xf>
    <xf numFmtId="10" fontId="77" fillId="0" borderId="1" xfId="1" applyNumberFormat="1" applyFont="1" applyBorder="1" applyAlignment="1">
      <alignment horizontal="center" wrapText="1"/>
    </xf>
    <xf numFmtId="0" fontId="80" fillId="0" borderId="0" xfId="128" applyFont="1" applyAlignment="1">
      <alignment horizontal="left"/>
    </xf>
    <xf numFmtId="0" fontId="78" fillId="0" borderId="25" xfId="128" applyFont="1" applyBorder="1" applyAlignment="1">
      <alignment horizontal="left"/>
    </xf>
    <xf numFmtId="0" fontId="77" fillId="0" borderId="0" xfId="144" applyFont="1" applyAlignment="1">
      <alignment horizontal="left"/>
    </xf>
    <xf numFmtId="0" fontId="77" fillId="0" borderId="1" xfId="128" applyFont="1" applyBorder="1" applyAlignment="1">
      <alignment horizontal="left"/>
    </xf>
    <xf numFmtId="0" fontId="78" fillId="0" borderId="3" xfId="128" applyFont="1" applyBorder="1" applyAlignment="1">
      <alignment horizontal="left"/>
    </xf>
    <xf numFmtId="0" fontId="78" fillId="0" borderId="1" xfId="128" applyFont="1" applyBorder="1" applyAlignment="1">
      <alignment horizontal="left"/>
    </xf>
    <xf numFmtId="0" fontId="86" fillId="0" borderId="0" xfId="128" applyFont="1" applyAlignment="1">
      <alignment horizontal="left"/>
    </xf>
    <xf numFmtId="2" fontId="77" fillId="0" borderId="0" xfId="1" applyNumberFormat="1" applyFont="1" applyFill="1" applyBorder="1" applyAlignment="1">
      <alignment horizontal="center"/>
    </xf>
    <xf numFmtId="170" fontId="77" fillId="0" borderId="1" xfId="128" applyNumberFormat="1" applyFont="1" applyBorder="1" applyAlignment="1">
      <alignment horizontal="left"/>
    </xf>
    <xf numFmtId="2" fontId="77" fillId="0" borderId="1" xfId="1" applyNumberFormat="1" applyFont="1" applyFill="1" applyBorder="1" applyAlignment="1">
      <alignment horizontal="center"/>
    </xf>
    <xf numFmtId="10" fontId="77" fillId="0" borderId="1" xfId="128" quotePrefix="1" applyNumberFormat="1" applyFont="1" applyBorder="1" applyAlignment="1">
      <alignment horizontal="center"/>
    </xf>
    <xf numFmtId="2" fontId="78" fillId="0" borderId="3" xfId="128" applyNumberFormat="1" applyFont="1" applyBorder="1" applyAlignment="1">
      <alignment horizontal="center"/>
    </xf>
    <xf numFmtId="2" fontId="80" fillId="0" borderId="0" xfId="128" applyNumberFormat="1" applyFont="1" applyAlignment="1">
      <alignment horizontal="center"/>
    </xf>
    <xf numFmtId="2" fontId="78" fillId="0" borderId="0" xfId="1" applyNumberFormat="1" applyFont="1" applyFill="1" applyBorder="1" applyAlignment="1">
      <alignment horizontal="center"/>
    </xf>
    <xf numFmtId="2" fontId="78" fillId="0" borderId="1" xfId="1" applyNumberFormat="1" applyFont="1" applyFill="1" applyBorder="1" applyAlignment="1">
      <alignment horizontal="center"/>
    </xf>
    <xf numFmtId="2" fontId="78" fillId="0" borderId="0" xfId="1" applyNumberFormat="1" applyFont="1" applyFill="1" applyAlignment="1">
      <alignment horizontal="center"/>
    </xf>
    <xf numFmtId="2" fontId="78" fillId="0" borderId="25" xfId="128" applyNumberFormat="1" applyFont="1" applyBorder="1" applyAlignment="1">
      <alignment horizontal="center"/>
    </xf>
    <xf numFmtId="2" fontId="78" fillId="0" borderId="0" xfId="1" applyNumberFormat="1" applyFont="1" applyAlignment="1">
      <alignment horizontal="center"/>
    </xf>
    <xf numFmtId="2" fontId="79" fillId="0" borderId="0" xfId="128" applyNumberFormat="1" applyFont="1"/>
    <xf numFmtId="2" fontId="77" fillId="0" borderId="25" xfId="1" applyNumberFormat="1" applyFont="1" applyFill="1" applyBorder="1" applyAlignment="1">
      <alignment horizontal="center"/>
    </xf>
    <xf numFmtId="2" fontId="77" fillId="0" borderId="25" xfId="1" applyNumberFormat="1" applyFont="1" applyBorder="1" applyAlignment="1">
      <alignment horizontal="center"/>
    </xf>
    <xf numFmtId="2" fontId="77" fillId="0" borderId="0" xfId="1" applyNumberFormat="1" applyFont="1" applyBorder="1" applyAlignment="1">
      <alignment horizontal="center"/>
    </xf>
    <xf numFmtId="10" fontId="88" fillId="58" borderId="1" xfId="1" applyNumberFormat="1" applyFont="1" applyFill="1" applyBorder="1" applyAlignment="1">
      <alignment horizontal="center" wrapText="1"/>
    </xf>
    <xf numFmtId="10" fontId="77" fillId="0" borderId="1" xfId="1" applyNumberFormat="1" applyFont="1" applyFill="1" applyBorder="1" applyAlignment="1">
      <alignment horizontal="center" wrapText="1"/>
    </xf>
    <xf numFmtId="0" fontId="79" fillId="0" borderId="0" xfId="128" applyFont="1" applyAlignment="1">
      <alignment horizontal="center"/>
    </xf>
    <xf numFmtId="2" fontId="79" fillId="0" borderId="0" xfId="128" applyNumberFormat="1" applyFont="1" applyAlignment="1">
      <alignment horizontal="right"/>
    </xf>
    <xf numFmtId="10" fontId="80" fillId="0" borderId="0" xfId="1" applyNumberFormat="1" applyFont="1" applyAlignment="1">
      <alignment horizontal="center"/>
    </xf>
    <xf numFmtId="10" fontId="78" fillId="0" borderId="3" xfId="1" applyNumberFormat="1" applyFont="1" applyBorder="1" applyAlignment="1">
      <alignment horizontal="center"/>
    </xf>
    <xf numFmtId="10" fontId="77" fillId="0" borderId="3" xfId="1" applyNumberFormat="1" applyFont="1" applyBorder="1" applyAlignment="1">
      <alignment horizontal="center"/>
    </xf>
    <xf numFmtId="10" fontId="86" fillId="0" borderId="0" xfId="1" applyNumberFormat="1" applyFont="1" applyAlignment="1">
      <alignment horizontal="center"/>
    </xf>
    <xf numFmtId="10" fontId="77" fillId="0" borderId="0" xfId="1" applyNumberFormat="1" applyFont="1" applyAlignment="1">
      <alignment horizontal="center" wrapText="1"/>
    </xf>
    <xf numFmtId="10" fontId="79" fillId="0" borderId="0" xfId="1" applyNumberFormat="1" applyFont="1"/>
    <xf numFmtId="10" fontId="77" fillId="0" borderId="1" xfId="1" applyNumberFormat="1" applyFont="1" applyFill="1" applyBorder="1" applyAlignment="1">
      <alignment horizontal="center"/>
    </xf>
    <xf numFmtId="10" fontId="78" fillId="59" borderId="25" xfId="1" applyNumberFormat="1" applyFont="1" applyFill="1" applyBorder="1" applyAlignment="1">
      <alignment horizontal="center"/>
    </xf>
    <xf numFmtId="10" fontId="77" fillId="59" borderId="25" xfId="1" applyNumberFormat="1" applyFont="1" applyFill="1" applyBorder="1" applyAlignment="1">
      <alignment horizontal="center"/>
    </xf>
    <xf numFmtId="0" fontId="0" fillId="0" borderId="2" xfId="0" applyBorder="1"/>
    <xf numFmtId="174" fontId="0" fillId="0" borderId="2" xfId="0" applyNumberFormat="1" applyBorder="1" applyAlignment="1">
      <alignment horizontal="center"/>
    </xf>
    <xf numFmtId="0" fontId="73" fillId="0" borderId="2" xfId="0" applyFont="1" applyBorder="1"/>
    <xf numFmtId="0" fontId="73" fillId="0" borderId="2" xfId="0" applyFont="1" applyBorder="1" applyAlignment="1">
      <alignment horizontal="center"/>
    </xf>
    <xf numFmtId="165" fontId="21" fillId="57" borderId="15" xfId="0" applyNumberFormat="1" applyFont="1" applyFill="1" applyBorder="1"/>
    <xf numFmtId="10" fontId="21" fillId="57" borderId="15" xfId="1" applyNumberFormat="1" applyFont="1" applyFill="1" applyBorder="1"/>
    <xf numFmtId="10" fontId="21" fillId="57" borderId="15" xfId="1" applyNumberFormat="1" applyFont="1" applyFill="1" applyBorder="1" applyAlignment="1">
      <alignment horizontal="right"/>
    </xf>
    <xf numFmtId="170" fontId="78" fillId="0" borderId="0" xfId="128" applyNumberFormat="1" applyFont="1" applyAlignment="1">
      <alignment horizontal="left"/>
    </xf>
    <xf numFmtId="170" fontId="78" fillId="0" borderId="0" xfId="128" applyNumberFormat="1" applyFont="1" applyAlignment="1">
      <alignment horizontal="center"/>
    </xf>
    <xf numFmtId="10" fontId="78" fillId="0" borderId="0" xfId="1" applyNumberFormat="1" applyFont="1" applyBorder="1" applyAlignment="1">
      <alignment horizontal="center"/>
    </xf>
    <xf numFmtId="10" fontId="78" fillId="0" borderId="25" xfId="128" applyNumberFormat="1" applyFont="1" applyBorder="1" applyAlignment="1">
      <alignment horizontal="center"/>
    </xf>
    <xf numFmtId="10" fontId="78" fillId="0" borderId="25" xfId="1" applyNumberFormat="1" applyFont="1" applyBorder="1" applyAlignment="1">
      <alignment horizontal="center"/>
    </xf>
    <xf numFmtId="0" fontId="73" fillId="0" borderId="0" xfId="0" applyFont="1" applyAlignment="1">
      <alignment horizontal="center"/>
    </xf>
    <xf numFmtId="0" fontId="89" fillId="0" borderId="0" xfId="0" applyFont="1" applyAlignment="1">
      <alignment horizontal="center"/>
    </xf>
    <xf numFmtId="0" fontId="84" fillId="0" borderId="0" xfId="128" applyFont="1" applyAlignment="1">
      <alignment horizontal="center" vertical="top"/>
    </xf>
    <xf numFmtId="0" fontId="77" fillId="0" borderId="26" xfId="144" applyFont="1" applyBorder="1" applyAlignment="1">
      <alignment horizontal="center" wrapText="1"/>
    </xf>
    <xf numFmtId="0" fontId="77" fillId="0" borderId="0" xfId="144" applyFont="1" applyAlignment="1">
      <alignment horizontal="center" wrapText="1"/>
    </xf>
    <xf numFmtId="2" fontId="77" fillId="0" borderId="26" xfId="144" applyNumberFormat="1" applyFont="1" applyBorder="1" applyAlignment="1">
      <alignment horizontal="center" wrapText="1"/>
    </xf>
    <xf numFmtId="2" fontId="77" fillId="0" borderId="0" xfId="144" applyNumberFormat="1" applyFont="1" applyAlignment="1">
      <alignment horizontal="center" wrapText="1"/>
    </xf>
    <xf numFmtId="2" fontId="77" fillId="0" borderId="1" xfId="144" applyNumberFormat="1" applyFont="1" applyBorder="1" applyAlignment="1">
      <alignment horizontal="center" wrapText="1"/>
    </xf>
    <xf numFmtId="0" fontId="77" fillId="0" borderId="1" xfId="144" applyFont="1" applyBorder="1" applyAlignment="1">
      <alignment horizontal="center" wrapText="1"/>
    </xf>
    <xf numFmtId="0" fontId="81" fillId="0" borderId="26" xfId="144" applyFont="1" applyBorder="1" applyAlignment="1">
      <alignment horizontal="left"/>
    </xf>
    <xf numFmtId="0" fontId="81" fillId="0" borderId="0" xfId="144" applyFont="1" applyAlignment="1">
      <alignment horizontal="left"/>
    </xf>
    <xf numFmtId="0" fontId="81" fillId="0" borderId="1" xfId="144" applyFont="1" applyBorder="1" applyAlignment="1">
      <alignment horizontal="left"/>
    </xf>
    <xf numFmtId="0" fontId="77" fillId="0" borderId="26" xfId="144" applyFont="1" applyBorder="1" applyAlignment="1">
      <alignment horizontal="center"/>
    </xf>
    <xf numFmtId="0" fontId="77" fillId="0" borderId="0" xfId="144" applyFont="1" applyAlignment="1">
      <alignment horizontal="center"/>
    </xf>
    <xf numFmtId="0" fontId="77" fillId="0" borderId="1" xfId="144" applyFont="1" applyBorder="1" applyAlignment="1">
      <alignment horizontal="center"/>
    </xf>
    <xf numFmtId="10" fontId="77" fillId="0" borderId="26" xfId="1" applyNumberFormat="1" applyFont="1" applyBorder="1" applyAlignment="1">
      <alignment horizontal="center" wrapText="1"/>
    </xf>
    <xf numFmtId="10" fontId="77" fillId="0" borderId="0" xfId="1" applyNumberFormat="1" applyFont="1" applyBorder="1" applyAlignment="1">
      <alignment horizontal="center" wrapText="1"/>
    </xf>
  </cellXfs>
  <cellStyles count="185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8" xr:uid="{B39147C7-ABFE-4DA4-A96E-78191C26E281}"/>
    <cellStyle name="Comma 3" xfId="130" xr:uid="{00000000-0005-0000-0000-00003A000000}"/>
    <cellStyle name="Comma 4" xfId="153" xr:uid="{5FCB307A-EE00-49A4-932A-7A200AA64750}"/>
    <cellStyle name="Comma 4 17 2" xfId="173" xr:uid="{4756C098-E551-464B-9F9F-69A839E0DBC0}"/>
    <cellStyle name="Comma 5" xfId="159" xr:uid="{41F8BFB5-82F9-4D0B-A392-5B87D50E85CE}"/>
    <cellStyle name="Comma 5 2" xfId="179" xr:uid="{466A05E6-2E7C-409F-A6B7-444348C63776}"/>
    <cellStyle name="Commentaire" xfId="31" xr:uid="{00000000-0005-0000-0000-00003B000000}"/>
    <cellStyle name="Commentaire 2" xfId="131" xr:uid="{00000000-0005-0000-0000-00003C000000}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4" xr:uid="{3E88074B-FDC8-4424-B904-7E90D8FA7040}"/>
    <cellStyle name="Normal 10 11" xfId="150" xr:uid="{9C558F0D-DD8E-4E1E-82B9-E8D6E60CAFF9}"/>
    <cellStyle name="Normal 10 21 3" xfId="164" xr:uid="{5BF6A27D-145E-40D2-8EF9-642C8E378FF1}"/>
    <cellStyle name="Normal 10 23 2" xfId="149" xr:uid="{605C139E-E564-4735-AA35-AE53F69E350A}"/>
    <cellStyle name="Normal 11" xfId="163" xr:uid="{F784C477-7A39-4D6B-973C-94958DEAAF1A}"/>
    <cellStyle name="Normal 11 2" xfId="178" xr:uid="{E43476D6-BF20-4918-899F-E42EF1E5F42F}"/>
    <cellStyle name="Normal 12" xfId="175" xr:uid="{0D439F74-C319-49F6-B0DE-13C7CC03E108}"/>
    <cellStyle name="Normal 12 10" xfId="152" xr:uid="{73FAC119-EB85-48EA-A947-EDFBB617A4E2}"/>
    <cellStyle name="Normal 12 50" xfId="171" xr:uid="{F1695C51-DE52-4E13-A22B-E1EC43DDCAB7}"/>
    <cellStyle name="Normal 13" xfId="182" xr:uid="{20A84369-406A-4639-BC94-38405CA3530B}"/>
    <cellStyle name="Normal 14" xfId="137" xr:uid="{00000000-0005-0000-0000-000058000000}"/>
    <cellStyle name="Normal 195 2" xfId="172" xr:uid="{32478687-8F23-4CDA-895A-0F2DC71D3AC6}"/>
    <cellStyle name="Normal 2" xfId="2" xr:uid="{00000000-0005-0000-0000-000059000000}"/>
    <cellStyle name="Normal 2 10 2" xfId="161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7" xr:uid="{9F068F63-61B6-409C-A8C6-AA40DDB91A41}"/>
    <cellStyle name="Normal 2 3 2" xfId="165" xr:uid="{85A5BE7D-26F1-4143-8320-343A21539542}"/>
    <cellStyle name="Normal 246" xfId="145" xr:uid="{1A2A4F83-6CFF-4505-A4FE-2D6807BE37AE}"/>
    <cellStyle name="Normal 246 2" xfId="181" xr:uid="{8EDF06F3-369D-4862-B6A8-0F46AA034504}"/>
    <cellStyle name="Normal 3" xfId="44" xr:uid="{00000000-0005-0000-0000-00005B000000}"/>
    <cellStyle name="Normal 3 2" xfId="126" xr:uid="{00000000-0005-0000-0000-00005C000000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6" xr:uid="{3EE59EC4-BCC7-4832-84FE-E75AE4928E51}"/>
    <cellStyle name="Normal 9 2 2" xfId="177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2" xfId="47" xr:uid="{00000000-0005-0000-0000-000069000000}"/>
    <cellStyle name="Percent 2 16" xfId="162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69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0" xr:uid="{0F410F87-FFC9-49BB-8775-9D5CE41A194D}"/>
    <cellStyle name="Percent 6" xfId="160" xr:uid="{C4D4E2B3-82F7-4A8D-8D63-57C9806A419A}"/>
    <cellStyle name="Percent 6 2" xfId="180" xr:uid="{A8074646-01DA-4FA8-A993-4D0B70E8FD6D}"/>
    <cellStyle name="Percent 6 4 2" xfId="174" xr:uid="{E169F6A8-91DB-420D-B797-2DF643C99106}"/>
    <cellStyle name="Percent 7" xfId="176" xr:uid="{4EB0859D-88F6-4C38-BF40-2E1BF2896BF2}"/>
    <cellStyle name="Percent 8" xfId="143" xr:uid="{00000000-0005-0000-0000-00006E000000}"/>
    <cellStyle name="Percent 9" xfId="183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0"/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.sharepoint.com/PARTAGE/Plan%20et%20controle/Partage/PAD_CT/2001%2004/PMGI01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.sharepoint.com/(02400-02499)%20-%20Projects/02405%20-%20ATCO%20Regulatory%20Support/Analysis/Utility%20and%20Industrial%2020%20Year%20Deb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corporatefinanceinstitute.com/resources/knowledge/valuation/unlevered-beta-asset-beta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corporatefinanceinstitute.com/resources/knowledge/valuation/unlevered-beta-asset-beta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corporatefinanceinstitute.com/resources/knowledge/valuation/unlevered-beta-asset-beta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corporatefinanceinstitute.com/resources/knowledge/valuation/unlevered-beta-asset-bet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orporatefinanceinstitute.com/resources/knowledge/valuation/unlevered-beta-asset-beta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orporatefinanceinstitute.com/resources/knowledge/valuation/unlevered-beta-asset-b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activeCell="A16" sqref="A16"/>
      <selection pane="bottomLeft" activeCell="I35" sqref="I35"/>
    </sheetView>
  </sheetViews>
  <sheetFormatPr defaultColWidth="9" defaultRowHeight="12.5"/>
  <cols>
    <col min="1" max="1" width="2.08203125" style="7" customWidth="1"/>
    <col min="2" max="2" width="15.33203125" style="7" bestFit="1" customWidth="1"/>
    <col min="3" max="3" width="32.08203125" style="7" bestFit="1" customWidth="1"/>
    <col min="4" max="9" width="9" style="7"/>
    <col min="10" max="10" width="13.83203125" style="7" bestFit="1" customWidth="1"/>
    <col min="11" max="11" width="39.83203125" style="7" bestFit="1" customWidth="1"/>
    <col min="12" max="12" width="6.08203125" style="7" bestFit="1" customWidth="1"/>
    <col min="13" max="13" width="11.58203125" style="7" bestFit="1" customWidth="1"/>
    <col min="14" max="14" width="6.08203125" style="7" bestFit="1" customWidth="1"/>
    <col min="15" max="15" width="16.832031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" thickBot="1"/>
    <row r="2" spans="2:20" ht="50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3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189">
        <f t="shared" si="12"/>
        <v>3146.2915400000002</v>
      </c>
      <c r="R253" s="190">
        <f t="shared" si="13"/>
        <v>1.4685711436726871E-3</v>
      </c>
      <c r="S253" s="191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CC45-CD8F-48DC-ADF0-A737D6CD3BAD}">
  <dimension ref="A1:P132"/>
  <sheetViews>
    <sheetView zoomScale="90" zoomScaleNormal="90" zoomScaleSheetLayoutView="85" workbookViewId="0">
      <selection activeCell="P32" sqref="P32"/>
    </sheetView>
  </sheetViews>
  <sheetFormatPr defaultColWidth="9" defaultRowHeight="13.5"/>
  <cols>
    <col min="1" max="1" width="40.5" style="156" customWidth="1"/>
    <col min="2" max="4" width="14.5" style="122" customWidth="1"/>
    <col min="5" max="5" width="16.25" style="147" customWidth="1"/>
    <col min="6" max="7" width="14.5" style="147" customWidth="1"/>
    <col min="8" max="8" width="14.5" style="122" customWidth="1"/>
    <col min="9" max="10" width="14.5" style="147" customWidth="1"/>
    <col min="11" max="11" width="14.5" style="122" customWidth="1"/>
    <col min="12" max="12" width="22.75" style="179" customWidth="1"/>
    <col min="13" max="16" width="9" style="122"/>
    <col min="17" max="16384" width="9" style="102"/>
  </cols>
  <sheetData>
    <row r="1" spans="1:16" ht="17.5">
      <c r="A1" s="199" t="s">
        <v>2595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32"/>
      <c r="M1" s="88"/>
      <c r="N1" s="88"/>
      <c r="O1" s="88"/>
      <c r="P1" s="88"/>
    </row>
    <row r="2" spans="1:16" ht="14">
      <c r="A2" s="150"/>
      <c r="B2" s="121"/>
      <c r="C2" s="121"/>
      <c r="D2" s="121"/>
      <c r="E2" s="162"/>
      <c r="F2" s="162"/>
      <c r="G2" s="162"/>
      <c r="H2" s="121"/>
      <c r="I2" s="162"/>
      <c r="J2" s="162"/>
      <c r="K2" s="121"/>
      <c r="L2" s="176"/>
      <c r="M2" s="88"/>
      <c r="N2" s="88"/>
      <c r="O2" s="88"/>
      <c r="P2" s="88"/>
    </row>
    <row r="3" spans="1:16" ht="14" thickBot="1">
      <c r="A3" s="103"/>
      <c r="B3" s="88"/>
      <c r="C3" s="88" t="s">
        <v>2466</v>
      </c>
      <c r="D3" s="88"/>
      <c r="E3" s="120" t="s">
        <v>2467</v>
      </c>
      <c r="F3" s="120" t="s">
        <v>2468</v>
      </c>
      <c r="G3" s="120" t="s">
        <v>2469</v>
      </c>
      <c r="H3" s="88" t="s">
        <v>2470</v>
      </c>
      <c r="I3" s="120" t="s">
        <v>2471</v>
      </c>
      <c r="J3" s="120" t="s">
        <v>2472</v>
      </c>
      <c r="K3" s="88" t="s">
        <v>2473</v>
      </c>
      <c r="L3" s="132" t="s">
        <v>2474</v>
      </c>
      <c r="M3" s="88"/>
      <c r="N3" s="88"/>
      <c r="O3" s="88"/>
      <c r="P3" s="88"/>
    </row>
    <row r="4" spans="1:16" ht="15.4" customHeight="1">
      <c r="A4" s="206" t="s">
        <v>2559</v>
      </c>
      <c r="B4" s="209" t="s">
        <v>1</v>
      </c>
      <c r="C4" s="200" t="s">
        <v>2560</v>
      </c>
      <c r="D4" s="200"/>
      <c r="E4" s="200"/>
      <c r="F4" s="200"/>
      <c r="G4" s="202" t="s">
        <v>2561</v>
      </c>
      <c r="H4" s="200" t="s">
        <v>2562</v>
      </c>
      <c r="I4" s="202" t="s">
        <v>2563</v>
      </c>
      <c r="J4" s="202" t="s">
        <v>2564</v>
      </c>
      <c r="K4" s="200" t="s">
        <v>2596</v>
      </c>
      <c r="L4" s="212" t="s">
        <v>2566</v>
      </c>
      <c r="M4" s="88"/>
      <c r="N4" s="88"/>
      <c r="O4" s="88"/>
      <c r="P4" s="88"/>
    </row>
    <row r="5" spans="1:16">
      <c r="A5" s="207"/>
      <c r="B5" s="210"/>
      <c r="C5" s="201" t="s">
        <v>2567</v>
      </c>
      <c r="D5" s="201"/>
      <c r="E5" s="201"/>
      <c r="F5" s="201"/>
      <c r="G5" s="203"/>
      <c r="H5" s="201"/>
      <c r="I5" s="203"/>
      <c r="J5" s="203"/>
      <c r="K5" s="201"/>
      <c r="L5" s="213"/>
      <c r="M5" s="88"/>
      <c r="N5" s="88"/>
      <c r="O5" s="88"/>
      <c r="P5" s="88"/>
    </row>
    <row r="6" spans="1:16">
      <c r="A6" s="208"/>
      <c r="B6" s="211"/>
      <c r="C6" s="148" t="s">
        <v>2568</v>
      </c>
      <c r="D6" s="148" t="s">
        <v>2569</v>
      </c>
      <c r="E6" s="139" t="s">
        <v>2570</v>
      </c>
      <c r="F6" s="139" t="s">
        <v>2571</v>
      </c>
      <c r="G6" s="204"/>
      <c r="H6" s="205"/>
      <c r="I6" s="204"/>
      <c r="J6" s="173">
        <v>0.4</v>
      </c>
      <c r="K6" s="205"/>
      <c r="L6" s="149">
        <f>J6</f>
        <v>0.4</v>
      </c>
      <c r="M6" s="88"/>
      <c r="N6" s="88"/>
      <c r="O6" s="88"/>
      <c r="P6" s="88"/>
    </row>
    <row r="7" spans="1:16">
      <c r="A7" s="99" t="s">
        <v>2572</v>
      </c>
      <c r="B7" s="89" t="s">
        <v>430</v>
      </c>
      <c r="C7" s="157">
        <v>44.306914735654445</v>
      </c>
      <c r="D7" s="157">
        <v>5.3392152668460762</v>
      </c>
      <c r="E7" s="157">
        <v>50.35386999749948</v>
      </c>
      <c r="F7" s="104">
        <v>0</v>
      </c>
      <c r="G7" s="104">
        <v>1.15571</v>
      </c>
      <c r="H7" s="98">
        <v>0.245</v>
      </c>
      <c r="I7" s="104">
        <f>IFERROR(G7/(1+(1-H7)*((C7+D7+F7)/E7)),"n/a")</f>
        <v>0.66253026719921182</v>
      </c>
      <c r="J7" s="104">
        <f>IFERROR(I7*(1+(1-H7)*((1-J$6)/(J$6))),"n/a")</f>
        <v>1.4128457948023192</v>
      </c>
      <c r="K7" s="126">
        <v>0.11698197666995908</v>
      </c>
      <c r="L7" s="133">
        <f>IFERROR(K7*(J7-G7),"n/a")</f>
        <v>3.0080253548576286E-2</v>
      </c>
      <c r="M7" s="141"/>
      <c r="N7" s="141"/>
      <c r="O7" s="135"/>
      <c r="P7" s="135"/>
    </row>
    <row r="8" spans="1:16">
      <c r="A8" s="99" t="s">
        <v>2459</v>
      </c>
      <c r="B8" s="89" t="s">
        <v>610</v>
      </c>
      <c r="C8" s="157">
        <v>62.448371719759479</v>
      </c>
      <c r="D8" s="157">
        <v>0</v>
      </c>
      <c r="E8" s="157">
        <v>35.916692549130055</v>
      </c>
      <c r="F8" s="104">
        <v>1.6349357311104638</v>
      </c>
      <c r="G8" s="104">
        <v>0.85877409999999998</v>
      </c>
      <c r="H8" s="98">
        <f>198/915</f>
        <v>0.21639344262295082</v>
      </c>
      <c r="I8" s="104">
        <f t="shared" ref="I8:I12" si="0">IFERROR(G8/(1+(1-H8)*((C8+D8+F8)/E8)),"n/a")</f>
        <v>0.35810200074326537</v>
      </c>
      <c r="J8" s="104">
        <f t="shared" ref="J8:J12" si="1">IFERROR(I8*(1+(1-H8)*((1-J$6)/(J$6))),"n/a")</f>
        <v>0.77901861473166079</v>
      </c>
      <c r="K8" s="126">
        <f>$K$7</f>
        <v>0.11698197666995908</v>
      </c>
      <c r="L8" s="133">
        <f t="shared" ref="L8:L12" si="2">IFERROR(K8*(J8-G8),"n/a")</f>
        <v>-9.3299543169621212E-3</v>
      </c>
      <c r="M8" s="141"/>
      <c r="N8" s="141"/>
      <c r="O8" s="135"/>
      <c r="P8" s="135"/>
    </row>
    <row r="9" spans="1:16">
      <c r="A9" s="99" t="s">
        <v>2460</v>
      </c>
      <c r="B9" s="89" t="s">
        <v>445</v>
      </c>
      <c r="C9" s="157">
        <v>48.728250475051112</v>
      </c>
      <c r="D9" s="157">
        <v>4.8737641917640868</v>
      </c>
      <c r="E9" s="157">
        <v>46.397985333184806</v>
      </c>
      <c r="F9" s="104">
        <v>0</v>
      </c>
      <c r="G9" s="104">
        <v>0.71881010000000001</v>
      </c>
      <c r="H9" s="98">
        <v>0.11</v>
      </c>
      <c r="I9" s="104">
        <f t="shared" si="0"/>
        <v>0.3544102165601925</v>
      </c>
      <c r="J9" s="104">
        <f t="shared" si="1"/>
        <v>0.82754785566804945</v>
      </c>
      <c r="K9" s="126">
        <f t="shared" ref="K9:K12" si="3">$K$7</f>
        <v>0.11698197666995908</v>
      </c>
      <c r="L9" s="133">
        <f t="shared" si="2"/>
        <v>1.2720357596703469E-2</v>
      </c>
      <c r="M9" s="141"/>
      <c r="N9" s="141"/>
      <c r="O9" s="135"/>
      <c r="P9" s="135"/>
    </row>
    <row r="10" spans="1:16">
      <c r="A10" s="99" t="s">
        <v>2461</v>
      </c>
      <c r="B10" s="89" t="s">
        <v>652</v>
      </c>
      <c r="C10" s="157">
        <v>46.71986217527315</v>
      </c>
      <c r="D10" s="157">
        <v>1.813483247948497</v>
      </c>
      <c r="E10" s="157">
        <v>51.466654576778346</v>
      </c>
      <c r="F10" s="104">
        <v>0</v>
      </c>
      <c r="G10" s="104">
        <v>0.93412499999999998</v>
      </c>
      <c r="H10" s="98">
        <v>0.23400000000000001</v>
      </c>
      <c r="I10" s="104">
        <f t="shared" si="0"/>
        <v>0.54235734090015209</v>
      </c>
      <c r="J10" s="104">
        <f t="shared" si="1"/>
        <v>1.1655259255944268</v>
      </c>
      <c r="K10" s="126">
        <f t="shared" si="3"/>
        <v>0.11698197666995908</v>
      </c>
      <c r="L10" s="133">
        <f t="shared" si="2"/>
        <v>2.7069737679294173E-2</v>
      </c>
      <c r="M10" s="141"/>
      <c r="N10" s="141"/>
      <c r="O10" s="135"/>
      <c r="P10" s="135"/>
    </row>
    <row r="11" spans="1:16">
      <c r="A11" s="103" t="s">
        <v>2573</v>
      </c>
      <c r="B11" s="88" t="s">
        <v>637</v>
      </c>
      <c r="C11" s="157">
        <v>47.355037157675632</v>
      </c>
      <c r="D11" s="157">
        <v>0.31757233184007161</v>
      </c>
      <c r="E11" s="157">
        <v>52.327390510484292</v>
      </c>
      <c r="F11" s="104">
        <v>0</v>
      </c>
      <c r="G11" s="104">
        <v>0.72239589999999998</v>
      </c>
      <c r="H11" s="98">
        <v>0.14599999999999999</v>
      </c>
      <c r="I11" s="104">
        <f t="shared" si="0"/>
        <v>0.40628948861517949</v>
      </c>
      <c r="J11" s="104">
        <f t="shared" si="1"/>
        <v>0.92674632353122433</v>
      </c>
      <c r="K11" s="126">
        <f t="shared" si="3"/>
        <v>0.11698197666995908</v>
      </c>
      <c r="L11" s="133">
        <f t="shared" si="2"/>
        <v>2.3905316478025941E-2</v>
      </c>
      <c r="M11" s="142"/>
      <c r="N11" s="141"/>
      <c r="O11" s="135"/>
      <c r="P11" s="135"/>
    </row>
    <row r="12" spans="1:16">
      <c r="A12" s="158" t="s">
        <v>2574</v>
      </c>
      <c r="B12" s="129" t="s">
        <v>2504</v>
      </c>
      <c r="C12" s="159">
        <v>53.684566532636879</v>
      </c>
      <c r="D12" s="159">
        <v>1.048438615610086</v>
      </c>
      <c r="E12" s="159">
        <v>45.266994851753033</v>
      </c>
      <c r="F12" s="118">
        <v>0</v>
      </c>
      <c r="G12" s="118">
        <v>0.69190260000000003</v>
      </c>
      <c r="H12" s="182">
        <f>178/1272</f>
        <v>0.13993710691823899</v>
      </c>
      <c r="I12" s="118">
        <f t="shared" si="0"/>
        <v>0.33918207448428689</v>
      </c>
      <c r="J12" s="118">
        <f t="shared" si="1"/>
        <v>0.7767589488779304</v>
      </c>
      <c r="K12" s="160">
        <f t="shared" si="3"/>
        <v>0.11698197666995908</v>
      </c>
      <c r="L12" s="146">
        <f t="shared" si="2"/>
        <v>9.9266634247359587E-3</v>
      </c>
      <c r="M12" s="141"/>
      <c r="N12" s="141"/>
      <c r="O12" s="135"/>
      <c r="P12" s="135"/>
    </row>
    <row r="13" spans="1:16" ht="14" thickBot="1">
      <c r="A13" s="154" t="s">
        <v>2575</v>
      </c>
      <c r="B13" s="125"/>
      <c r="C13" s="123"/>
      <c r="D13" s="123"/>
      <c r="E13" s="161">
        <f>AVERAGE(E7:E12)</f>
        <v>46.954931303138345</v>
      </c>
      <c r="F13" s="123"/>
      <c r="G13" s="161">
        <f>AVERAGE(G7:G12)</f>
        <v>0.84695294999999993</v>
      </c>
      <c r="H13" s="124"/>
      <c r="I13" s="161"/>
      <c r="J13" s="161"/>
      <c r="K13" s="127"/>
      <c r="L13" s="177">
        <f>AVERAGE(L7:L12)</f>
        <v>1.5728729068395616E-2</v>
      </c>
      <c r="M13" s="88"/>
      <c r="N13" s="88"/>
      <c r="O13" s="88"/>
      <c r="P13" s="88"/>
    </row>
    <row r="14" spans="1:16">
      <c r="A14" s="140"/>
      <c r="B14" s="88"/>
      <c r="C14" s="95"/>
      <c r="D14" s="95"/>
      <c r="E14" s="120"/>
      <c r="F14" s="120"/>
      <c r="G14" s="120"/>
      <c r="H14" s="88"/>
      <c r="I14" s="120"/>
      <c r="J14" s="120"/>
      <c r="K14" s="88"/>
      <c r="L14" s="132"/>
      <c r="M14" s="88"/>
      <c r="N14" s="88"/>
      <c r="O14" s="88"/>
      <c r="P14" s="88"/>
    </row>
    <row r="15" spans="1:16">
      <c r="A15" s="140"/>
      <c r="B15" s="88"/>
      <c r="C15" s="95"/>
      <c r="D15" s="95"/>
      <c r="E15" s="120"/>
      <c r="F15" s="120"/>
      <c r="G15" s="120"/>
      <c r="H15" s="88"/>
      <c r="I15" s="120"/>
      <c r="J15" s="120"/>
      <c r="K15" s="88"/>
      <c r="L15" s="132"/>
      <c r="M15" s="88"/>
      <c r="N15" s="88"/>
      <c r="O15" s="88"/>
      <c r="P15" s="88"/>
    </row>
    <row r="16" spans="1:16" ht="14" thickBot="1">
      <c r="A16" s="103"/>
      <c r="B16" s="88"/>
      <c r="C16" s="88"/>
      <c r="D16" s="88"/>
      <c r="E16" s="120"/>
      <c r="F16" s="120"/>
      <c r="G16" s="120"/>
      <c r="H16" s="88"/>
      <c r="I16" s="120"/>
      <c r="J16" s="120"/>
      <c r="K16" s="88"/>
      <c r="L16" s="132"/>
      <c r="M16" s="88"/>
      <c r="N16" s="88"/>
      <c r="O16" s="88"/>
      <c r="P16" s="88"/>
    </row>
    <row r="17" spans="1:16" ht="14.25" customHeight="1">
      <c r="A17" s="206" t="s">
        <v>2576</v>
      </c>
      <c r="B17" s="209" t="s">
        <v>1</v>
      </c>
      <c r="C17" s="200" t="s">
        <v>2560</v>
      </c>
      <c r="D17" s="200"/>
      <c r="E17" s="200"/>
      <c r="F17" s="200"/>
      <c r="G17" s="202" t="s">
        <v>2561</v>
      </c>
      <c r="H17" s="200" t="s">
        <v>2562</v>
      </c>
      <c r="I17" s="202" t="s">
        <v>2563</v>
      </c>
      <c r="J17" s="202" t="s">
        <v>2564</v>
      </c>
      <c r="K17" s="200" t="str">
        <f>K4</f>
        <v>Forward Equity Risk Premium</v>
      </c>
      <c r="L17" s="212" t="s">
        <v>2566</v>
      </c>
      <c r="M17" s="88"/>
      <c r="N17" s="88"/>
      <c r="O17" s="88"/>
      <c r="P17" s="88"/>
    </row>
    <row r="18" spans="1:16" ht="14.25" customHeight="1">
      <c r="A18" s="207"/>
      <c r="B18" s="210"/>
      <c r="C18" s="201" t="s">
        <v>2577</v>
      </c>
      <c r="D18" s="201"/>
      <c r="E18" s="201"/>
      <c r="F18" s="201"/>
      <c r="G18" s="203"/>
      <c r="H18" s="201"/>
      <c r="I18" s="203"/>
      <c r="J18" s="203"/>
      <c r="K18" s="201"/>
      <c r="L18" s="213"/>
      <c r="M18" s="88"/>
      <c r="N18" s="88"/>
      <c r="O18" s="88"/>
      <c r="P18" s="88"/>
    </row>
    <row r="19" spans="1:16">
      <c r="A19" s="208"/>
      <c r="B19" s="211"/>
      <c r="C19" s="148" t="s">
        <v>2568</v>
      </c>
      <c r="D19" s="148" t="s">
        <v>2569</v>
      </c>
      <c r="E19" s="139" t="s">
        <v>2570</v>
      </c>
      <c r="F19" s="139" t="s">
        <v>2571</v>
      </c>
      <c r="G19" s="204"/>
      <c r="H19" s="205"/>
      <c r="I19" s="204"/>
      <c r="J19" s="173">
        <v>0.4</v>
      </c>
      <c r="K19" s="205"/>
      <c r="L19" s="149">
        <f>J19</f>
        <v>0.4</v>
      </c>
      <c r="M19" s="88"/>
      <c r="N19" s="88"/>
      <c r="O19" s="88"/>
      <c r="P19" s="88"/>
    </row>
    <row r="20" spans="1:16">
      <c r="A20" s="152" t="s">
        <v>2400</v>
      </c>
      <c r="B20" s="128" t="s">
        <v>2401</v>
      </c>
      <c r="C20" s="137">
        <v>46.885162988888972</v>
      </c>
      <c r="D20" s="137">
        <v>2.1180154043814552</v>
      </c>
      <c r="E20" s="137">
        <v>50.996821606729569</v>
      </c>
      <c r="F20" s="137">
        <v>0</v>
      </c>
      <c r="G20" s="104">
        <v>0.87370040181842501</v>
      </c>
      <c r="H20" s="98">
        <v>6.0000000000000001E-3</v>
      </c>
      <c r="I20" s="104">
        <f>IFERROR(G20/(1+(1-H20)*((C20+D20+F20)/E20)),"n/a")</f>
        <v>0.44687332809757929</v>
      </c>
      <c r="J20" s="104">
        <f>IFERROR(I20*(1+(1-H20)*((1-J$19)/(J$19))),"n/a")</f>
        <v>1.1131614602910698</v>
      </c>
      <c r="K20" s="105">
        <f t="shared" ref="K20:K34" si="4">$K$7</f>
        <v>0.11698197666995908</v>
      </c>
      <c r="L20" s="133">
        <f>IFERROR(K20*(J20-G20),"n/a")</f>
        <v>2.8012627955610634E-2</v>
      </c>
      <c r="M20" s="88"/>
      <c r="N20" s="88"/>
      <c r="O20" s="88"/>
      <c r="P20" s="88"/>
    </row>
    <row r="21" spans="1:16">
      <c r="A21" s="140" t="s">
        <v>2402</v>
      </c>
      <c r="B21" s="95" t="s">
        <v>1930</v>
      </c>
      <c r="C21" s="137">
        <v>44.137938601801629</v>
      </c>
      <c r="D21" s="137">
        <v>3.6925678334463385</v>
      </c>
      <c r="E21" s="137">
        <v>51.679468047752806</v>
      </c>
      <c r="F21" s="137">
        <v>0.49002551699922514</v>
      </c>
      <c r="G21" s="163">
        <v>0.83927651394938352</v>
      </c>
      <c r="H21" s="105">
        <v>0.12</v>
      </c>
      <c r="I21" s="104">
        <f t="shared" ref="I21:I34" si="5">IFERROR(G21/(1+(1-H21)*((C21+D21+F21)/E21)),"n/a")</f>
        <v>0.46043159752266721</v>
      </c>
      <c r="J21" s="163">
        <f t="shared" ref="J21:J34" si="6">IFERROR(I21*(1+(1-H21)*((1-J$19)/(J$19))),"n/a")</f>
        <v>1.0682013062525879</v>
      </c>
      <c r="K21" s="105">
        <f t="shared" si="4"/>
        <v>0.11698197666995908</v>
      </c>
      <c r="L21" s="105">
        <f t="shared" ref="L21:L34" si="7">IFERROR(K21*(J21-G21),"n/a")</f>
        <v>2.6780074712388684E-2</v>
      </c>
      <c r="M21" s="141"/>
      <c r="N21" s="141"/>
      <c r="O21" s="135"/>
      <c r="P21" s="135"/>
    </row>
    <row r="22" spans="1:16">
      <c r="A22" s="140" t="s">
        <v>2403</v>
      </c>
      <c r="B22" s="95" t="s">
        <v>946</v>
      </c>
      <c r="C22" s="137">
        <v>50.695105118023719</v>
      </c>
      <c r="D22" s="137">
        <v>1.6546185080761218</v>
      </c>
      <c r="E22" s="137">
        <v>47.650276373900155</v>
      </c>
      <c r="F22" s="137">
        <v>0</v>
      </c>
      <c r="G22" s="163">
        <v>0.84497239355831155</v>
      </c>
      <c r="H22" s="105">
        <v>0.21</v>
      </c>
      <c r="I22" s="104">
        <f t="shared" si="5"/>
        <v>0.45236181432771438</v>
      </c>
      <c r="J22" s="163">
        <f t="shared" si="6"/>
        <v>0.98841056430605578</v>
      </c>
      <c r="K22" s="105">
        <f t="shared" si="4"/>
        <v>0.11698197666995908</v>
      </c>
      <c r="L22" s="105">
        <f t="shared" si="7"/>
        <v>1.6779680743994222E-2</v>
      </c>
      <c r="M22" s="141"/>
      <c r="N22" s="141"/>
      <c r="O22" s="135"/>
      <c r="P22" s="135"/>
    </row>
    <row r="23" spans="1:16">
      <c r="A23" s="140" t="s">
        <v>2415</v>
      </c>
      <c r="B23" s="95" t="s">
        <v>763</v>
      </c>
      <c r="C23" s="137">
        <v>45.855890300126745</v>
      </c>
      <c r="D23" s="137">
        <v>2.708600944757023</v>
      </c>
      <c r="E23" s="137">
        <v>51.435508755116231</v>
      </c>
      <c r="F23" s="137">
        <v>0</v>
      </c>
      <c r="G23" s="163">
        <v>0.82378961834926434</v>
      </c>
      <c r="H23" s="105">
        <v>9.1999999999999998E-2</v>
      </c>
      <c r="I23" s="104">
        <f t="shared" si="5"/>
        <v>0.4435373330010588</v>
      </c>
      <c r="J23" s="163">
        <f t="shared" si="6"/>
        <v>1.0476351805485009</v>
      </c>
      <c r="K23" s="105">
        <f t="shared" si="4"/>
        <v>0.11698197666995908</v>
      </c>
      <c r="L23" s="105">
        <f t="shared" si="7"/>
        <v>2.6185896334864966E-2</v>
      </c>
      <c r="M23" s="141"/>
      <c r="N23" s="141"/>
      <c r="O23" s="135"/>
      <c r="P23" s="135"/>
    </row>
    <row r="24" spans="1:16">
      <c r="A24" s="140" t="s">
        <v>2420</v>
      </c>
      <c r="B24" s="95" t="s">
        <v>1115</v>
      </c>
      <c r="C24" s="137">
        <v>47.990985455774066</v>
      </c>
      <c r="D24" s="137">
        <v>3.1016018350390078E-3</v>
      </c>
      <c r="E24" s="137">
        <v>51.911648572894606</v>
      </c>
      <c r="F24" s="137">
        <v>9.4264369496283557E-2</v>
      </c>
      <c r="G24" s="163">
        <v>0.97465009387607859</v>
      </c>
      <c r="H24" s="105">
        <v>0.161</v>
      </c>
      <c r="I24" s="104">
        <f t="shared" si="5"/>
        <v>0.54841657436860292</v>
      </c>
      <c r="J24" s="163">
        <f t="shared" si="6"/>
        <v>1.2385988332114894</v>
      </c>
      <c r="K24" s="105">
        <f t="shared" si="4"/>
        <v>0.11698197666995908</v>
      </c>
      <c r="L24" s="105">
        <f t="shared" si="7"/>
        <v>3.0877245267000142E-2</v>
      </c>
      <c r="M24" s="141"/>
      <c r="N24" s="141"/>
      <c r="O24" s="135"/>
      <c r="P24" s="135"/>
    </row>
    <row r="25" spans="1:16">
      <c r="A25" s="140" t="s">
        <v>1328</v>
      </c>
      <c r="B25" s="95" t="s">
        <v>764</v>
      </c>
      <c r="C25" s="137">
        <v>41.03249822202735</v>
      </c>
      <c r="D25" s="137">
        <v>3.9376742073792692</v>
      </c>
      <c r="E25" s="137">
        <v>54.436051094018232</v>
      </c>
      <c r="F25" s="137">
        <v>0.59377647657514498</v>
      </c>
      <c r="G25" s="163">
        <v>0.90169525929291461</v>
      </c>
      <c r="H25" s="105">
        <v>0.19800000000000001</v>
      </c>
      <c r="I25" s="104">
        <f t="shared" si="5"/>
        <v>0.53952105767404257</v>
      </c>
      <c r="J25" s="163">
        <f t="shared" si="6"/>
        <v>1.1885648900559156</v>
      </c>
      <c r="K25" s="105">
        <f t="shared" si="4"/>
        <v>0.11698197666995908</v>
      </c>
      <c r="L25" s="105">
        <f t="shared" si="7"/>
        <v>3.3558576453237156E-2</v>
      </c>
      <c r="M25" s="141"/>
      <c r="N25" s="141"/>
      <c r="O25" s="135"/>
      <c r="P25" s="135"/>
    </row>
    <row r="26" spans="1:16">
      <c r="A26" s="140" t="s">
        <v>2421</v>
      </c>
      <c r="B26" s="95" t="s">
        <v>1366</v>
      </c>
      <c r="C26" s="137">
        <v>45.657238909721279</v>
      </c>
      <c r="D26" s="137">
        <v>2.292903089536579</v>
      </c>
      <c r="E26" s="137">
        <v>52.049858000742141</v>
      </c>
      <c r="F26" s="137">
        <v>0</v>
      </c>
      <c r="G26" s="163">
        <v>0.98249693606702992</v>
      </c>
      <c r="H26" s="105">
        <v>0.13800000000000001</v>
      </c>
      <c r="I26" s="104">
        <f t="shared" si="5"/>
        <v>0.54762527978529307</v>
      </c>
      <c r="J26" s="163">
        <f t="shared" si="6"/>
        <v>1.2557047665476768</v>
      </c>
      <c r="K26" s="105">
        <f t="shared" si="4"/>
        <v>0.11698197666995908</v>
      </c>
      <c r="L26" s="105">
        <f t="shared" si="7"/>
        <v>3.1960392051337168E-2</v>
      </c>
      <c r="M26" s="141"/>
      <c r="N26" s="141"/>
      <c r="O26" s="135"/>
      <c r="P26" s="135"/>
    </row>
    <row r="27" spans="1:16">
      <c r="A27" s="140" t="s">
        <v>2526</v>
      </c>
      <c r="B27" s="95" t="s">
        <v>2527</v>
      </c>
      <c r="C27" s="137">
        <v>37.11398538865344</v>
      </c>
      <c r="D27" s="137">
        <v>6.9546894248985778</v>
      </c>
      <c r="E27" s="137">
        <v>55.931325186447992</v>
      </c>
      <c r="F27" s="137">
        <v>0</v>
      </c>
      <c r="G27" s="163">
        <v>0.8927250421094256</v>
      </c>
      <c r="H27" s="105">
        <v>0.09</v>
      </c>
      <c r="I27" s="104">
        <f t="shared" si="5"/>
        <v>0.51993448780371287</v>
      </c>
      <c r="J27" s="163">
        <f t="shared" si="6"/>
        <v>1.2296450636557807</v>
      </c>
      <c r="K27" s="105">
        <f t="shared" si="4"/>
        <v>0.11698197666995908</v>
      </c>
      <c r="L27" s="105">
        <f t="shared" si="7"/>
        <v>3.9413570100177826E-2</v>
      </c>
      <c r="M27" s="141"/>
      <c r="N27" s="141"/>
      <c r="O27" s="135"/>
      <c r="P27" s="135"/>
    </row>
    <row r="28" spans="1:16">
      <c r="A28" s="140" t="s">
        <v>2432</v>
      </c>
      <c r="B28" s="95" t="s">
        <v>1138</v>
      </c>
      <c r="C28" s="137">
        <v>39.63717632338421</v>
      </c>
      <c r="D28" s="137">
        <v>4.092051939106395</v>
      </c>
      <c r="E28" s="137">
        <v>56.270771737509392</v>
      </c>
      <c r="F28" s="137">
        <v>0</v>
      </c>
      <c r="G28" s="163">
        <v>0.91219232010489681</v>
      </c>
      <c r="H28" s="105">
        <v>0.125</v>
      </c>
      <c r="I28" s="104">
        <f t="shared" si="5"/>
        <v>0.54297765026569156</v>
      </c>
      <c r="J28" s="163">
        <f t="shared" si="6"/>
        <v>1.2556358162394117</v>
      </c>
      <c r="K28" s="105">
        <f t="shared" si="4"/>
        <v>0.11698197666995908</v>
      </c>
      <c r="L28" s="105">
        <f t="shared" si="7"/>
        <v>4.0176699052257001E-2</v>
      </c>
      <c r="M28" s="141"/>
      <c r="N28" s="141"/>
      <c r="O28" s="135"/>
      <c r="P28" s="135"/>
    </row>
    <row r="29" spans="1:16">
      <c r="A29" s="140" t="s">
        <v>2435</v>
      </c>
      <c r="B29" s="95" t="s">
        <v>766</v>
      </c>
      <c r="C29" s="137">
        <v>46.068948359780592</v>
      </c>
      <c r="D29" s="137">
        <v>0.85899541095311693</v>
      </c>
      <c r="E29" s="137">
        <v>53.072056229266295</v>
      </c>
      <c r="F29" s="137">
        <v>0</v>
      </c>
      <c r="G29" s="163">
        <v>1.0177614823084606</v>
      </c>
      <c r="H29" s="105">
        <v>0.12</v>
      </c>
      <c r="I29" s="104">
        <f t="shared" si="5"/>
        <v>0.57237966717457611</v>
      </c>
      <c r="J29" s="163">
        <f t="shared" si="6"/>
        <v>1.3279208278450165</v>
      </c>
      <c r="K29" s="105">
        <f t="shared" si="4"/>
        <v>0.11698197666995908</v>
      </c>
      <c r="L29" s="105">
        <f t="shared" si="7"/>
        <v>3.6283053323527159E-2</v>
      </c>
      <c r="M29" s="141"/>
      <c r="N29" s="141"/>
      <c r="O29" s="135"/>
      <c r="P29" s="135"/>
    </row>
    <row r="30" spans="1:16">
      <c r="A30" s="140" t="s">
        <v>2442</v>
      </c>
      <c r="B30" s="95" t="s">
        <v>767</v>
      </c>
      <c r="C30" s="137">
        <v>48.669564665105824</v>
      </c>
      <c r="D30" s="137">
        <v>3.517963765468378</v>
      </c>
      <c r="E30" s="137">
        <v>47.812471569425796</v>
      </c>
      <c r="F30" s="137">
        <v>0</v>
      </c>
      <c r="G30" s="163">
        <v>0.93579719106169845</v>
      </c>
      <c r="H30" s="105">
        <v>0.129</v>
      </c>
      <c r="I30" s="104">
        <f t="shared" si="5"/>
        <v>0.47972368121953884</v>
      </c>
      <c r="J30" s="163">
        <f t="shared" si="6"/>
        <v>1.1064826707328663</v>
      </c>
      <c r="K30" s="105">
        <f t="shared" si="4"/>
        <v>0.11698197666995908</v>
      </c>
      <c r="L30" s="105">
        <f t="shared" si="7"/>
        <v>1.9967124800793334E-2</v>
      </c>
      <c r="M30" s="141"/>
      <c r="N30" s="141"/>
      <c r="O30" s="135"/>
      <c r="P30" s="135"/>
    </row>
    <row r="31" spans="1:16">
      <c r="A31" s="140" t="s">
        <v>2447</v>
      </c>
      <c r="B31" s="95" t="s">
        <v>31</v>
      </c>
      <c r="C31" s="137">
        <v>41.892933776472269</v>
      </c>
      <c r="D31" s="137">
        <v>3.7193170735697159</v>
      </c>
      <c r="E31" s="137">
        <v>54.387749149958019</v>
      </c>
      <c r="F31" s="137">
        <v>0</v>
      </c>
      <c r="G31" s="163">
        <v>1.0663522553431179</v>
      </c>
      <c r="H31" s="105">
        <v>0.19900000000000001</v>
      </c>
      <c r="I31" s="104">
        <f t="shared" si="5"/>
        <v>0.63786275841933004</v>
      </c>
      <c r="J31" s="163">
        <f t="shared" si="6"/>
        <v>1.404254862660155</v>
      </c>
      <c r="K31" s="105">
        <f t="shared" si="4"/>
        <v>0.11698197666995908</v>
      </c>
      <c r="L31" s="105">
        <f t="shared" si="7"/>
        <v>3.9528514925879971E-2</v>
      </c>
      <c r="M31" s="141"/>
      <c r="N31" s="141"/>
      <c r="O31" s="135"/>
      <c r="P31" s="135"/>
    </row>
    <row r="32" spans="1:16">
      <c r="A32" s="140" t="s">
        <v>2445</v>
      </c>
      <c r="B32" s="95" t="s">
        <v>2446</v>
      </c>
      <c r="C32" s="137">
        <v>53.560996989944556</v>
      </c>
      <c r="D32" s="137">
        <v>1.9531805171947958</v>
      </c>
      <c r="E32" s="137">
        <v>44.485822492860642</v>
      </c>
      <c r="F32" s="137">
        <v>0</v>
      </c>
      <c r="G32" s="163">
        <v>0.87885600974494305</v>
      </c>
      <c r="H32" s="105">
        <v>0.16800000000000001</v>
      </c>
      <c r="I32" s="104">
        <f t="shared" si="5"/>
        <v>0.4311797988385348</v>
      </c>
      <c r="J32" s="163">
        <f t="shared" si="6"/>
        <v>0.96929218778902615</v>
      </c>
      <c r="K32" s="105">
        <f t="shared" si="4"/>
        <v>0.11698197666995908</v>
      </c>
      <c r="L32" s="105">
        <f t="shared" si="7"/>
        <v>1.0579402870073196E-2</v>
      </c>
      <c r="M32" s="141"/>
      <c r="N32" s="141"/>
      <c r="O32" s="135"/>
      <c r="P32" s="135"/>
    </row>
    <row r="33" spans="1:16">
      <c r="A33" s="140" t="s">
        <v>2450</v>
      </c>
      <c r="B33" s="95" t="s">
        <v>768</v>
      </c>
      <c r="C33" s="137">
        <v>44.253102338740064</v>
      </c>
      <c r="D33" s="137">
        <v>2.0601591204408196</v>
      </c>
      <c r="E33" s="137">
        <v>53.686738540819114</v>
      </c>
      <c r="F33" s="137">
        <v>0</v>
      </c>
      <c r="G33" s="163">
        <v>0.89737403966762719</v>
      </c>
      <c r="H33" s="105">
        <v>0.114</v>
      </c>
      <c r="I33" s="104">
        <f t="shared" si="5"/>
        <v>0.50862477680027351</v>
      </c>
      <c r="J33" s="163">
        <f t="shared" si="6"/>
        <v>1.1845871051678369</v>
      </c>
      <c r="K33" s="105">
        <f t="shared" si="4"/>
        <v>0.11698197666995908</v>
      </c>
      <c r="L33" s="105">
        <f t="shared" si="7"/>
        <v>3.3598752127652967E-2</v>
      </c>
      <c r="M33" s="141"/>
      <c r="N33" s="141"/>
      <c r="O33" s="135"/>
      <c r="P33" s="135"/>
    </row>
    <row r="34" spans="1:16">
      <c r="A34" s="140" t="s">
        <v>2458</v>
      </c>
      <c r="B34" s="95" t="s">
        <v>2053</v>
      </c>
      <c r="C34" s="137">
        <v>44.796038316387978</v>
      </c>
      <c r="D34" s="137">
        <v>1.6055483333994263</v>
      </c>
      <c r="E34" s="137">
        <v>53.598413350212603</v>
      </c>
      <c r="F34" s="137">
        <v>0</v>
      </c>
      <c r="G34" s="164">
        <v>0.82948435931460662</v>
      </c>
      <c r="H34" s="119" t="s">
        <v>2440</v>
      </c>
      <c r="I34" s="118" t="str">
        <f t="shared" si="5"/>
        <v>n/a</v>
      </c>
      <c r="J34" s="164" t="str">
        <f t="shared" si="6"/>
        <v>n/a</v>
      </c>
      <c r="K34" s="119">
        <f t="shared" si="4"/>
        <v>0.11698197666995908</v>
      </c>
      <c r="L34" s="119" t="str">
        <f t="shared" si="7"/>
        <v>n/a</v>
      </c>
      <c r="M34" s="141"/>
      <c r="N34" s="141"/>
      <c r="O34" s="135"/>
      <c r="P34" s="135"/>
    </row>
    <row r="35" spans="1:16" ht="14" thickBot="1">
      <c r="A35" s="151" t="s">
        <v>2575</v>
      </c>
      <c r="B35" s="106"/>
      <c r="C35" s="107"/>
      <c r="D35" s="107"/>
      <c r="E35" s="107">
        <f>AVERAGE(E20:E34)</f>
        <v>51.960332047176898</v>
      </c>
      <c r="F35" s="107"/>
      <c r="G35" s="107">
        <f>AVERAGE(G20:G34)</f>
        <v>0.9114082611044122</v>
      </c>
      <c r="H35" s="124"/>
      <c r="I35" s="161"/>
      <c r="J35" s="161"/>
      <c r="K35" s="127"/>
      <c r="L35" s="143">
        <f>AVERAGE(L20:L34)</f>
        <v>2.9550115051342456E-2</v>
      </c>
      <c r="M35" s="88"/>
      <c r="N35" s="88"/>
      <c r="O35" s="88"/>
      <c r="P35" s="88"/>
    </row>
    <row r="36" spans="1:16">
      <c r="A36" s="103"/>
      <c r="B36" s="95"/>
      <c r="C36" s="104"/>
      <c r="D36" s="104"/>
      <c r="E36" s="104"/>
      <c r="F36" s="104"/>
      <c r="G36" s="120"/>
      <c r="H36" s="88"/>
      <c r="I36" s="120"/>
      <c r="J36" s="120"/>
      <c r="K36" s="130"/>
      <c r="L36" s="132"/>
      <c r="M36" s="88"/>
      <c r="N36" s="88"/>
      <c r="O36" s="88"/>
      <c r="P36" s="88"/>
    </row>
    <row r="37" spans="1:16">
      <c r="A37" s="103"/>
      <c r="B37" s="95"/>
      <c r="C37" s="104"/>
      <c r="D37" s="104"/>
      <c r="E37" s="104"/>
      <c r="F37" s="104"/>
      <c r="G37" s="120"/>
      <c r="H37" s="88"/>
      <c r="I37" s="120"/>
      <c r="J37" s="120"/>
      <c r="K37" s="130"/>
      <c r="L37" s="132"/>
      <c r="M37" s="88"/>
      <c r="N37" s="88"/>
      <c r="O37" s="88"/>
      <c r="P37" s="88"/>
    </row>
    <row r="38" spans="1:16" ht="14" thickBot="1">
      <c r="A38" s="103"/>
      <c r="B38" s="88"/>
      <c r="C38" s="88"/>
      <c r="D38" s="88"/>
      <c r="E38" s="120"/>
      <c r="F38" s="120"/>
      <c r="G38" s="120"/>
      <c r="H38" s="88"/>
      <c r="I38" s="120"/>
      <c r="J38" s="120"/>
      <c r="K38" s="88"/>
      <c r="L38" s="132"/>
      <c r="M38" s="88"/>
      <c r="N38" s="88"/>
      <c r="O38" s="88"/>
      <c r="P38" s="88"/>
    </row>
    <row r="39" spans="1:16" ht="14.25" customHeight="1">
      <c r="A39" s="206" t="s">
        <v>2578</v>
      </c>
      <c r="B39" s="209" t="s">
        <v>1</v>
      </c>
      <c r="C39" s="200" t="s">
        <v>2560</v>
      </c>
      <c r="D39" s="200"/>
      <c r="E39" s="200"/>
      <c r="F39" s="200"/>
      <c r="G39" s="202" t="s">
        <v>2561</v>
      </c>
      <c r="H39" s="200" t="s">
        <v>2562</v>
      </c>
      <c r="I39" s="202" t="s">
        <v>2563</v>
      </c>
      <c r="J39" s="202" t="s">
        <v>2564</v>
      </c>
      <c r="K39" s="200" t="str">
        <f>K17</f>
        <v>Forward Equity Risk Premium</v>
      </c>
      <c r="L39" s="212" t="s">
        <v>2566</v>
      </c>
      <c r="M39" s="88"/>
      <c r="N39" s="88"/>
      <c r="O39" s="88"/>
      <c r="P39" s="88"/>
    </row>
    <row r="40" spans="1:16" ht="14.25" customHeight="1">
      <c r="A40" s="207"/>
      <c r="B40" s="210"/>
      <c r="C40" s="201" t="s">
        <v>2567</v>
      </c>
      <c r="D40" s="201"/>
      <c r="E40" s="201"/>
      <c r="F40" s="201"/>
      <c r="G40" s="203"/>
      <c r="H40" s="201"/>
      <c r="I40" s="203"/>
      <c r="J40" s="203"/>
      <c r="K40" s="201"/>
      <c r="L40" s="213"/>
      <c r="M40" s="88"/>
      <c r="N40" s="88"/>
      <c r="O40" s="88"/>
      <c r="P40" s="88"/>
    </row>
    <row r="41" spans="1:16">
      <c r="A41" s="208"/>
      <c r="B41" s="211"/>
      <c r="C41" s="148" t="s">
        <v>2568</v>
      </c>
      <c r="D41" s="148" t="s">
        <v>2569</v>
      </c>
      <c r="E41" s="139" t="s">
        <v>2570</v>
      </c>
      <c r="F41" s="139" t="s">
        <v>2571</v>
      </c>
      <c r="G41" s="204"/>
      <c r="H41" s="205"/>
      <c r="I41" s="204"/>
      <c r="J41" s="173">
        <v>0.38</v>
      </c>
      <c r="K41" s="205"/>
      <c r="L41" s="149">
        <f>J41</f>
        <v>0.38</v>
      </c>
      <c r="M41" s="88"/>
      <c r="N41" s="88"/>
      <c r="O41" s="88"/>
      <c r="P41" s="88"/>
    </row>
    <row r="42" spans="1:16">
      <c r="A42" s="152" t="s">
        <v>2579</v>
      </c>
      <c r="B42" s="128" t="s">
        <v>2380</v>
      </c>
      <c r="C42" s="137">
        <v>39.79750803770947</v>
      </c>
      <c r="D42" s="137">
        <v>0</v>
      </c>
      <c r="E42" s="137">
        <v>60.202491962290537</v>
      </c>
      <c r="F42" s="104">
        <v>0</v>
      </c>
      <c r="G42" s="163">
        <v>0.82918805364407167</v>
      </c>
      <c r="H42" s="105">
        <v>0.114</v>
      </c>
      <c r="I42" s="104">
        <f t="shared" ref="I42:I45" si="8">IFERROR(G42/(1+(1-H42)*((C42+D42+F42)/E42)),"n/a")</f>
        <v>0.52291613678608884</v>
      </c>
      <c r="J42" s="163">
        <f>IFERROR(I42*(1+(1-H42)*((1-J$41)/(J$41))),"n/a")</f>
        <v>1.2788326953632845</v>
      </c>
      <c r="K42" s="105">
        <f t="shared" ref="K42:K45" si="9">$K$7</f>
        <v>0.11698197666995908</v>
      </c>
      <c r="L42" s="105">
        <f t="shared" ref="L42:L45" si="10">IFERROR(K42*(J42-G42),"n/a")</f>
        <v>5.2600318987369062E-2</v>
      </c>
      <c r="M42" s="88"/>
      <c r="N42" s="88"/>
      <c r="O42" s="88"/>
      <c r="P42" s="88"/>
    </row>
    <row r="43" spans="1:16">
      <c r="A43" s="152" t="s">
        <v>2387</v>
      </c>
      <c r="B43" s="128" t="s">
        <v>2388</v>
      </c>
      <c r="C43" s="137">
        <v>52.398287974465219</v>
      </c>
      <c r="D43" s="137">
        <v>0.63958919925185598</v>
      </c>
      <c r="E43" s="137">
        <v>46.962122826282929</v>
      </c>
      <c r="F43" s="104">
        <v>0</v>
      </c>
      <c r="G43" s="163">
        <v>0.74464980030632322</v>
      </c>
      <c r="H43" s="105">
        <v>0.25700000000000001</v>
      </c>
      <c r="I43" s="163">
        <f t="shared" si="8"/>
        <v>0.40489328183167222</v>
      </c>
      <c r="J43" s="163">
        <f t="shared" ref="J43:J45" si="11">IFERROR(I43*(1+(1-H43)*((1-J$41)/(J$41))),"n/a")</f>
        <v>0.89573049027529872</v>
      </c>
      <c r="K43" s="105">
        <f t="shared" si="9"/>
        <v>0.11698197666995908</v>
      </c>
      <c r="L43" s="105">
        <f t="shared" si="10"/>
        <v>1.7673717749232012E-2</v>
      </c>
      <c r="M43" s="88"/>
      <c r="N43" s="88"/>
      <c r="O43" s="88"/>
      <c r="P43" s="88"/>
    </row>
    <row r="44" spans="1:16">
      <c r="A44" s="140" t="s">
        <v>2538</v>
      </c>
      <c r="B44" s="95" t="s">
        <v>2539</v>
      </c>
      <c r="C44" s="137">
        <v>39.54935552780416</v>
      </c>
      <c r="D44" s="137">
        <v>4.0505407783519159E-4</v>
      </c>
      <c r="E44" s="137">
        <v>60.450239418118002</v>
      </c>
      <c r="F44" s="104">
        <v>0</v>
      </c>
      <c r="G44" s="163">
        <v>0.83247976724837924</v>
      </c>
      <c r="H44" s="105">
        <v>0.14899999999999999</v>
      </c>
      <c r="I44" s="163">
        <f t="shared" si="8"/>
        <v>0.53474826981260637</v>
      </c>
      <c r="J44" s="163">
        <f t="shared" si="11"/>
        <v>1.2772321701245204</v>
      </c>
      <c r="K44" s="105">
        <f t="shared" si="9"/>
        <v>0.11698197666995908</v>
      </c>
      <c r="L44" s="105">
        <f t="shared" si="10"/>
        <v>5.2028015217164984E-2</v>
      </c>
      <c r="M44" s="88"/>
      <c r="N44" s="88"/>
      <c r="O44" s="88"/>
      <c r="P44" s="88"/>
    </row>
    <row r="45" spans="1:16">
      <c r="A45" s="153" t="s">
        <v>2540</v>
      </c>
      <c r="B45" s="131" t="s">
        <v>2541</v>
      </c>
      <c r="C45" s="138">
        <v>42.863774092268784</v>
      </c>
      <c r="D45" s="138">
        <v>10.86671947546769</v>
      </c>
      <c r="E45" s="138">
        <v>46.269506432263526</v>
      </c>
      <c r="F45" s="118">
        <v>0</v>
      </c>
      <c r="G45" s="164">
        <v>0.86346076191264043</v>
      </c>
      <c r="H45" s="119">
        <v>0.151</v>
      </c>
      <c r="I45" s="164">
        <f t="shared" si="8"/>
        <v>0.43479529949811913</v>
      </c>
      <c r="J45" s="164">
        <f t="shared" si="11"/>
        <v>1.03707832515554</v>
      </c>
      <c r="K45" s="119">
        <f t="shared" si="9"/>
        <v>0.11698197666995908</v>
      </c>
      <c r="L45" s="119">
        <f t="shared" si="10"/>
        <v>2.0310125732776022E-2</v>
      </c>
      <c r="M45" s="88"/>
      <c r="N45" s="88"/>
      <c r="O45" s="88"/>
      <c r="P45" s="88"/>
    </row>
    <row r="46" spans="1:16" ht="14" thickBot="1">
      <c r="A46" s="154" t="s">
        <v>2575</v>
      </c>
      <c r="B46" s="125"/>
      <c r="C46" s="123"/>
      <c r="D46" s="123"/>
      <c r="E46" s="123">
        <f>AVERAGE(E42:E45)</f>
        <v>53.47109015973875</v>
      </c>
      <c r="F46" s="123"/>
      <c r="G46" s="123">
        <f>AVERAGE(G42:G45)</f>
        <v>0.81744459577785367</v>
      </c>
      <c r="H46" s="124"/>
      <c r="I46" s="161"/>
      <c r="J46" s="161"/>
      <c r="K46" s="127"/>
      <c r="L46" s="178">
        <f>AVERAGE(L42:L45)</f>
        <v>3.565304442163552E-2</v>
      </c>
      <c r="M46" s="88"/>
      <c r="N46" s="88"/>
      <c r="O46" s="88"/>
      <c r="P46" s="88"/>
    </row>
    <row r="47" spans="1:16">
      <c r="A47" s="103"/>
      <c r="B47" s="95"/>
      <c r="C47" s="104"/>
      <c r="D47" s="104"/>
      <c r="E47" s="104"/>
      <c r="F47" s="104"/>
      <c r="G47" s="120"/>
      <c r="H47" s="88"/>
      <c r="I47" s="120"/>
      <c r="J47" s="120"/>
      <c r="K47" s="130"/>
      <c r="L47" s="132"/>
      <c r="M47" s="88"/>
      <c r="N47" s="88"/>
      <c r="O47" s="88"/>
      <c r="P47" s="88"/>
    </row>
    <row r="48" spans="1:16">
      <c r="A48" s="140"/>
      <c r="B48" s="95"/>
      <c r="C48" s="95"/>
      <c r="D48" s="95"/>
      <c r="E48" s="120"/>
      <c r="F48" s="120"/>
      <c r="G48" s="120"/>
      <c r="H48" s="105"/>
      <c r="I48" s="120"/>
      <c r="J48" s="120"/>
      <c r="K48" s="88"/>
      <c r="L48" s="132"/>
      <c r="M48" s="88"/>
      <c r="N48" s="88"/>
      <c r="O48" s="88"/>
      <c r="P48" s="88"/>
    </row>
    <row r="49" spans="1:16" ht="14" thickBot="1">
      <c r="A49" s="140"/>
      <c r="B49" s="95"/>
      <c r="C49" s="95"/>
      <c r="D49" s="95"/>
      <c r="E49" s="120"/>
      <c r="F49" s="120"/>
      <c r="G49" s="120"/>
      <c r="H49" s="105"/>
      <c r="I49" s="120"/>
      <c r="J49" s="120"/>
      <c r="K49" s="88"/>
      <c r="L49" s="132"/>
      <c r="M49" s="88"/>
      <c r="N49" s="88"/>
      <c r="O49" s="88"/>
      <c r="P49" s="88"/>
    </row>
    <row r="50" spans="1:16" ht="14.25" customHeight="1">
      <c r="A50" s="206" t="s">
        <v>2580</v>
      </c>
      <c r="B50" s="209" t="s">
        <v>1</v>
      </c>
      <c r="C50" s="200" t="s">
        <v>2560</v>
      </c>
      <c r="D50" s="200"/>
      <c r="E50" s="200"/>
      <c r="F50" s="200"/>
      <c r="G50" s="202" t="s">
        <v>2561</v>
      </c>
      <c r="H50" s="200" t="s">
        <v>2562</v>
      </c>
      <c r="I50" s="202" t="s">
        <v>2563</v>
      </c>
      <c r="J50" s="202" t="s">
        <v>2564</v>
      </c>
      <c r="K50" s="200" t="str">
        <f>K39</f>
        <v>Forward Equity Risk Premium</v>
      </c>
      <c r="L50" s="212" t="s">
        <v>2566</v>
      </c>
      <c r="M50" s="88"/>
      <c r="N50" s="88"/>
      <c r="O50" s="88"/>
      <c r="P50" s="88"/>
    </row>
    <row r="51" spans="1:16" ht="14.25" customHeight="1">
      <c r="A51" s="207"/>
      <c r="B51" s="210"/>
      <c r="C51" s="201" t="s">
        <v>2567</v>
      </c>
      <c r="D51" s="201"/>
      <c r="E51" s="201"/>
      <c r="F51" s="201"/>
      <c r="G51" s="203"/>
      <c r="H51" s="201"/>
      <c r="I51" s="203"/>
      <c r="J51" s="203"/>
      <c r="K51" s="201"/>
      <c r="L51" s="213"/>
      <c r="M51" s="88"/>
      <c r="N51" s="88"/>
      <c r="O51" s="88"/>
      <c r="P51" s="88"/>
    </row>
    <row r="52" spans="1:16">
      <c r="A52" s="208"/>
      <c r="B52" s="211"/>
      <c r="C52" s="148" t="s">
        <v>2568</v>
      </c>
      <c r="D52" s="148" t="s">
        <v>2569</v>
      </c>
      <c r="E52" s="139" t="s">
        <v>2570</v>
      </c>
      <c r="F52" s="139" t="s">
        <v>2571</v>
      </c>
      <c r="G52" s="204"/>
      <c r="H52" s="205"/>
      <c r="I52" s="204"/>
      <c r="J52" s="172">
        <v>0.4</v>
      </c>
      <c r="K52" s="205"/>
      <c r="L52" s="149">
        <f>J52</f>
        <v>0.4</v>
      </c>
      <c r="M52" s="88"/>
      <c r="N52" s="88"/>
      <c r="O52" s="88"/>
      <c r="P52" s="88"/>
    </row>
    <row r="53" spans="1:16">
      <c r="A53" s="103" t="s">
        <v>2459</v>
      </c>
      <c r="B53" s="88" t="s">
        <v>610</v>
      </c>
      <c r="C53" s="120">
        <f>_xlfn.XLOOKUP($B53, $B$4:$B$45, C$4:C$45)</f>
        <v>62.448371719759479</v>
      </c>
      <c r="D53" s="120">
        <f>_xlfn.XLOOKUP($B53, $B$4:$B$45, D$4:D$45)</f>
        <v>0</v>
      </c>
      <c r="E53" s="120">
        <f t="shared" ref="E53:I68" si="12">_xlfn.XLOOKUP($B53, $B$4:$B$45, E$4:E$45)</f>
        <v>35.916692549130055</v>
      </c>
      <c r="F53" s="120">
        <f t="shared" si="12"/>
        <v>1.6349357311104638</v>
      </c>
      <c r="G53" s="163">
        <f t="shared" si="12"/>
        <v>0.85877409999999998</v>
      </c>
      <c r="H53" s="105">
        <f>_xlfn.XLOOKUP($B53, $B$4:$B$45, H$4:H$45)</f>
        <v>0.21639344262295082</v>
      </c>
      <c r="I53" s="163">
        <f t="shared" si="12"/>
        <v>0.35810200074326537</v>
      </c>
      <c r="J53" s="104">
        <f>IFERROR(I53*(1+(1-H53)*((1-J$52)/(J$52))),"n/a")</f>
        <v>0.77901861473166079</v>
      </c>
      <c r="K53" s="136">
        <f t="shared" ref="K53:K71" si="13">_xlfn.XLOOKUP($B53, $B$4:$B$45, K$4:K$45)</f>
        <v>0.11698197666995908</v>
      </c>
      <c r="L53" s="105">
        <f t="shared" ref="L53:L71" si="14">IFERROR(K53*(J53-G53),"n/a")</f>
        <v>-9.3299543169621212E-3</v>
      </c>
      <c r="M53" s="141"/>
      <c r="N53" s="141"/>
      <c r="O53" s="135"/>
      <c r="P53" s="135"/>
    </row>
    <row r="54" spans="1:16">
      <c r="A54" s="103" t="s">
        <v>2460</v>
      </c>
      <c r="B54" s="88" t="s">
        <v>445</v>
      </c>
      <c r="C54" s="120">
        <f t="shared" ref="C54:I71" si="15">_xlfn.XLOOKUP($B54, $B$4:$B$45, C$4:C$45)</f>
        <v>48.728250475051112</v>
      </c>
      <c r="D54" s="120">
        <f t="shared" si="15"/>
        <v>4.8737641917640868</v>
      </c>
      <c r="E54" s="120">
        <f t="shared" si="15"/>
        <v>46.397985333184806</v>
      </c>
      <c r="F54" s="120">
        <f t="shared" si="15"/>
        <v>0</v>
      </c>
      <c r="G54" s="163">
        <f t="shared" si="15"/>
        <v>0.71881010000000001</v>
      </c>
      <c r="H54" s="105">
        <f t="shared" si="15"/>
        <v>0.11</v>
      </c>
      <c r="I54" s="165">
        <f t="shared" si="12"/>
        <v>0.3544102165601925</v>
      </c>
      <c r="J54" s="165">
        <f t="shared" ref="J54:J71" si="16">IFERROR(I54*(1+(1-H54)*((1-J$52)/(J$52))),"n/a")</f>
        <v>0.82754785566804945</v>
      </c>
      <c r="K54" s="136">
        <f t="shared" si="13"/>
        <v>0.11698197666995908</v>
      </c>
      <c r="L54" s="136">
        <f t="shared" si="14"/>
        <v>1.2720357596703469E-2</v>
      </c>
      <c r="M54" s="141"/>
      <c r="N54" s="141"/>
      <c r="O54" s="135"/>
      <c r="P54" s="135"/>
    </row>
    <row r="55" spans="1:16">
      <c r="A55" s="103" t="s">
        <v>2573</v>
      </c>
      <c r="B55" s="88" t="s">
        <v>637</v>
      </c>
      <c r="C55" s="120">
        <f t="shared" si="15"/>
        <v>47.355037157675632</v>
      </c>
      <c r="D55" s="120">
        <f t="shared" si="15"/>
        <v>0.31757233184007161</v>
      </c>
      <c r="E55" s="120">
        <f t="shared" si="15"/>
        <v>52.327390510484292</v>
      </c>
      <c r="F55" s="120">
        <f t="shared" si="15"/>
        <v>0</v>
      </c>
      <c r="G55" s="163">
        <f t="shared" si="15"/>
        <v>0.72239589999999998</v>
      </c>
      <c r="H55" s="105">
        <f t="shared" si="15"/>
        <v>0.14599999999999999</v>
      </c>
      <c r="I55" s="165">
        <f t="shared" si="12"/>
        <v>0.40628948861517949</v>
      </c>
      <c r="J55" s="165">
        <f t="shared" si="16"/>
        <v>0.92674632353122433</v>
      </c>
      <c r="K55" s="136">
        <f t="shared" si="13"/>
        <v>0.11698197666995908</v>
      </c>
      <c r="L55" s="136">
        <f t="shared" si="14"/>
        <v>2.3905316478025941E-2</v>
      </c>
      <c r="M55" s="141"/>
      <c r="N55" s="141"/>
      <c r="O55" s="135"/>
      <c r="P55" s="135"/>
    </row>
    <row r="56" spans="1:16">
      <c r="A56" s="103" t="s">
        <v>2574</v>
      </c>
      <c r="B56" s="88" t="s">
        <v>2504</v>
      </c>
      <c r="C56" s="120">
        <f t="shared" si="15"/>
        <v>53.684566532636879</v>
      </c>
      <c r="D56" s="120">
        <f t="shared" si="15"/>
        <v>1.048438615610086</v>
      </c>
      <c r="E56" s="120">
        <f t="shared" si="15"/>
        <v>45.266994851753033</v>
      </c>
      <c r="F56" s="120">
        <f t="shared" si="15"/>
        <v>0</v>
      </c>
      <c r="G56" s="163">
        <f t="shared" si="15"/>
        <v>0.69190260000000003</v>
      </c>
      <c r="H56" s="105">
        <f t="shared" si="15"/>
        <v>0.13993710691823899</v>
      </c>
      <c r="I56" s="165">
        <f t="shared" si="12"/>
        <v>0.33918207448428689</v>
      </c>
      <c r="J56" s="165">
        <f t="shared" si="16"/>
        <v>0.7767589488779304</v>
      </c>
      <c r="K56" s="136">
        <f t="shared" si="13"/>
        <v>0.11698197666995908</v>
      </c>
      <c r="L56" s="136">
        <f t="shared" si="14"/>
        <v>9.9266634247359587E-3</v>
      </c>
      <c r="M56" s="141"/>
      <c r="N56" s="141"/>
      <c r="O56" s="135"/>
      <c r="P56" s="135"/>
    </row>
    <row r="57" spans="1:16">
      <c r="A57" s="103" t="s">
        <v>2400</v>
      </c>
      <c r="B57" s="88" t="s">
        <v>2401</v>
      </c>
      <c r="C57" s="120">
        <f t="shared" si="15"/>
        <v>46.885162988888972</v>
      </c>
      <c r="D57" s="120">
        <f t="shared" si="15"/>
        <v>2.1180154043814552</v>
      </c>
      <c r="E57" s="120">
        <f t="shared" si="15"/>
        <v>50.996821606729569</v>
      </c>
      <c r="F57" s="120">
        <f t="shared" si="15"/>
        <v>0</v>
      </c>
      <c r="G57" s="163">
        <f t="shared" si="15"/>
        <v>0.87370040181842501</v>
      </c>
      <c r="H57" s="105">
        <f t="shared" si="15"/>
        <v>6.0000000000000001E-3</v>
      </c>
      <c r="I57" s="165">
        <f t="shared" si="12"/>
        <v>0.44687332809757929</v>
      </c>
      <c r="J57" s="165">
        <f t="shared" si="16"/>
        <v>1.1131614602910698</v>
      </c>
      <c r="K57" s="136">
        <f t="shared" si="13"/>
        <v>0.11698197666995908</v>
      </c>
      <c r="L57" s="136">
        <f t="shared" si="14"/>
        <v>2.8012627955610634E-2</v>
      </c>
      <c r="M57" s="141"/>
      <c r="N57" s="141"/>
      <c r="O57" s="135"/>
      <c r="P57" s="135"/>
    </row>
    <row r="58" spans="1:16">
      <c r="A58" s="103" t="s">
        <v>2402</v>
      </c>
      <c r="B58" s="88" t="s">
        <v>1930</v>
      </c>
      <c r="C58" s="120">
        <f t="shared" si="15"/>
        <v>44.137938601801629</v>
      </c>
      <c r="D58" s="120">
        <f t="shared" si="15"/>
        <v>3.6925678334463385</v>
      </c>
      <c r="E58" s="120">
        <f t="shared" si="15"/>
        <v>51.679468047752806</v>
      </c>
      <c r="F58" s="120">
        <f t="shared" si="15"/>
        <v>0.49002551699922514</v>
      </c>
      <c r="G58" s="163">
        <f t="shared" si="15"/>
        <v>0.83927651394938352</v>
      </c>
      <c r="H58" s="105">
        <f t="shared" si="15"/>
        <v>0.12</v>
      </c>
      <c r="I58" s="165">
        <f t="shared" si="12"/>
        <v>0.46043159752266721</v>
      </c>
      <c r="J58" s="165">
        <f t="shared" si="16"/>
        <v>1.0682013062525879</v>
      </c>
      <c r="K58" s="136">
        <f t="shared" si="13"/>
        <v>0.11698197666995908</v>
      </c>
      <c r="L58" s="136">
        <f t="shared" si="14"/>
        <v>2.6780074712388684E-2</v>
      </c>
      <c r="M58" s="141"/>
      <c r="N58" s="141"/>
      <c r="O58" s="135"/>
      <c r="P58" s="135"/>
    </row>
    <row r="59" spans="1:16">
      <c r="A59" s="103" t="s">
        <v>2403</v>
      </c>
      <c r="B59" s="88" t="s">
        <v>946</v>
      </c>
      <c r="C59" s="120">
        <f t="shared" si="15"/>
        <v>50.695105118023719</v>
      </c>
      <c r="D59" s="120">
        <f t="shared" si="15"/>
        <v>1.6546185080761218</v>
      </c>
      <c r="E59" s="120">
        <f t="shared" si="15"/>
        <v>47.650276373900155</v>
      </c>
      <c r="F59" s="120">
        <f t="shared" si="15"/>
        <v>0</v>
      </c>
      <c r="G59" s="163">
        <f t="shared" si="15"/>
        <v>0.84497239355831155</v>
      </c>
      <c r="H59" s="105">
        <f t="shared" si="15"/>
        <v>0.21</v>
      </c>
      <c r="I59" s="165">
        <f t="shared" si="12"/>
        <v>0.45236181432771438</v>
      </c>
      <c r="J59" s="165">
        <f t="shared" si="16"/>
        <v>0.98841056430605578</v>
      </c>
      <c r="K59" s="136">
        <f t="shared" si="13"/>
        <v>0.11698197666995908</v>
      </c>
      <c r="L59" s="136">
        <f t="shared" si="14"/>
        <v>1.6779680743994222E-2</v>
      </c>
      <c r="M59" s="141"/>
      <c r="N59" s="141"/>
      <c r="O59" s="135"/>
      <c r="P59" s="135"/>
    </row>
    <row r="60" spans="1:16">
      <c r="A60" s="103" t="s">
        <v>2415</v>
      </c>
      <c r="B60" s="88" t="s">
        <v>763</v>
      </c>
      <c r="C60" s="120">
        <f t="shared" si="15"/>
        <v>45.855890300126745</v>
      </c>
      <c r="D60" s="120">
        <f t="shared" si="15"/>
        <v>2.708600944757023</v>
      </c>
      <c r="E60" s="120">
        <f t="shared" si="15"/>
        <v>51.435508755116231</v>
      </c>
      <c r="F60" s="120">
        <f t="shared" si="15"/>
        <v>0</v>
      </c>
      <c r="G60" s="163">
        <f t="shared" si="15"/>
        <v>0.82378961834926434</v>
      </c>
      <c r="H60" s="105">
        <f t="shared" si="15"/>
        <v>9.1999999999999998E-2</v>
      </c>
      <c r="I60" s="165">
        <f t="shared" si="12"/>
        <v>0.4435373330010588</v>
      </c>
      <c r="J60" s="165">
        <f t="shared" si="16"/>
        <v>1.0476351805485009</v>
      </c>
      <c r="K60" s="136">
        <f t="shared" si="13"/>
        <v>0.11698197666995908</v>
      </c>
      <c r="L60" s="136">
        <f t="shared" si="14"/>
        <v>2.6185896334864966E-2</v>
      </c>
      <c r="M60" s="141"/>
      <c r="N60" s="141"/>
      <c r="O60" s="135"/>
      <c r="P60" s="135"/>
    </row>
    <row r="61" spans="1:16">
      <c r="A61" s="103" t="s">
        <v>2420</v>
      </c>
      <c r="B61" s="88" t="s">
        <v>1115</v>
      </c>
      <c r="C61" s="120">
        <f t="shared" si="15"/>
        <v>47.990985455774066</v>
      </c>
      <c r="D61" s="120">
        <f t="shared" si="15"/>
        <v>3.1016018350390078E-3</v>
      </c>
      <c r="E61" s="120">
        <f t="shared" si="15"/>
        <v>51.911648572894606</v>
      </c>
      <c r="F61" s="120">
        <f t="shared" si="15"/>
        <v>9.4264369496283557E-2</v>
      </c>
      <c r="G61" s="163">
        <f t="shared" si="15"/>
        <v>0.97465009387607859</v>
      </c>
      <c r="H61" s="105">
        <f t="shared" si="15"/>
        <v>0.161</v>
      </c>
      <c r="I61" s="165">
        <f t="shared" si="12"/>
        <v>0.54841657436860292</v>
      </c>
      <c r="J61" s="165">
        <f t="shared" si="16"/>
        <v>1.2385988332114894</v>
      </c>
      <c r="K61" s="136">
        <f t="shared" si="13"/>
        <v>0.11698197666995908</v>
      </c>
      <c r="L61" s="136">
        <f t="shared" si="14"/>
        <v>3.0877245267000142E-2</v>
      </c>
      <c r="M61" s="141"/>
      <c r="N61" s="141"/>
      <c r="O61" s="135"/>
      <c r="P61" s="135"/>
    </row>
    <row r="62" spans="1:16">
      <c r="A62" s="103" t="s">
        <v>1328</v>
      </c>
      <c r="B62" s="88" t="s">
        <v>764</v>
      </c>
      <c r="C62" s="120">
        <f t="shared" si="15"/>
        <v>41.03249822202735</v>
      </c>
      <c r="D62" s="120">
        <f t="shared" si="15"/>
        <v>3.9376742073792692</v>
      </c>
      <c r="E62" s="120">
        <f t="shared" si="15"/>
        <v>54.436051094018232</v>
      </c>
      <c r="F62" s="120">
        <f t="shared" si="15"/>
        <v>0.59377647657514498</v>
      </c>
      <c r="G62" s="163">
        <f t="shared" si="15"/>
        <v>0.90169525929291461</v>
      </c>
      <c r="H62" s="105">
        <f t="shared" si="15"/>
        <v>0.19800000000000001</v>
      </c>
      <c r="I62" s="165">
        <f t="shared" si="12"/>
        <v>0.53952105767404257</v>
      </c>
      <c r="J62" s="165">
        <f t="shared" si="16"/>
        <v>1.1885648900559156</v>
      </c>
      <c r="K62" s="136">
        <f t="shared" si="13"/>
        <v>0.11698197666995908</v>
      </c>
      <c r="L62" s="136">
        <f t="shared" si="14"/>
        <v>3.3558576453237156E-2</v>
      </c>
      <c r="M62" s="141"/>
      <c r="N62" s="141"/>
      <c r="O62" s="135"/>
      <c r="P62" s="135"/>
    </row>
    <row r="63" spans="1:16">
      <c r="A63" s="103" t="s">
        <v>2421</v>
      </c>
      <c r="B63" s="88" t="s">
        <v>1366</v>
      </c>
      <c r="C63" s="120">
        <f t="shared" si="15"/>
        <v>45.657238909721279</v>
      </c>
      <c r="D63" s="120">
        <f t="shared" si="15"/>
        <v>2.292903089536579</v>
      </c>
      <c r="E63" s="120">
        <f t="shared" si="15"/>
        <v>52.049858000742141</v>
      </c>
      <c r="F63" s="120">
        <f t="shared" si="15"/>
        <v>0</v>
      </c>
      <c r="G63" s="163">
        <f t="shared" si="15"/>
        <v>0.98249693606702992</v>
      </c>
      <c r="H63" s="105">
        <f t="shared" si="15"/>
        <v>0.13800000000000001</v>
      </c>
      <c r="I63" s="165">
        <f t="shared" si="12"/>
        <v>0.54762527978529307</v>
      </c>
      <c r="J63" s="165">
        <f t="shared" si="16"/>
        <v>1.2557047665476768</v>
      </c>
      <c r="K63" s="136">
        <f t="shared" si="13"/>
        <v>0.11698197666995908</v>
      </c>
      <c r="L63" s="136">
        <f t="shared" si="14"/>
        <v>3.1960392051337168E-2</v>
      </c>
      <c r="M63" s="141"/>
      <c r="N63" s="141"/>
      <c r="O63" s="135"/>
      <c r="P63" s="135"/>
    </row>
    <row r="64" spans="1:16">
      <c r="A64" s="103" t="s">
        <v>2526</v>
      </c>
      <c r="B64" s="88" t="s">
        <v>2527</v>
      </c>
      <c r="C64" s="120">
        <f t="shared" si="15"/>
        <v>37.11398538865344</v>
      </c>
      <c r="D64" s="120">
        <f t="shared" si="15"/>
        <v>6.9546894248985778</v>
      </c>
      <c r="E64" s="120">
        <f t="shared" si="15"/>
        <v>55.931325186447992</v>
      </c>
      <c r="F64" s="120">
        <f t="shared" si="15"/>
        <v>0</v>
      </c>
      <c r="G64" s="163">
        <f t="shared" si="15"/>
        <v>0.8927250421094256</v>
      </c>
      <c r="H64" s="105">
        <f t="shared" si="15"/>
        <v>0.09</v>
      </c>
      <c r="I64" s="165">
        <f t="shared" si="12"/>
        <v>0.51993448780371287</v>
      </c>
      <c r="J64" s="165">
        <f t="shared" si="16"/>
        <v>1.2296450636557807</v>
      </c>
      <c r="K64" s="136">
        <f t="shared" si="13"/>
        <v>0.11698197666995908</v>
      </c>
      <c r="L64" s="136">
        <f t="shared" si="14"/>
        <v>3.9413570100177826E-2</v>
      </c>
      <c r="M64" s="141"/>
      <c r="N64" s="141"/>
      <c r="O64" s="135"/>
      <c r="P64" s="135"/>
    </row>
    <row r="65" spans="1:16">
      <c r="A65" s="103" t="s">
        <v>2432</v>
      </c>
      <c r="B65" s="88" t="s">
        <v>1138</v>
      </c>
      <c r="C65" s="120">
        <f t="shared" si="15"/>
        <v>39.63717632338421</v>
      </c>
      <c r="D65" s="120">
        <f t="shared" si="15"/>
        <v>4.092051939106395</v>
      </c>
      <c r="E65" s="120">
        <f t="shared" si="15"/>
        <v>56.270771737509392</v>
      </c>
      <c r="F65" s="120">
        <f t="shared" si="15"/>
        <v>0</v>
      </c>
      <c r="G65" s="163">
        <f t="shared" si="15"/>
        <v>0.91219232010489681</v>
      </c>
      <c r="H65" s="105">
        <f t="shared" si="15"/>
        <v>0.125</v>
      </c>
      <c r="I65" s="165">
        <f t="shared" si="12"/>
        <v>0.54297765026569156</v>
      </c>
      <c r="J65" s="165">
        <f t="shared" si="16"/>
        <v>1.2556358162394117</v>
      </c>
      <c r="K65" s="136">
        <f t="shared" si="13"/>
        <v>0.11698197666995908</v>
      </c>
      <c r="L65" s="136">
        <f t="shared" si="14"/>
        <v>4.0176699052257001E-2</v>
      </c>
      <c r="M65" s="141"/>
      <c r="N65" s="141"/>
      <c r="O65" s="135"/>
      <c r="P65" s="135"/>
    </row>
    <row r="66" spans="1:16">
      <c r="A66" s="103" t="s">
        <v>2435</v>
      </c>
      <c r="B66" s="88" t="s">
        <v>766</v>
      </c>
      <c r="C66" s="120">
        <f t="shared" si="15"/>
        <v>46.068948359780592</v>
      </c>
      <c r="D66" s="120">
        <f t="shared" si="15"/>
        <v>0.85899541095311693</v>
      </c>
      <c r="E66" s="120">
        <f t="shared" si="15"/>
        <v>53.072056229266295</v>
      </c>
      <c r="F66" s="120">
        <f t="shared" si="15"/>
        <v>0</v>
      </c>
      <c r="G66" s="163">
        <f t="shared" si="15"/>
        <v>1.0177614823084606</v>
      </c>
      <c r="H66" s="105">
        <f t="shared" si="15"/>
        <v>0.12</v>
      </c>
      <c r="I66" s="165">
        <f t="shared" si="12"/>
        <v>0.57237966717457611</v>
      </c>
      <c r="J66" s="165">
        <f t="shared" si="16"/>
        <v>1.3279208278450165</v>
      </c>
      <c r="K66" s="136">
        <f t="shared" si="13"/>
        <v>0.11698197666995908</v>
      </c>
      <c r="L66" s="136">
        <f t="shared" si="14"/>
        <v>3.6283053323527159E-2</v>
      </c>
      <c r="M66" s="141"/>
      <c r="N66" s="141"/>
      <c r="O66" s="135"/>
      <c r="P66" s="135"/>
    </row>
    <row r="67" spans="1:16">
      <c r="A67" s="103" t="s">
        <v>2442</v>
      </c>
      <c r="B67" s="88" t="s">
        <v>767</v>
      </c>
      <c r="C67" s="120">
        <f t="shared" si="15"/>
        <v>48.669564665105824</v>
      </c>
      <c r="D67" s="120">
        <f t="shared" si="15"/>
        <v>3.517963765468378</v>
      </c>
      <c r="E67" s="120">
        <f t="shared" si="15"/>
        <v>47.812471569425796</v>
      </c>
      <c r="F67" s="120">
        <f t="shared" si="15"/>
        <v>0</v>
      </c>
      <c r="G67" s="163">
        <f t="shared" si="15"/>
        <v>0.93579719106169845</v>
      </c>
      <c r="H67" s="105">
        <f t="shared" si="15"/>
        <v>0.129</v>
      </c>
      <c r="I67" s="165">
        <f t="shared" si="12"/>
        <v>0.47972368121953884</v>
      </c>
      <c r="J67" s="165">
        <f t="shared" si="16"/>
        <v>1.1064826707328663</v>
      </c>
      <c r="K67" s="136">
        <f t="shared" si="13"/>
        <v>0.11698197666995908</v>
      </c>
      <c r="L67" s="136">
        <f t="shared" si="14"/>
        <v>1.9967124800793334E-2</v>
      </c>
      <c r="M67" s="141"/>
      <c r="N67" s="141"/>
      <c r="O67" s="135"/>
      <c r="P67" s="135"/>
    </row>
    <row r="68" spans="1:16">
      <c r="A68" s="103" t="s">
        <v>2447</v>
      </c>
      <c r="B68" s="95" t="s">
        <v>31</v>
      </c>
      <c r="C68" s="120">
        <f t="shared" si="15"/>
        <v>41.892933776472269</v>
      </c>
      <c r="D68" s="120">
        <f t="shared" si="15"/>
        <v>3.7193170735697159</v>
      </c>
      <c r="E68" s="120">
        <f t="shared" si="15"/>
        <v>54.387749149958019</v>
      </c>
      <c r="F68" s="120">
        <f t="shared" si="15"/>
        <v>0</v>
      </c>
      <c r="G68" s="163">
        <f t="shared" si="15"/>
        <v>1.0663522553431179</v>
      </c>
      <c r="H68" s="105">
        <f t="shared" si="15"/>
        <v>0.19900000000000001</v>
      </c>
      <c r="I68" s="165">
        <f t="shared" si="12"/>
        <v>0.63786275841933004</v>
      </c>
      <c r="J68" s="165">
        <f t="shared" si="16"/>
        <v>1.404254862660155</v>
      </c>
      <c r="K68" s="136">
        <f t="shared" si="13"/>
        <v>0.11698197666995908</v>
      </c>
      <c r="L68" s="136">
        <f t="shared" si="14"/>
        <v>3.9528514925879971E-2</v>
      </c>
      <c r="M68" s="141"/>
      <c r="N68" s="141"/>
      <c r="O68" s="135"/>
      <c r="P68" s="135"/>
    </row>
    <row r="69" spans="1:16">
      <c r="A69" s="103" t="s">
        <v>2445</v>
      </c>
      <c r="B69" s="88" t="s">
        <v>2446</v>
      </c>
      <c r="C69" s="120">
        <f t="shared" si="15"/>
        <v>53.560996989944556</v>
      </c>
      <c r="D69" s="120">
        <f t="shared" si="15"/>
        <v>1.9531805171947958</v>
      </c>
      <c r="E69" s="120">
        <f t="shared" si="15"/>
        <v>44.485822492860642</v>
      </c>
      <c r="F69" s="120">
        <f t="shared" si="15"/>
        <v>0</v>
      </c>
      <c r="G69" s="163">
        <f t="shared" si="15"/>
        <v>0.87885600974494305</v>
      </c>
      <c r="H69" s="105">
        <f t="shared" si="15"/>
        <v>0.16800000000000001</v>
      </c>
      <c r="I69" s="165">
        <f t="shared" si="15"/>
        <v>0.4311797988385348</v>
      </c>
      <c r="J69" s="165">
        <f t="shared" si="16"/>
        <v>0.96929218778902615</v>
      </c>
      <c r="K69" s="136">
        <f t="shared" si="13"/>
        <v>0.11698197666995908</v>
      </c>
      <c r="L69" s="136">
        <f t="shared" si="14"/>
        <v>1.0579402870073196E-2</v>
      </c>
      <c r="M69" s="141"/>
      <c r="N69" s="141"/>
      <c r="O69" s="135"/>
      <c r="P69" s="135"/>
    </row>
    <row r="70" spans="1:16">
      <c r="A70" s="103" t="s">
        <v>2450</v>
      </c>
      <c r="B70" s="88" t="s">
        <v>768</v>
      </c>
      <c r="C70" s="120">
        <f t="shared" si="15"/>
        <v>44.253102338740064</v>
      </c>
      <c r="D70" s="120">
        <f t="shared" si="15"/>
        <v>2.0601591204408196</v>
      </c>
      <c r="E70" s="120">
        <f t="shared" si="15"/>
        <v>53.686738540819114</v>
      </c>
      <c r="F70" s="120">
        <f t="shared" si="15"/>
        <v>0</v>
      </c>
      <c r="G70" s="163">
        <f t="shared" si="15"/>
        <v>0.89737403966762719</v>
      </c>
      <c r="H70" s="105">
        <f t="shared" si="15"/>
        <v>0.114</v>
      </c>
      <c r="I70" s="165">
        <f t="shared" si="15"/>
        <v>0.50862477680027351</v>
      </c>
      <c r="J70" s="165">
        <f t="shared" si="16"/>
        <v>1.1845871051678369</v>
      </c>
      <c r="K70" s="136">
        <f t="shared" si="13"/>
        <v>0.11698197666995908</v>
      </c>
      <c r="L70" s="136">
        <f t="shared" si="14"/>
        <v>3.3598752127652967E-2</v>
      </c>
      <c r="M70" s="141"/>
      <c r="N70" s="141"/>
      <c r="O70" s="135"/>
      <c r="P70" s="135"/>
    </row>
    <row r="71" spans="1:16">
      <c r="A71" s="155" t="s">
        <v>2458</v>
      </c>
      <c r="B71" s="88" t="s">
        <v>2053</v>
      </c>
      <c r="C71" s="120">
        <f t="shared" si="15"/>
        <v>44.796038316387978</v>
      </c>
      <c r="D71" s="120">
        <f t="shared" si="15"/>
        <v>1.6055483333994263</v>
      </c>
      <c r="E71" s="120">
        <f t="shared" si="15"/>
        <v>53.598413350212603</v>
      </c>
      <c r="F71" s="120">
        <f t="shared" si="15"/>
        <v>0</v>
      </c>
      <c r="G71" s="163">
        <f t="shared" si="15"/>
        <v>0.82948435931460662</v>
      </c>
      <c r="H71" s="105" t="str">
        <f t="shared" si="15"/>
        <v>NMF</v>
      </c>
      <c r="I71" s="165" t="str">
        <f t="shared" si="15"/>
        <v>n/a</v>
      </c>
      <c r="J71" s="165" t="str">
        <f t="shared" si="16"/>
        <v>n/a</v>
      </c>
      <c r="K71" s="136">
        <f t="shared" si="13"/>
        <v>0.11698197666995908</v>
      </c>
      <c r="L71" s="136" t="str">
        <f t="shared" si="14"/>
        <v>n/a</v>
      </c>
      <c r="M71" s="141"/>
      <c r="N71" s="141"/>
      <c r="O71" s="135"/>
      <c r="P71" s="135"/>
    </row>
    <row r="72" spans="1:16" ht="14" thickBot="1">
      <c r="A72" s="154" t="s">
        <v>2575</v>
      </c>
      <c r="B72" s="106"/>
      <c r="C72" s="107"/>
      <c r="D72" s="107"/>
      <c r="E72" s="107">
        <f>AVERAGE(E53:E71)</f>
        <v>50.49021283958978</v>
      </c>
      <c r="F72" s="107"/>
      <c r="G72" s="166">
        <f>AVERAGE(G53:G71)</f>
        <v>0.87700034824032536</v>
      </c>
      <c r="H72" s="108"/>
      <c r="I72" s="169"/>
      <c r="J72" s="166"/>
      <c r="K72" s="109"/>
      <c r="L72" s="183">
        <f>AVERAGE(L53:L71)</f>
        <v>2.5051332994516538E-2</v>
      </c>
      <c r="M72" s="88"/>
      <c r="N72" s="88"/>
      <c r="O72" s="88"/>
      <c r="P72" s="88"/>
    </row>
    <row r="73" spans="1:16">
      <c r="A73" s="103"/>
      <c r="B73" s="95"/>
      <c r="C73" s="104"/>
      <c r="D73" s="104"/>
      <c r="E73" s="104"/>
      <c r="F73" s="104"/>
      <c r="G73" s="120"/>
      <c r="H73" s="88"/>
      <c r="I73" s="157"/>
      <c r="J73" s="120"/>
      <c r="K73" s="98"/>
      <c r="L73" s="98"/>
      <c r="M73" s="88"/>
      <c r="N73" s="88"/>
      <c r="O73" s="88"/>
      <c r="P73" s="88"/>
    </row>
    <row r="74" spans="1:16">
      <c r="A74" s="103"/>
      <c r="B74" s="95"/>
      <c r="C74" s="104"/>
      <c r="D74" s="104"/>
      <c r="E74" s="104"/>
      <c r="F74" s="104"/>
      <c r="G74" s="120"/>
      <c r="H74" s="88"/>
      <c r="I74" s="157"/>
      <c r="J74" s="120"/>
      <c r="K74" s="98"/>
      <c r="L74" s="98"/>
      <c r="M74" s="88"/>
      <c r="N74" s="88"/>
      <c r="O74" s="88"/>
      <c r="P74" s="88"/>
    </row>
    <row r="75" spans="1:16" ht="14" thickBot="1">
      <c r="A75" s="140"/>
      <c r="B75" s="88"/>
      <c r="C75" s="95"/>
      <c r="D75" s="95"/>
      <c r="E75" s="120"/>
      <c r="F75" s="120"/>
      <c r="G75" s="120"/>
      <c r="H75" s="88"/>
      <c r="I75" s="120"/>
      <c r="J75" s="120"/>
      <c r="K75" s="88"/>
      <c r="L75" s="132"/>
      <c r="M75" s="88"/>
      <c r="N75" s="88"/>
      <c r="O75" s="88"/>
      <c r="P75" s="88"/>
    </row>
    <row r="76" spans="1:16">
      <c r="A76" s="206" t="s">
        <v>2581</v>
      </c>
      <c r="B76" s="209" t="s">
        <v>1</v>
      </c>
      <c r="C76" s="200" t="s">
        <v>2560</v>
      </c>
      <c r="D76" s="200"/>
      <c r="E76" s="200"/>
      <c r="F76" s="200"/>
      <c r="G76" s="202" t="s">
        <v>2561</v>
      </c>
      <c r="H76" s="200" t="s">
        <v>2562</v>
      </c>
      <c r="I76" s="202" t="s">
        <v>2563</v>
      </c>
      <c r="J76" s="202" t="s">
        <v>2564</v>
      </c>
      <c r="K76" s="200" t="str">
        <f>K50</f>
        <v>Forward Equity Risk Premium</v>
      </c>
      <c r="L76" s="212" t="s">
        <v>2566</v>
      </c>
      <c r="M76" s="88"/>
      <c r="N76" s="88"/>
      <c r="O76" s="88"/>
      <c r="P76" s="88"/>
    </row>
    <row r="77" spans="1:16" ht="14.25" customHeight="1">
      <c r="A77" s="207"/>
      <c r="B77" s="210"/>
      <c r="C77" s="201" t="s">
        <v>2567</v>
      </c>
      <c r="D77" s="201"/>
      <c r="E77" s="201"/>
      <c r="F77" s="201"/>
      <c r="G77" s="203"/>
      <c r="H77" s="201"/>
      <c r="I77" s="203"/>
      <c r="J77" s="203"/>
      <c r="K77" s="201"/>
      <c r="L77" s="213"/>
      <c r="M77" s="88"/>
      <c r="N77" s="88"/>
      <c r="O77" s="88"/>
      <c r="P77" s="88"/>
    </row>
    <row r="78" spans="1:16" ht="14.25" customHeight="1">
      <c r="A78" s="208"/>
      <c r="B78" s="211"/>
      <c r="C78" s="148" t="s">
        <v>2568</v>
      </c>
      <c r="D78" s="148" t="s">
        <v>2569</v>
      </c>
      <c r="E78" s="139" t="s">
        <v>2570</v>
      </c>
      <c r="F78" s="139" t="s">
        <v>2571</v>
      </c>
      <c r="G78" s="204"/>
      <c r="H78" s="205"/>
      <c r="I78" s="204"/>
      <c r="J78" s="172">
        <v>0.38</v>
      </c>
      <c r="K78" s="205"/>
      <c r="L78" s="149">
        <f>J78</f>
        <v>0.38</v>
      </c>
      <c r="M78" s="88"/>
      <c r="N78" s="88"/>
      <c r="O78" s="88"/>
      <c r="P78" s="88"/>
    </row>
    <row r="79" spans="1:16" ht="14.25" customHeight="1">
      <c r="A79" s="103" t="s">
        <v>2572</v>
      </c>
      <c r="B79" s="88" t="s">
        <v>430</v>
      </c>
      <c r="C79" s="120">
        <f>_xlfn.XLOOKUP($B79, $B$4:$B$45, C$4:C$45)</f>
        <v>44.306914735654445</v>
      </c>
      <c r="D79" s="120">
        <f>_xlfn.XLOOKUP($B79, $B$4:$B$45, D$4:D$45)</f>
        <v>5.3392152668460762</v>
      </c>
      <c r="E79" s="120">
        <f t="shared" ref="E79:H86" si="17">_xlfn.XLOOKUP($B79, $B$4:$B$45, E$4:E$45)</f>
        <v>50.35386999749948</v>
      </c>
      <c r="F79" s="120">
        <f t="shared" si="17"/>
        <v>0</v>
      </c>
      <c r="G79" s="163">
        <f t="shared" si="17"/>
        <v>1.15571</v>
      </c>
      <c r="H79" s="105">
        <f>_xlfn.XLOOKUP($B79, $B$4:$B$45, H$4:H$45)</f>
        <v>0.245</v>
      </c>
      <c r="I79" s="165">
        <f t="shared" ref="I79:I86" si="18">_xlfn.XLOOKUP($B79, $B$4:$B$45, I$4:I$45)</f>
        <v>0.66253026719921182</v>
      </c>
      <c r="J79" s="165">
        <f>IFERROR(I79*(1+(1-H79)*((1-J$78)/(J$78))),"n/a")</f>
        <v>1.4786629463464513</v>
      </c>
      <c r="K79" s="136">
        <f t="shared" ref="K79:K86" si="19">_xlfn.XLOOKUP($B79, $B$4:$B$45, K$4:K$45)</f>
        <v>0.11698197666995908</v>
      </c>
      <c r="L79" s="105">
        <f t="shared" ref="L79:L86" si="20">IFERROR(K79*(J79-G79),"n/a")</f>
        <v>3.7779674034995117E-2</v>
      </c>
      <c r="M79" s="134"/>
      <c r="N79" s="134"/>
      <c r="O79" s="135"/>
      <c r="P79" s="135"/>
    </row>
    <row r="80" spans="1:16">
      <c r="A80" s="103" t="s">
        <v>2459</v>
      </c>
      <c r="B80" s="88" t="s">
        <v>610</v>
      </c>
      <c r="C80" s="120">
        <f t="shared" ref="C80:D86" si="21">_xlfn.XLOOKUP($B80, $B$4:$B$45, C$4:C$45)</f>
        <v>62.448371719759479</v>
      </c>
      <c r="D80" s="120">
        <f t="shared" si="21"/>
        <v>0</v>
      </c>
      <c r="E80" s="120">
        <f t="shared" si="17"/>
        <v>35.916692549130055</v>
      </c>
      <c r="F80" s="120">
        <f t="shared" si="17"/>
        <v>1.6349357311104638</v>
      </c>
      <c r="G80" s="167">
        <f t="shared" si="17"/>
        <v>0.85877409999999998</v>
      </c>
      <c r="H80" s="132">
        <f t="shared" si="17"/>
        <v>0.21639344262295082</v>
      </c>
      <c r="I80" s="167">
        <f t="shared" si="18"/>
        <v>0.35810200074326537</v>
      </c>
      <c r="J80" s="167">
        <f t="shared" ref="J80:J86" si="22">IFERROR(I80*(1+(1-H80)*((1-J$78)/(J$78))),"n/a")</f>
        <v>0.81594112473064284</v>
      </c>
      <c r="K80" s="132">
        <f t="shared" si="19"/>
        <v>0.11698197666995908</v>
      </c>
      <c r="L80" s="132">
        <f t="shared" si="20"/>
        <v>-5.0106861136648712E-3</v>
      </c>
      <c r="M80" s="134"/>
      <c r="N80" s="134"/>
      <c r="O80" s="135"/>
      <c r="P80" s="135"/>
    </row>
    <row r="81" spans="1:16">
      <c r="A81" s="103" t="s">
        <v>2461</v>
      </c>
      <c r="B81" s="88" t="s">
        <v>652</v>
      </c>
      <c r="C81" s="120">
        <f t="shared" si="21"/>
        <v>46.71986217527315</v>
      </c>
      <c r="D81" s="120">
        <f t="shared" si="21"/>
        <v>1.813483247948497</v>
      </c>
      <c r="E81" s="120">
        <f t="shared" si="17"/>
        <v>51.466654576778346</v>
      </c>
      <c r="F81" s="120">
        <f t="shared" si="17"/>
        <v>0</v>
      </c>
      <c r="G81" s="167">
        <f t="shared" si="17"/>
        <v>0.93412499999999998</v>
      </c>
      <c r="H81" s="132">
        <f t="shared" si="17"/>
        <v>0.23400000000000001</v>
      </c>
      <c r="I81" s="167">
        <f t="shared" si="18"/>
        <v>0.54235734090015209</v>
      </c>
      <c r="J81" s="167">
        <f t="shared" si="22"/>
        <v>1.2201898365325212</v>
      </c>
      <c r="K81" s="132">
        <f t="shared" si="19"/>
        <v>0.11698197666995908</v>
      </c>
      <c r="L81" s="132">
        <f t="shared" si="20"/>
        <v>3.3464430033343054E-2</v>
      </c>
      <c r="M81" s="134"/>
      <c r="N81" s="134"/>
      <c r="O81" s="135"/>
      <c r="P81" s="135"/>
    </row>
    <row r="82" spans="1:16">
      <c r="A82" s="103" t="s">
        <v>2573</v>
      </c>
      <c r="B82" s="88" t="s">
        <v>637</v>
      </c>
      <c r="C82" s="120">
        <f t="shared" si="21"/>
        <v>47.355037157675632</v>
      </c>
      <c r="D82" s="120">
        <f t="shared" si="21"/>
        <v>0.31757233184007161</v>
      </c>
      <c r="E82" s="120">
        <f t="shared" si="17"/>
        <v>52.327390510484292</v>
      </c>
      <c r="F82" s="120">
        <f t="shared" si="17"/>
        <v>0</v>
      </c>
      <c r="G82" s="167">
        <f t="shared" si="17"/>
        <v>0.72239589999999998</v>
      </c>
      <c r="H82" s="132">
        <f t="shared" si="17"/>
        <v>0.14599999999999999</v>
      </c>
      <c r="I82" s="167">
        <f t="shared" si="18"/>
        <v>0.40628948861517949</v>
      </c>
      <c r="J82" s="167">
        <f t="shared" si="22"/>
        <v>0.97240043185719327</v>
      </c>
      <c r="K82" s="132">
        <f t="shared" si="19"/>
        <v>0.11698197666995908</v>
      </c>
      <c r="L82" s="132">
        <f t="shared" si="20"/>
        <v>2.9246024313102227E-2</v>
      </c>
      <c r="M82" s="134"/>
      <c r="N82" s="134"/>
      <c r="O82" s="135"/>
      <c r="P82" s="135"/>
    </row>
    <row r="83" spans="1:16">
      <c r="A83" s="103" t="s">
        <v>2579</v>
      </c>
      <c r="B83" s="88" t="s">
        <v>2380</v>
      </c>
      <c r="C83" s="120">
        <f t="shared" si="21"/>
        <v>39.79750803770947</v>
      </c>
      <c r="D83" s="120">
        <f t="shared" si="21"/>
        <v>0</v>
      </c>
      <c r="E83" s="120">
        <f t="shared" si="17"/>
        <v>60.202491962290537</v>
      </c>
      <c r="F83" s="120">
        <f t="shared" si="17"/>
        <v>0</v>
      </c>
      <c r="G83" s="167">
        <f t="shared" si="17"/>
        <v>0.82918805364407167</v>
      </c>
      <c r="H83" s="132">
        <f t="shared" si="17"/>
        <v>0.114</v>
      </c>
      <c r="I83" s="167">
        <f t="shared" si="18"/>
        <v>0.52291613678608884</v>
      </c>
      <c r="J83" s="167">
        <f t="shared" si="22"/>
        <v>1.2788326953632845</v>
      </c>
      <c r="K83" s="132">
        <f t="shared" si="19"/>
        <v>0.11698197666995908</v>
      </c>
      <c r="L83" s="132">
        <f t="shared" si="20"/>
        <v>5.2600318987369062E-2</v>
      </c>
      <c r="M83" s="134"/>
      <c r="N83" s="134"/>
      <c r="O83" s="135"/>
      <c r="P83" s="135"/>
    </row>
    <row r="84" spans="1:16">
      <c r="A84" s="103" t="s">
        <v>2387</v>
      </c>
      <c r="B84" s="88" t="s">
        <v>2388</v>
      </c>
      <c r="C84" s="120">
        <f t="shared" si="21"/>
        <v>52.398287974465219</v>
      </c>
      <c r="D84" s="120">
        <f t="shared" si="21"/>
        <v>0.63958919925185598</v>
      </c>
      <c r="E84" s="120">
        <f t="shared" si="17"/>
        <v>46.962122826282929</v>
      </c>
      <c r="F84" s="120">
        <f t="shared" si="17"/>
        <v>0</v>
      </c>
      <c r="G84" s="167">
        <f t="shared" si="17"/>
        <v>0.74464980030632322</v>
      </c>
      <c r="H84" s="132">
        <f t="shared" si="17"/>
        <v>0.25700000000000001</v>
      </c>
      <c r="I84" s="167">
        <f t="shared" si="18"/>
        <v>0.40489328183167222</v>
      </c>
      <c r="J84" s="167">
        <f t="shared" si="22"/>
        <v>0.89573049027529872</v>
      </c>
      <c r="K84" s="132">
        <f t="shared" si="19"/>
        <v>0.11698197666995908</v>
      </c>
      <c r="L84" s="132">
        <f t="shared" si="20"/>
        <v>1.7673717749232012E-2</v>
      </c>
      <c r="M84" s="134"/>
      <c r="N84" s="134"/>
      <c r="O84" s="135"/>
      <c r="P84" s="135"/>
    </row>
    <row r="85" spans="1:16">
      <c r="A85" s="103" t="s">
        <v>2538</v>
      </c>
      <c r="B85" s="88" t="s">
        <v>2539</v>
      </c>
      <c r="C85" s="120">
        <f t="shared" si="21"/>
        <v>39.54935552780416</v>
      </c>
      <c r="D85" s="120">
        <f t="shared" si="21"/>
        <v>4.0505407783519159E-4</v>
      </c>
      <c r="E85" s="120">
        <f t="shared" si="17"/>
        <v>60.450239418118002</v>
      </c>
      <c r="F85" s="120">
        <f t="shared" si="17"/>
        <v>0</v>
      </c>
      <c r="G85" s="167">
        <f t="shared" si="17"/>
        <v>0.83247976724837924</v>
      </c>
      <c r="H85" s="132">
        <f t="shared" si="17"/>
        <v>0.14899999999999999</v>
      </c>
      <c r="I85" s="167">
        <f t="shared" si="18"/>
        <v>0.53474826981260637</v>
      </c>
      <c r="J85" s="167">
        <f t="shared" si="22"/>
        <v>1.2772321701245204</v>
      </c>
      <c r="K85" s="132">
        <f t="shared" si="19"/>
        <v>0.11698197666995908</v>
      </c>
      <c r="L85" s="132">
        <f t="shared" si="20"/>
        <v>5.2028015217164984E-2</v>
      </c>
      <c r="M85" s="134"/>
      <c r="N85" s="134"/>
      <c r="O85" s="135"/>
      <c r="P85" s="135"/>
    </row>
    <row r="86" spans="1:16">
      <c r="A86" s="155" t="s">
        <v>2540</v>
      </c>
      <c r="B86" s="88" t="s">
        <v>2541</v>
      </c>
      <c r="C86" s="120">
        <f t="shared" si="21"/>
        <v>42.863774092268784</v>
      </c>
      <c r="D86" s="120">
        <f t="shared" si="21"/>
        <v>10.86671947546769</v>
      </c>
      <c r="E86" s="120">
        <f t="shared" si="17"/>
        <v>46.269506432263526</v>
      </c>
      <c r="F86" s="120">
        <f t="shared" si="17"/>
        <v>0</v>
      </c>
      <c r="G86" s="167">
        <f t="shared" si="17"/>
        <v>0.86346076191264043</v>
      </c>
      <c r="H86" s="132">
        <f t="shared" si="17"/>
        <v>0.151</v>
      </c>
      <c r="I86" s="167">
        <f t="shared" si="18"/>
        <v>0.43479529949811913</v>
      </c>
      <c r="J86" s="167">
        <f t="shared" si="22"/>
        <v>1.03707832515554</v>
      </c>
      <c r="K86" s="132">
        <f t="shared" si="19"/>
        <v>0.11698197666995908</v>
      </c>
      <c r="L86" s="132">
        <f t="shared" si="20"/>
        <v>2.0310125732776022E-2</v>
      </c>
      <c r="M86" s="134"/>
      <c r="N86" s="134"/>
      <c r="O86" s="135"/>
      <c r="P86" s="135"/>
    </row>
    <row r="87" spans="1:16" ht="14" thickBot="1">
      <c r="A87" s="154" t="s">
        <v>2575</v>
      </c>
      <c r="B87" s="106"/>
      <c r="C87" s="107"/>
      <c r="D87" s="107"/>
      <c r="E87" s="107">
        <f>AVERAGE(E79:E86)</f>
        <v>50.493621034105892</v>
      </c>
      <c r="F87" s="107"/>
      <c r="G87" s="107">
        <f>AVERAGE(G79:G86)</f>
        <v>0.8675979228889269</v>
      </c>
      <c r="H87" s="108"/>
      <c r="I87" s="170"/>
      <c r="J87" s="166"/>
      <c r="K87" s="143"/>
      <c r="L87" s="184">
        <f>AVERAGE(L79:L86)</f>
        <v>2.97614524942897E-2</v>
      </c>
      <c r="M87" s="88"/>
      <c r="N87" s="88"/>
      <c r="O87" s="88"/>
      <c r="P87" s="88"/>
    </row>
    <row r="88" spans="1:16">
      <c r="A88" s="103"/>
      <c r="B88" s="95"/>
      <c r="C88" s="104"/>
      <c r="D88" s="104"/>
      <c r="E88" s="104"/>
      <c r="F88" s="104"/>
      <c r="G88" s="120"/>
      <c r="H88" s="88"/>
      <c r="I88" s="171"/>
      <c r="J88" s="120"/>
      <c r="K88" s="144"/>
      <c r="L88" s="144"/>
      <c r="M88" s="88"/>
      <c r="N88" s="88"/>
      <c r="O88" s="88"/>
      <c r="P88" s="88"/>
    </row>
    <row r="89" spans="1:16">
      <c r="A89" s="103"/>
      <c r="B89" s="95"/>
      <c r="C89" s="104"/>
      <c r="D89" s="104"/>
      <c r="E89" s="104"/>
      <c r="F89" s="104"/>
      <c r="G89" s="120"/>
      <c r="H89" s="88"/>
      <c r="I89" s="171"/>
      <c r="J89" s="120"/>
      <c r="K89" s="144"/>
      <c r="L89" s="144"/>
      <c r="M89" s="88"/>
      <c r="N89" s="88"/>
      <c r="O89" s="88"/>
      <c r="P89" s="88"/>
    </row>
    <row r="90" spans="1:16">
      <c r="A90" s="103"/>
      <c r="B90" s="88"/>
      <c r="C90" s="88"/>
      <c r="D90" s="88"/>
      <c r="E90" s="120"/>
      <c r="F90" s="120"/>
      <c r="G90" s="120"/>
      <c r="H90" s="88"/>
      <c r="I90" s="120"/>
      <c r="J90" s="120"/>
      <c r="K90" s="88"/>
      <c r="L90" s="132"/>
      <c r="M90" s="87"/>
      <c r="N90" s="87"/>
      <c r="O90" s="87"/>
      <c r="P90" s="87"/>
    </row>
    <row r="91" spans="1:16">
      <c r="A91" s="103"/>
      <c r="B91" s="88"/>
      <c r="C91" s="88"/>
      <c r="D91" s="88"/>
      <c r="E91" s="120"/>
      <c r="F91" s="120"/>
      <c r="G91" s="120"/>
      <c r="H91" s="88"/>
      <c r="I91" s="120"/>
      <c r="J91" s="120"/>
      <c r="K91" s="88"/>
      <c r="L91" s="132"/>
      <c r="M91" s="87"/>
      <c r="N91" s="87"/>
      <c r="O91" s="87"/>
      <c r="P91" s="87"/>
    </row>
    <row r="92" spans="1:16" ht="14" thickBot="1">
      <c r="A92" s="103"/>
      <c r="B92" s="88"/>
      <c r="C92" s="88"/>
      <c r="D92" s="88"/>
      <c r="E92" s="120"/>
      <c r="F92" s="120"/>
      <c r="G92" s="120"/>
      <c r="H92" s="88"/>
      <c r="I92" s="120"/>
      <c r="J92" s="120"/>
      <c r="K92" s="88"/>
      <c r="L92" s="132"/>
      <c r="M92" s="87"/>
      <c r="N92" s="87"/>
      <c r="O92" s="87"/>
      <c r="P92" s="87"/>
    </row>
    <row r="93" spans="1:16">
      <c r="A93" s="206" t="s">
        <v>2582</v>
      </c>
      <c r="B93" s="209" t="s">
        <v>1</v>
      </c>
      <c r="C93" s="200" t="s">
        <v>2560</v>
      </c>
      <c r="D93" s="200"/>
      <c r="E93" s="200"/>
      <c r="F93" s="200"/>
      <c r="G93" s="202" t="s">
        <v>2561</v>
      </c>
      <c r="H93" s="200" t="s">
        <v>2562</v>
      </c>
      <c r="I93" s="202" t="s">
        <v>2563</v>
      </c>
      <c r="J93" s="202" t="s">
        <v>2564</v>
      </c>
      <c r="K93" s="200" t="s">
        <v>2583</v>
      </c>
      <c r="L93" s="212" t="s">
        <v>2566</v>
      </c>
      <c r="M93" s="87"/>
      <c r="N93" s="87"/>
      <c r="O93" s="87"/>
      <c r="P93" s="87"/>
    </row>
    <row r="94" spans="1:16" ht="14.25" customHeight="1">
      <c r="A94" s="207"/>
      <c r="B94" s="210"/>
      <c r="C94" s="201" t="s">
        <v>2567</v>
      </c>
      <c r="D94" s="201"/>
      <c r="E94" s="201"/>
      <c r="F94" s="201"/>
      <c r="G94" s="203"/>
      <c r="H94" s="201"/>
      <c r="I94" s="203"/>
      <c r="J94" s="203"/>
      <c r="K94" s="201"/>
      <c r="L94" s="213"/>
      <c r="M94" s="87"/>
      <c r="N94" s="87"/>
      <c r="O94" s="87"/>
      <c r="P94" s="87"/>
    </row>
    <row r="95" spans="1:16">
      <c r="A95" s="208"/>
      <c r="B95" s="211"/>
      <c r="C95" s="148" t="s">
        <v>2568</v>
      </c>
      <c r="D95" s="148" t="s">
        <v>2569</v>
      </c>
      <c r="E95" s="139" t="s">
        <v>2570</v>
      </c>
      <c r="F95" s="139" t="s">
        <v>2571</v>
      </c>
      <c r="G95" s="204"/>
      <c r="H95" s="205"/>
      <c r="I95" s="204"/>
      <c r="J95" s="173" t="s">
        <v>2584</v>
      </c>
      <c r="K95" s="205"/>
      <c r="L95" s="149" t="str">
        <f>J95</f>
        <v>40% or 38%</v>
      </c>
      <c r="M95" s="87"/>
      <c r="N95" s="87"/>
      <c r="O95" s="87"/>
      <c r="P95" s="87"/>
    </row>
    <row r="96" spans="1:16">
      <c r="A96" s="192" t="s">
        <v>2572</v>
      </c>
      <c r="B96" s="193" t="s">
        <v>430</v>
      </c>
      <c r="C96" s="120">
        <f>_xlfn.XLOOKUP($B96, $B$4:$B$45, C$4:C$45)</f>
        <v>44.306914735654445</v>
      </c>
      <c r="D96" s="120">
        <f>_xlfn.XLOOKUP($B96, $B$4:$B$45, D$4:D$45)</f>
        <v>5.3392152668460762</v>
      </c>
      <c r="E96" s="120">
        <f t="shared" ref="E96:K111" si="23">_xlfn.XLOOKUP($B96, $B$4:$B$45, E$4:E$45)</f>
        <v>50.35386999749948</v>
      </c>
      <c r="F96" s="120">
        <f t="shared" si="23"/>
        <v>0</v>
      </c>
      <c r="G96" s="163">
        <f t="shared" si="23"/>
        <v>1.15571</v>
      </c>
      <c r="H96" s="105">
        <f>_xlfn.XLOOKUP($B96, $B$4:$B$45, H$4:H$45)</f>
        <v>0.245</v>
      </c>
      <c r="I96" s="167">
        <f t="shared" ref="I96:K120" si="24">_xlfn.XLOOKUP($B96, $B$4:$B$45, I$4:I$45)</f>
        <v>0.66253026719921182</v>
      </c>
      <c r="J96" s="163">
        <f t="shared" si="23"/>
        <v>1.4128457948023192</v>
      </c>
      <c r="K96" s="136">
        <f t="shared" si="23"/>
        <v>0.11698197666995908</v>
      </c>
      <c r="L96" s="105">
        <f t="shared" ref="L96:L120" si="25">IFERROR(K96*(J96-G96),"n/a")</f>
        <v>3.0080253548576286E-2</v>
      </c>
      <c r="M96" s="87"/>
      <c r="N96" s="87"/>
      <c r="O96" s="87"/>
      <c r="P96" s="87"/>
    </row>
    <row r="97" spans="1:16">
      <c r="A97" s="192" t="s">
        <v>2459</v>
      </c>
      <c r="B97" s="193" t="s">
        <v>610</v>
      </c>
      <c r="C97" s="137">
        <f t="shared" ref="C97:H120" si="26">_xlfn.XLOOKUP($B97, $B$4:$B$45, C$4:C$45)</f>
        <v>62.448371719759479</v>
      </c>
      <c r="D97" s="137">
        <f t="shared" si="26"/>
        <v>0</v>
      </c>
      <c r="E97" s="137">
        <f t="shared" si="23"/>
        <v>35.916692549130055</v>
      </c>
      <c r="F97" s="137">
        <f t="shared" si="23"/>
        <v>1.6349357311104638</v>
      </c>
      <c r="G97" s="120">
        <f t="shared" si="23"/>
        <v>0.85877409999999998</v>
      </c>
      <c r="H97" s="132">
        <f t="shared" si="23"/>
        <v>0.21639344262295082</v>
      </c>
      <c r="I97" s="120">
        <f t="shared" si="24"/>
        <v>0.35810200074326537</v>
      </c>
      <c r="J97" s="120">
        <f t="shared" si="23"/>
        <v>0.77901861473166079</v>
      </c>
      <c r="K97" s="145">
        <f t="shared" si="23"/>
        <v>0.11698197666995908</v>
      </c>
      <c r="L97" s="180">
        <f t="shared" si="25"/>
        <v>-9.3299543169621212E-3</v>
      </c>
      <c r="M97" s="87"/>
      <c r="N97" s="87"/>
      <c r="O97" s="87"/>
      <c r="P97" s="87"/>
    </row>
    <row r="98" spans="1:16">
      <c r="A98" s="192" t="s">
        <v>2460</v>
      </c>
      <c r="B98" s="193" t="s">
        <v>445</v>
      </c>
      <c r="C98" s="137">
        <f t="shared" si="26"/>
        <v>48.728250475051112</v>
      </c>
      <c r="D98" s="137">
        <f t="shared" si="26"/>
        <v>4.8737641917640868</v>
      </c>
      <c r="E98" s="137">
        <f t="shared" si="23"/>
        <v>46.397985333184806</v>
      </c>
      <c r="F98" s="137">
        <f t="shared" si="23"/>
        <v>0</v>
      </c>
      <c r="G98" s="120">
        <f t="shared" si="23"/>
        <v>0.71881010000000001</v>
      </c>
      <c r="H98" s="132">
        <f t="shared" si="23"/>
        <v>0.11</v>
      </c>
      <c r="I98" s="120">
        <f t="shared" si="24"/>
        <v>0.3544102165601925</v>
      </c>
      <c r="J98" s="120">
        <f t="shared" si="23"/>
        <v>0.82754785566804945</v>
      </c>
      <c r="K98" s="145">
        <f t="shared" si="23"/>
        <v>0.11698197666995908</v>
      </c>
      <c r="L98" s="180">
        <f t="shared" si="25"/>
        <v>1.2720357596703469E-2</v>
      </c>
      <c r="M98" s="87"/>
      <c r="N98" s="87"/>
      <c r="O98" s="87"/>
      <c r="P98" s="87"/>
    </row>
    <row r="99" spans="1:16">
      <c r="A99" s="192" t="s">
        <v>2461</v>
      </c>
      <c r="B99" s="193" t="s">
        <v>652</v>
      </c>
      <c r="C99" s="137">
        <f t="shared" si="26"/>
        <v>46.71986217527315</v>
      </c>
      <c r="D99" s="137">
        <f t="shared" si="26"/>
        <v>1.813483247948497</v>
      </c>
      <c r="E99" s="137">
        <f t="shared" si="23"/>
        <v>51.466654576778346</v>
      </c>
      <c r="F99" s="137">
        <f t="shared" si="23"/>
        <v>0</v>
      </c>
      <c r="G99" s="120">
        <f t="shared" si="23"/>
        <v>0.93412499999999998</v>
      </c>
      <c r="H99" s="132">
        <f t="shared" si="23"/>
        <v>0.23400000000000001</v>
      </c>
      <c r="I99" s="120">
        <f t="shared" si="24"/>
        <v>0.54235734090015209</v>
      </c>
      <c r="J99" s="120">
        <f t="shared" si="23"/>
        <v>1.1655259255944268</v>
      </c>
      <c r="K99" s="145">
        <f t="shared" si="23"/>
        <v>0.11698197666995908</v>
      </c>
      <c r="L99" s="180">
        <f t="shared" si="25"/>
        <v>2.7069737679294173E-2</v>
      </c>
      <c r="M99" s="87"/>
      <c r="N99" s="87"/>
      <c r="O99" s="87"/>
      <c r="P99" s="87"/>
    </row>
    <row r="100" spans="1:16">
      <c r="A100" s="103" t="s">
        <v>2573</v>
      </c>
      <c r="B100" s="88" t="s">
        <v>637</v>
      </c>
      <c r="C100" s="120">
        <f t="shared" si="26"/>
        <v>47.355037157675632</v>
      </c>
      <c r="D100" s="120">
        <f t="shared" si="26"/>
        <v>0.31757233184007161</v>
      </c>
      <c r="E100" s="120">
        <f t="shared" si="23"/>
        <v>52.327390510484292</v>
      </c>
      <c r="F100" s="120">
        <f t="shared" si="23"/>
        <v>0</v>
      </c>
      <c r="G100" s="120">
        <f t="shared" si="23"/>
        <v>0.72239589999999998</v>
      </c>
      <c r="H100" s="132">
        <f t="shared" si="23"/>
        <v>0.14599999999999999</v>
      </c>
      <c r="I100" s="120">
        <f t="shared" si="24"/>
        <v>0.40628948861517949</v>
      </c>
      <c r="J100" s="120">
        <f>_xlfn.XLOOKUP($B100, $B$4:$B$45, J$4:J$45)</f>
        <v>0.92674632353122433</v>
      </c>
      <c r="K100" s="130">
        <f t="shared" si="23"/>
        <v>0.11698197666995908</v>
      </c>
      <c r="L100" s="132">
        <f t="shared" si="25"/>
        <v>2.3905316478025941E-2</v>
      </c>
      <c r="M100" s="87"/>
      <c r="N100" s="87"/>
      <c r="O100" s="87"/>
      <c r="P100" s="87"/>
    </row>
    <row r="101" spans="1:16">
      <c r="A101" s="103" t="s">
        <v>2574</v>
      </c>
      <c r="B101" s="88" t="s">
        <v>2504</v>
      </c>
      <c r="C101" s="120">
        <f t="shared" si="26"/>
        <v>53.684566532636879</v>
      </c>
      <c r="D101" s="120">
        <f t="shared" si="26"/>
        <v>1.048438615610086</v>
      </c>
      <c r="E101" s="120">
        <f t="shared" si="23"/>
        <v>45.266994851753033</v>
      </c>
      <c r="F101" s="120">
        <f t="shared" si="23"/>
        <v>0</v>
      </c>
      <c r="G101" s="120">
        <f t="shared" si="23"/>
        <v>0.69190260000000003</v>
      </c>
      <c r="H101" s="132">
        <f t="shared" si="23"/>
        <v>0.13993710691823899</v>
      </c>
      <c r="I101" s="120">
        <f t="shared" si="24"/>
        <v>0.33918207448428689</v>
      </c>
      <c r="J101" s="120">
        <f t="shared" si="23"/>
        <v>0.7767589488779304</v>
      </c>
      <c r="K101" s="130">
        <f t="shared" si="23"/>
        <v>0.11698197666995908</v>
      </c>
      <c r="L101" s="132">
        <f t="shared" si="25"/>
        <v>9.9266634247359587E-3</v>
      </c>
      <c r="M101" s="87"/>
      <c r="N101" s="87"/>
      <c r="O101" s="87"/>
      <c r="P101" s="87"/>
    </row>
    <row r="102" spans="1:16">
      <c r="A102" s="103" t="s">
        <v>2400</v>
      </c>
      <c r="B102" s="88" t="s">
        <v>2401</v>
      </c>
      <c r="C102" s="120">
        <f t="shared" si="26"/>
        <v>46.885162988888972</v>
      </c>
      <c r="D102" s="120">
        <f t="shared" si="26"/>
        <v>2.1180154043814552</v>
      </c>
      <c r="E102" s="120">
        <f t="shared" si="23"/>
        <v>50.996821606729569</v>
      </c>
      <c r="F102" s="120">
        <f t="shared" si="23"/>
        <v>0</v>
      </c>
      <c r="G102" s="120">
        <f t="shared" si="23"/>
        <v>0.87370040181842501</v>
      </c>
      <c r="H102" s="132">
        <f t="shared" si="23"/>
        <v>6.0000000000000001E-3</v>
      </c>
      <c r="I102" s="120">
        <f t="shared" si="24"/>
        <v>0.44687332809757929</v>
      </c>
      <c r="J102" s="120">
        <f t="shared" si="23"/>
        <v>1.1131614602910698</v>
      </c>
      <c r="K102" s="130">
        <f t="shared" si="23"/>
        <v>0.11698197666995908</v>
      </c>
      <c r="L102" s="132">
        <f t="shared" si="25"/>
        <v>2.8012627955610634E-2</v>
      </c>
      <c r="M102" s="87"/>
      <c r="N102" s="87"/>
      <c r="O102" s="87"/>
      <c r="P102" s="87"/>
    </row>
    <row r="103" spans="1:16">
      <c r="A103" s="103" t="s">
        <v>2402</v>
      </c>
      <c r="B103" s="88" t="s">
        <v>1930</v>
      </c>
      <c r="C103" s="120">
        <f t="shared" si="26"/>
        <v>44.137938601801629</v>
      </c>
      <c r="D103" s="120">
        <f t="shared" si="26"/>
        <v>3.6925678334463385</v>
      </c>
      <c r="E103" s="120">
        <f t="shared" si="23"/>
        <v>51.679468047752806</v>
      </c>
      <c r="F103" s="120">
        <f t="shared" si="23"/>
        <v>0.49002551699922514</v>
      </c>
      <c r="G103" s="120">
        <f t="shared" si="23"/>
        <v>0.83927651394938352</v>
      </c>
      <c r="H103" s="132">
        <f t="shared" si="23"/>
        <v>0.12</v>
      </c>
      <c r="I103" s="120">
        <f t="shared" si="24"/>
        <v>0.46043159752266721</v>
      </c>
      <c r="J103" s="120">
        <f t="shared" si="23"/>
        <v>1.0682013062525879</v>
      </c>
      <c r="K103" s="130">
        <f t="shared" si="23"/>
        <v>0.11698197666995908</v>
      </c>
      <c r="L103" s="132">
        <f t="shared" si="25"/>
        <v>2.6780074712388684E-2</v>
      </c>
      <c r="M103" s="87"/>
      <c r="N103" s="87"/>
      <c r="O103" s="87"/>
      <c r="P103" s="87"/>
    </row>
    <row r="104" spans="1:16">
      <c r="A104" s="103" t="s">
        <v>2403</v>
      </c>
      <c r="B104" s="88" t="s">
        <v>946</v>
      </c>
      <c r="C104" s="120">
        <f t="shared" si="26"/>
        <v>50.695105118023719</v>
      </c>
      <c r="D104" s="120">
        <f t="shared" si="26"/>
        <v>1.6546185080761218</v>
      </c>
      <c r="E104" s="120">
        <f t="shared" si="23"/>
        <v>47.650276373900155</v>
      </c>
      <c r="F104" s="120">
        <f t="shared" si="23"/>
        <v>0</v>
      </c>
      <c r="G104" s="120">
        <f t="shared" si="23"/>
        <v>0.84497239355831155</v>
      </c>
      <c r="H104" s="132">
        <f t="shared" si="23"/>
        <v>0.21</v>
      </c>
      <c r="I104" s="120">
        <f t="shared" si="24"/>
        <v>0.45236181432771438</v>
      </c>
      <c r="J104" s="120">
        <f t="shared" si="23"/>
        <v>0.98841056430605578</v>
      </c>
      <c r="K104" s="130">
        <f t="shared" si="23"/>
        <v>0.11698197666995908</v>
      </c>
      <c r="L104" s="132">
        <f t="shared" si="25"/>
        <v>1.6779680743994222E-2</v>
      </c>
      <c r="M104" s="87"/>
      <c r="N104" s="87"/>
      <c r="O104" s="87"/>
      <c r="P104" s="87"/>
    </row>
    <row r="105" spans="1:16">
      <c r="A105" s="103" t="s">
        <v>2415</v>
      </c>
      <c r="B105" s="88" t="s">
        <v>763</v>
      </c>
      <c r="C105" s="120">
        <f t="shared" si="26"/>
        <v>45.855890300126745</v>
      </c>
      <c r="D105" s="120">
        <f t="shared" si="26"/>
        <v>2.708600944757023</v>
      </c>
      <c r="E105" s="120">
        <f t="shared" si="23"/>
        <v>51.435508755116231</v>
      </c>
      <c r="F105" s="120">
        <f t="shared" si="23"/>
        <v>0</v>
      </c>
      <c r="G105" s="120">
        <f t="shared" si="23"/>
        <v>0.82378961834926434</v>
      </c>
      <c r="H105" s="132">
        <f t="shared" si="23"/>
        <v>9.1999999999999998E-2</v>
      </c>
      <c r="I105" s="120">
        <f t="shared" si="24"/>
        <v>0.4435373330010588</v>
      </c>
      <c r="J105" s="120">
        <f t="shared" si="23"/>
        <v>1.0476351805485009</v>
      </c>
      <c r="K105" s="130">
        <f t="shared" si="23"/>
        <v>0.11698197666995908</v>
      </c>
      <c r="L105" s="132">
        <f t="shared" si="25"/>
        <v>2.6185896334864966E-2</v>
      </c>
      <c r="M105" s="87"/>
      <c r="N105" s="87"/>
      <c r="O105" s="87"/>
      <c r="P105" s="87"/>
    </row>
    <row r="106" spans="1:16">
      <c r="A106" s="103" t="s">
        <v>2420</v>
      </c>
      <c r="B106" s="88" t="s">
        <v>1115</v>
      </c>
      <c r="C106" s="120">
        <f t="shared" si="26"/>
        <v>47.990985455774066</v>
      </c>
      <c r="D106" s="120">
        <f t="shared" si="26"/>
        <v>3.1016018350390078E-3</v>
      </c>
      <c r="E106" s="120">
        <f t="shared" si="23"/>
        <v>51.911648572894606</v>
      </c>
      <c r="F106" s="120">
        <f t="shared" si="23"/>
        <v>9.4264369496283557E-2</v>
      </c>
      <c r="G106" s="120">
        <f t="shared" si="23"/>
        <v>0.97465009387607859</v>
      </c>
      <c r="H106" s="132">
        <f t="shared" si="23"/>
        <v>0.161</v>
      </c>
      <c r="I106" s="120">
        <f t="shared" si="24"/>
        <v>0.54841657436860292</v>
      </c>
      <c r="J106" s="120">
        <f t="shared" si="23"/>
        <v>1.2385988332114894</v>
      </c>
      <c r="K106" s="130">
        <f t="shared" si="23"/>
        <v>0.11698197666995908</v>
      </c>
      <c r="L106" s="132">
        <f t="shared" si="25"/>
        <v>3.0877245267000142E-2</v>
      </c>
      <c r="M106" s="87"/>
      <c r="N106" s="87"/>
      <c r="O106" s="87"/>
      <c r="P106" s="87"/>
    </row>
    <row r="107" spans="1:16">
      <c r="A107" s="103" t="s">
        <v>1328</v>
      </c>
      <c r="B107" s="88" t="s">
        <v>764</v>
      </c>
      <c r="C107" s="120">
        <f t="shared" si="26"/>
        <v>41.03249822202735</v>
      </c>
      <c r="D107" s="120">
        <f t="shared" si="26"/>
        <v>3.9376742073792692</v>
      </c>
      <c r="E107" s="120">
        <f t="shared" si="23"/>
        <v>54.436051094018232</v>
      </c>
      <c r="F107" s="120">
        <f t="shared" si="23"/>
        <v>0.59377647657514498</v>
      </c>
      <c r="G107" s="120">
        <f t="shared" si="23"/>
        <v>0.90169525929291461</v>
      </c>
      <c r="H107" s="132">
        <f t="shared" si="23"/>
        <v>0.19800000000000001</v>
      </c>
      <c r="I107" s="120">
        <f t="shared" si="24"/>
        <v>0.53952105767404257</v>
      </c>
      <c r="J107" s="120">
        <f t="shared" si="23"/>
        <v>1.1885648900559156</v>
      </c>
      <c r="K107" s="130">
        <f t="shared" si="23"/>
        <v>0.11698197666995908</v>
      </c>
      <c r="L107" s="132">
        <f t="shared" si="25"/>
        <v>3.3558576453237156E-2</v>
      </c>
      <c r="M107" s="87"/>
      <c r="N107" s="87"/>
      <c r="O107" s="87"/>
      <c r="P107" s="87"/>
    </row>
    <row r="108" spans="1:16">
      <c r="A108" s="103" t="s">
        <v>2421</v>
      </c>
      <c r="B108" s="88" t="s">
        <v>1366</v>
      </c>
      <c r="C108" s="120">
        <f t="shared" si="26"/>
        <v>45.657238909721279</v>
      </c>
      <c r="D108" s="120">
        <f t="shared" si="26"/>
        <v>2.292903089536579</v>
      </c>
      <c r="E108" s="120">
        <f t="shared" si="23"/>
        <v>52.049858000742141</v>
      </c>
      <c r="F108" s="120">
        <f t="shared" si="23"/>
        <v>0</v>
      </c>
      <c r="G108" s="120">
        <f t="shared" si="23"/>
        <v>0.98249693606702992</v>
      </c>
      <c r="H108" s="132">
        <f t="shared" si="23"/>
        <v>0.13800000000000001</v>
      </c>
      <c r="I108" s="120">
        <f t="shared" si="24"/>
        <v>0.54762527978529307</v>
      </c>
      <c r="J108" s="120">
        <f t="shared" si="23"/>
        <v>1.2557047665476768</v>
      </c>
      <c r="K108" s="130">
        <f t="shared" si="23"/>
        <v>0.11698197666995908</v>
      </c>
      <c r="L108" s="132">
        <f t="shared" si="25"/>
        <v>3.1960392051337168E-2</v>
      </c>
      <c r="M108" s="87"/>
      <c r="N108" s="87"/>
      <c r="O108" s="87"/>
      <c r="P108" s="87"/>
    </row>
    <row r="109" spans="1:16">
      <c r="A109" s="103" t="s">
        <v>2526</v>
      </c>
      <c r="B109" s="88" t="s">
        <v>2527</v>
      </c>
      <c r="C109" s="120">
        <f t="shared" si="26"/>
        <v>37.11398538865344</v>
      </c>
      <c r="D109" s="120">
        <f t="shared" si="26"/>
        <v>6.9546894248985778</v>
      </c>
      <c r="E109" s="120">
        <f t="shared" si="23"/>
        <v>55.931325186447992</v>
      </c>
      <c r="F109" s="120">
        <f t="shared" si="23"/>
        <v>0</v>
      </c>
      <c r="G109" s="120">
        <f t="shared" si="23"/>
        <v>0.8927250421094256</v>
      </c>
      <c r="H109" s="132">
        <f t="shared" si="23"/>
        <v>0.09</v>
      </c>
      <c r="I109" s="120">
        <f t="shared" si="24"/>
        <v>0.51993448780371287</v>
      </c>
      <c r="J109" s="120">
        <f>_xlfn.XLOOKUP($B109, $B$4:$B$45, J$4:J$45)</f>
        <v>1.2296450636557807</v>
      </c>
      <c r="K109" s="130">
        <f t="shared" si="23"/>
        <v>0.11698197666995908</v>
      </c>
      <c r="L109" s="132">
        <f t="shared" si="25"/>
        <v>3.9413570100177826E-2</v>
      </c>
      <c r="M109" s="87"/>
      <c r="N109" s="87"/>
      <c r="O109" s="87"/>
      <c r="P109" s="87"/>
    </row>
    <row r="110" spans="1:16">
      <c r="A110" s="103" t="s">
        <v>2432</v>
      </c>
      <c r="B110" s="88" t="s">
        <v>1138</v>
      </c>
      <c r="C110" s="120">
        <f t="shared" si="26"/>
        <v>39.63717632338421</v>
      </c>
      <c r="D110" s="120">
        <f t="shared" si="26"/>
        <v>4.092051939106395</v>
      </c>
      <c r="E110" s="120">
        <f t="shared" si="23"/>
        <v>56.270771737509392</v>
      </c>
      <c r="F110" s="120">
        <f t="shared" si="23"/>
        <v>0</v>
      </c>
      <c r="G110" s="120">
        <f t="shared" si="23"/>
        <v>0.91219232010489681</v>
      </c>
      <c r="H110" s="132">
        <f t="shared" si="23"/>
        <v>0.125</v>
      </c>
      <c r="I110" s="120">
        <f t="shared" si="24"/>
        <v>0.54297765026569156</v>
      </c>
      <c r="J110" s="120">
        <f t="shared" si="23"/>
        <v>1.2556358162394117</v>
      </c>
      <c r="K110" s="130">
        <f t="shared" si="23"/>
        <v>0.11698197666995908</v>
      </c>
      <c r="L110" s="132">
        <f t="shared" si="25"/>
        <v>4.0176699052257001E-2</v>
      </c>
      <c r="M110" s="87"/>
      <c r="N110" s="87"/>
      <c r="O110" s="87"/>
      <c r="P110" s="87"/>
    </row>
    <row r="111" spans="1:16">
      <c r="A111" s="103" t="s">
        <v>2435</v>
      </c>
      <c r="B111" s="88" t="s">
        <v>766</v>
      </c>
      <c r="C111" s="120">
        <f t="shared" si="26"/>
        <v>46.068948359780592</v>
      </c>
      <c r="D111" s="120">
        <f t="shared" si="26"/>
        <v>0.85899541095311693</v>
      </c>
      <c r="E111" s="120">
        <f t="shared" si="23"/>
        <v>53.072056229266295</v>
      </c>
      <c r="F111" s="120">
        <f t="shared" si="23"/>
        <v>0</v>
      </c>
      <c r="G111" s="120">
        <f t="shared" si="23"/>
        <v>1.0177614823084606</v>
      </c>
      <c r="H111" s="132">
        <f t="shared" si="23"/>
        <v>0.12</v>
      </c>
      <c r="I111" s="120">
        <f t="shared" si="24"/>
        <v>0.57237966717457611</v>
      </c>
      <c r="J111" s="120">
        <f t="shared" si="23"/>
        <v>1.3279208278450165</v>
      </c>
      <c r="K111" s="130">
        <f t="shared" si="23"/>
        <v>0.11698197666995908</v>
      </c>
      <c r="L111" s="132">
        <f t="shared" si="25"/>
        <v>3.6283053323527159E-2</v>
      </c>
      <c r="M111" s="87"/>
      <c r="N111" s="87"/>
      <c r="O111" s="87"/>
      <c r="P111" s="87"/>
    </row>
    <row r="112" spans="1:16">
      <c r="A112" s="103" t="s">
        <v>2442</v>
      </c>
      <c r="B112" s="88" t="s">
        <v>767</v>
      </c>
      <c r="C112" s="120">
        <f t="shared" si="26"/>
        <v>48.669564665105824</v>
      </c>
      <c r="D112" s="120">
        <f t="shared" si="26"/>
        <v>3.517963765468378</v>
      </c>
      <c r="E112" s="120">
        <f t="shared" si="26"/>
        <v>47.812471569425796</v>
      </c>
      <c r="F112" s="120">
        <f t="shared" si="26"/>
        <v>0</v>
      </c>
      <c r="G112" s="120">
        <f t="shared" si="26"/>
        <v>0.93579719106169845</v>
      </c>
      <c r="H112" s="132">
        <f t="shared" si="26"/>
        <v>0.129</v>
      </c>
      <c r="I112" s="120">
        <f t="shared" si="24"/>
        <v>0.47972368121953884</v>
      </c>
      <c r="J112" s="120">
        <f t="shared" si="24"/>
        <v>1.1064826707328663</v>
      </c>
      <c r="K112" s="130">
        <f t="shared" si="24"/>
        <v>0.11698197666995908</v>
      </c>
      <c r="L112" s="132">
        <f t="shared" si="25"/>
        <v>1.9967124800793334E-2</v>
      </c>
      <c r="M112" s="87"/>
      <c r="N112" s="87"/>
      <c r="O112" s="87"/>
      <c r="P112" s="87"/>
    </row>
    <row r="113" spans="1:16">
      <c r="A113" s="103" t="s">
        <v>2447</v>
      </c>
      <c r="B113" s="88" t="s">
        <v>31</v>
      </c>
      <c r="C113" s="120">
        <f t="shared" si="26"/>
        <v>41.892933776472269</v>
      </c>
      <c r="D113" s="120">
        <f t="shared" si="26"/>
        <v>3.7193170735697159</v>
      </c>
      <c r="E113" s="120">
        <f t="shared" si="26"/>
        <v>54.387749149958019</v>
      </c>
      <c r="F113" s="120">
        <f t="shared" si="26"/>
        <v>0</v>
      </c>
      <c r="G113" s="120">
        <f t="shared" si="26"/>
        <v>1.0663522553431179</v>
      </c>
      <c r="H113" s="132">
        <f t="shared" si="26"/>
        <v>0.19900000000000001</v>
      </c>
      <c r="I113" s="120">
        <f t="shared" si="24"/>
        <v>0.63786275841933004</v>
      </c>
      <c r="J113" s="120">
        <f t="shared" si="24"/>
        <v>1.404254862660155</v>
      </c>
      <c r="K113" s="130">
        <f t="shared" si="24"/>
        <v>0.11698197666995908</v>
      </c>
      <c r="L113" s="132">
        <f t="shared" si="25"/>
        <v>3.9528514925879971E-2</v>
      </c>
      <c r="M113" s="87"/>
      <c r="N113" s="87"/>
      <c r="O113" s="87"/>
      <c r="P113" s="87"/>
    </row>
    <row r="114" spans="1:16">
      <c r="A114" s="103" t="s">
        <v>2445</v>
      </c>
      <c r="B114" s="88" t="s">
        <v>2446</v>
      </c>
      <c r="C114" s="120">
        <f t="shared" si="26"/>
        <v>53.560996989944556</v>
      </c>
      <c r="D114" s="120">
        <f t="shared" si="26"/>
        <v>1.9531805171947958</v>
      </c>
      <c r="E114" s="120">
        <f t="shared" si="26"/>
        <v>44.485822492860642</v>
      </c>
      <c r="F114" s="120">
        <f t="shared" si="26"/>
        <v>0</v>
      </c>
      <c r="G114" s="120">
        <f t="shared" si="26"/>
        <v>0.87885600974494305</v>
      </c>
      <c r="H114" s="132">
        <f t="shared" si="26"/>
        <v>0.16800000000000001</v>
      </c>
      <c r="I114" s="120">
        <f t="shared" si="24"/>
        <v>0.4311797988385348</v>
      </c>
      <c r="J114" s="120">
        <f t="shared" si="24"/>
        <v>0.96929218778902615</v>
      </c>
      <c r="K114" s="130">
        <f t="shared" si="24"/>
        <v>0.11698197666995908</v>
      </c>
      <c r="L114" s="132">
        <f t="shared" si="25"/>
        <v>1.0579402870073196E-2</v>
      </c>
      <c r="M114" s="87"/>
      <c r="N114" s="87"/>
      <c r="O114" s="87"/>
      <c r="P114" s="87"/>
    </row>
    <row r="115" spans="1:16">
      <c r="A115" s="103" t="s">
        <v>2450</v>
      </c>
      <c r="B115" s="88" t="s">
        <v>768</v>
      </c>
      <c r="C115" s="120">
        <f t="shared" si="26"/>
        <v>44.253102338740064</v>
      </c>
      <c r="D115" s="120">
        <f t="shared" si="26"/>
        <v>2.0601591204408196</v>
      </c>
      <c r="E115" s="120">
        <f t="shared" si="26"/>
        <v>53.686738540819114</v>
      </c>
      <c r="F115" s="120">
        <f t="shared" si="26"/>
        <v>0</v>
      </c>
      <c r="G115" s="120">
        <f t="shared" si="26"/>
        <v>0.89737403966762719</v>
      </c>
      <c r="H115" s="132">
        <f t="shared" si="26"/>
        <v>0.114</v>
      </c>
      <c r="I115" s="120">
        <f t="shared" si="24"/>
        <v>0.50862477680027351</v>
      </c>
      <c r="J115" s="120">
        <f t="shared" si="24"/>
        <v>1.1845871051678369</v>
      </c>
      <c r="K115" s="130">
        <f t="shared" si="24"/>
        <v>0.11698197666995908</v>
      </c>
      <c r="L115" s="132">
        <f t="shared" si="25"/>
        <v>3.3598752127652967E-2</v>
      </c>
      <c r="M115" s="87"/>
      <c r="N115" s="87"/>
      <c r="O115" s="87"/>
      <c r="P115" s="87"/>
    </row>
    <row r="116" spans="1:16">
      <c r="A116" s="103" t="s">
        <v>2458</v>
      </c>
      <c r="B116" s="88" t="s">
        <v>2053</v>
      </c>
      <c r="C116" s="120">
        <f t="shared" si="26"/>
        <v>44.796038316387978</v>
      </c>
      <c r="D116" s="120">
        <f t="shared" si="26"/>
        <v>1.6055483333994263</v>
      </c>
      <c r="E116" s="120">
        <f t="shared" si="26"/>
        <v>53.598413350212603</v>
      </c>
      <c r="F116" s="120">
        <f t="shared" si="26"/>
        <v>0</v>
      </c>
      <c r="G116" s="120">
        <f t="shared" si="26"/>
        <v>0.82948435931460662</v>
      </c>
      <c r="H116" s="132" t="str">
        <f t="shared" si="26"/>
        <v>NMF</v>
      </c>
      <c r="I116" s="120" t="str">
        <f t="shared" si="24"/>
        <v>n/a</v>
      </c>
      <c r="J116" s="120" t="str">
        <f t="shared" si="24"/>
        <v>n/a</v>
      </c>
      <c r="K116" s="130">
        <f t="shared" si="24"/>
        <v>0.11698197666995908</v>
      </c>
      <c r="L116" s="132" t="str">
        <f t="shared" si="25"/>
        <v>n/a</v>
      </c>
      <c r="M116" s="87"/>
      <c r="N116" s="87"/>
      <c r="O116" s="87"/>
      <c r="P116" s="87"/>
    </row>
    <row r="117" spans="1:16">
      <c r="A117" s="103" t="s">
        <v>2579</v>
      </c>
      <c r="B117" s="88" t="s">
        <v>2380</v>
      </c>
      <c r="C117" s="120">
        <f t="shared" si="26"/>
        <v>39.79750803770947</v>
      </c>
      <c r="D117" s="120">
        <f t="shared" si="26"/>
        <v>0</v>
      </c>
      <c r="E117" s="120">
        <f t="shared" si="26"/>
        <v>60.202491962290537</v>
      </c>
      <c r="F117" s="120">
        <f t="shared" si="26"/>
        <v>0</v>
      </c>
      <c r="G117" s="120">
        <f t="shared" si="26"/>
        <v>0.82918805364407167</v>
      </c>
      <c r="H117" s="132">
        <f t="shared" si="26"/>
        <v>0.114</v>
      </c>
      <c r="I117" s="120">
        <f t="shared" si="24"/>
        <v>0.52291613678608884</v>
      </c>
      <c r="J117" s="120">
        <f t="shared" si="24"/>
        <v>1.2788326953632845</v>
      </c>
      <c r="K117" s="130">
        <f t="shared" si="24"/>
        <v>0.11698197666995908</v>
      </c>
      <c r="L117" s="194">
        <f t="shared" si="25"/>
        <v>5.2600318987369062E-2</v>
      </c>
      <c r="M117" s="87"/>
      <c r="N117" s="87"/>
      <c r="O117" s="87"/>
      <c r="P117" s="87"/>
    </row>
    <row r="118" spans="1:16">
      <c r="A118" s="103" t="s">
        <v>2387</v>
      </c>
      <c r="B118" s="88" t="s">
        <v>2388</v>
      </c>
      <c r="C118" s="120">
        <f t="shared" si="26"/>
        <v>52.398287974465219</v>
      </c>
      <c r="D118" s="120">
        <f t="shared" si="26"/>
        <v>0.63958919925185598</v>
      </c>
      <c r="E118" s="120">
        <f t="shared" si="26"/>
        <v>46.962122826282929</v>
      </c>
      <c r="F118" s="120">
        <f t="shared" si="26"/>
        <v>0</v>
      </c>
      <c r="G118" s="120">
        <f t="shared" si="26"/>
        <v>0.74464980030632322</v>
      </c>
      <c r="H118" s="132">
        <f t="shared" si="26"/>
        <v>0.25700000000000001</v>
      </c>
      <c r="I118" s="120">
        <f t="shared" si="24"/>
        <v>0.40489328183167222</v>
      </c>
      <c r="J118" s="120">
        <f t="shared" si="24"/>
        <v>0.89573049027529872</v>
      </c>
      <c r="K118" s="130">
        <f t="shared" si="24"/>
        <v>0.11698197666995908</v>
      </c>
      <c r="L118" s="194">
        <f t="shared" si="25"/>
        <v>1.7673717749232012E-2</v>
      </c>
      <c r="M118" s="87"/>
      <c r="N118" s="87"/>
      <c r="O118" s="87"/>
      <c r="P118" s="87"/>
    </row>
    <row r="119" spans="1:16">
      <c r="A119" s="103" t="s">
        <v>2538</v>
      </c>
      <c r="B119" s="88" t="s">
        <v>2539</v>
      </c>
      <c r="C119" s="120">
        <f t="shared" si="26"/>
        <v>39.54935552780416</v>
      </c>
      <c r="D119" s="120">
        <f t="shared" si="26"/>
        <v>4.0505407783519159E-4</v>
      </c>
      <c r="E119" s="120">
        <f t="shared" si="26"/>
        <v>60.450239418118002</v>
      </c>
      <c r="F119" s="120">
        <f t="shared" si="26"/>
        <v>0</v>
      </c>
      <c r="G119" s="120">
        <f t="shared" si="26"/>
        <v>0.83247976724837924</v>
      </c>
      <c r="H119" s="132">
        <f t="shared" si="26"/>
        <v>0.14899999999999999</v>
      </c>
      <c r="I119" s="120">
        <f t="shared" si="24"/>
        <v>0.53474826981260637</v>
      </c>
      <c r="J119" s="120">
        <f t="shared" si="24"/>
        <v>1.2772321701245204</v>
      </c>
      <c r="K119" s="130">
        <f t="shared" si="24"/>
        <v>0.11698197666995908</v>
      </c>
      <c r="L119" s="194">
        <f t="shared" si="25"/>
        <v>5.2028015217164984E-2</v>
      </c>
      <c r="M119" s="87"/>
      <c r="N119" s="87"/>
      <c r="O119" s="87"/>
      <c r="P119" s="87"/>
    </row>
    <row r="120" spans="1:16">
      <c r="A120" s="103" t="s">
        <v>2540</v>
      </c>
      <c r="B120" s="88" t="s">
        <v>2541</v>
      </c>
      <c r="C120" s="120">
        <f t="shared" si="26"/>
        <v>42.863774092268784</v>
      </c>
      <c r="D120" s="120">
        <f t="shared" si="26"/>
        <v>10.86671947546769</v>
      </c>
      <c r="E120" s="120">
        <f t="shared" si="26"/>
        <v>46.269506432263526</v>
      </c>
      <c r="F120" s="120">
        <f t="shared" si="26"/>
        <v>0</v>
      </c>
      <c r="G120" s="120">
        <f t="shared" si="26"/>
        <v>0.86346076191264043</v>
      </c>
      <c r="H120" s="132">
        <f t="shared" si="26"/>
        <v>0.151</v>
      </c>
      <c r="I120" s="120">
        <f t="shared" si="24"/>
        <v>0.43479529949811913</v>
      </c>
      <c r="J120" s="120">
        <f t="shared" si="24"/>
        <v>1.03707832515554</v>
      </c>
      <c r="K120" s="130">
        <f t="shared" si="24"/>
        <v>0.11698197666995908</v>
      </c>
      <c r="L120" s="194">
        <f t="shared" si="25"/>
        <v>2.0310125732776022E-2</v>
      </c>
      <c r="M120" s="87"/>
      <c r="N120" s="87"/>
      <c r="O120" s="87"/>
      <c r="P120" s="87"/>
    </row>
    <row r="121" spans="1:16" ht="14" thickBot="1">
      <c r="A121" s="151" t="s">
        <v>2575</v>
      </c>
      <c r="B121" s="108"/>
      <c r="C121" s="166"/>
      <c r="D121" s="166"/>
      <c r="E121" s="166">
        <f>AVERAGE(E96:E120)</f>
        <v>51.000757166617539</v>
      </c>
      <c r="F121" s="166"/>
      <c r="G121" s="166">
        <f>AVERAGE(G96:G120)</f>
        <v>0.88090479998710391</v>
      </c>
      <c r="H121" s="108"/>
      <c r="I121" s="166"/>
      <c r="J121" s="166"/>
      <c r="K121" s="195"/>
      <c r="L121" s="196">
        <f>AVERAGE(L96:L120)</f>
        <v>2.711192345065459E-2</v>
      </c>
      <c r="M121" s="87"/>
      <c r="N121" s="87"/>
      <c r="O121" s="87"/>
      <c r="P121" s="87"/>
    </row>
    <row r="123" spans="1:16" s="94" customFormat="1">
      <c r="A123" s="92" t="s">
        <v>2505</v>
      </c>
      <c r="B123" s="174"/>
      <c r="E123" s="175"/>
      <c r="F123" s="104"/>
      <c r="G123" s="168"/>
      <c r="H123" s="96"/>
      <c r="I123" s="168"/>
      <c r="J123" s="168"/>
      <c r="K123" s="96"/>
      <c r="L123" s="181"/>
      <c r="M123" s="96"/>
    </row>
    <row r="124" spans="1:16" s="94" customFormat="1">
      <c r="A124" s="83" t="s">
        <v>2585</v>
      </c>
      <c r="B124" s="174"/>
      <c r="E124" s="175"/>
      <c r="F124" s="104"/>
      <c r="G124" s="168"/>
      <c r="H124" s="96"/>
      <c r="I124" s="168"/>
      <c r="J124" s="168"/>
      <c r="K124" s="96"/>
      <c r="L124" s="181"/>
      <c r="M124" s="96"/>
    </row>
    <row r="125" spans="1:16" s="94" customFormat="1">
      <c r="A125" s="83" t="s">
        <v>2586</v>
      </c>
      <c r="B125" s="174"/>
      <c r="E125" s="175"/>
      <c r="F125" s="104"/>
      <c r="G125" s="168"/>
      <c r="H125" s="96"/>
      <c r="I125" s="168"/>
      <c r="J125" s="168"/>
      <c r="K125" s="96"/>
      <c r="L125" s="181"/>
      <c r="M125" s="96"/>
    </row>
    <row r="126" spans="1:16" s="94" customFormat="1">
      <c r="A126" s="83" t="s">
        <v>2587</v>
      </c>
      <c r="B126" s="174"/>
      <c r="E126" s="175"/>
      <c r="F126" s="168"/>
      <c r="G126" s="168"/>
      <c r="H126" s="96"/>
      <c r="I126" s="168"/>
      <c r="J126" s="168"/>
      <c r="K126" s="96"/>
      <c r="L126" s="181"/>
      <c r="M126" s="96"/>
    </row>
    <row r="127" spans="1:16" s="94" customFormat="1">
      <c r="A127" s="83" t="s">
        <v>2588</v>
      </c>
      <c r="B127" s="95"/>
      <c r="E127" s="175"/>
      <c r="F127" s="168"/>
      <c r="G127" s="168"/>
      <c r="H127" s="96"/>
      <c r="I127" s="168"/>
      <c r="J127" s="168"/>
      <c r="K127" s="96"/>
      <c r="L127" s="181"/>
      <c r="M127" s="96"/>
    </row>
    <row r="128" spans="1:16" s="94" customFormat="1">
      <c r="A128" s="83" t="s">
        <v>2589</v>
      </c>
      <c r="B128" s="174"/>
      <c r="E128" s="175"/>
      <c r="F128" s="168"/>
      <c r="G128" s="168"/>
      <c r="H128" s="96"/>
      <c r="I128" s="168"/>
      <c r="J128" s="168"/>
      <c r="K128" s="96"/>
      <c r="L128" s="181"/>
    </row>
    <row r="129" spans="1:12" s="94" customFormat="1">
      <c r="A129" s="83" t="s">
        <v>2590</v>
      </c>
      <c r="B129" s="174"/>
      <c r="E129" s="175"/>
      <c r="F129" s="168"/>
      <c r="G129" s="168"/>
      <c r="H129" s="96"/>
      <c r="I129" s="168"/>
      <c r="J129" s="168"/>
      <c r="K129" s="96"/>
      <c r="L129" s="181"/>
    </row>
    <row r="130" spans="1:12" s="94" customFormat="1">
      <c r="A130" s="83" t="s">
        <v>2591</v>
      </c>
      <c r="B130" s="174"/>
      <c r="E130" s="175"/>
      <c r="F130" s="168"/>
      <c r="G130" s="168"/>
      <c r="H130" s="96"/>
      <c r="I130" s="168"/>
      <c r="J130" s="168"/>
      <c r="K130" s="96"/>
      <c r="L130" s="181"/>
    </row>
    <row r="131" spans="1:12" s="94" customFormat="1">
      <c r="A131" s="83" t="s">
        <v>2592</v>
      </c>
      <c r="B131" s="174"/>
      <c r="E131" s="175"/>
      <c r="F131" s="168"/>
      <c r="G131" s="168"/>
      <c r="H131" s="96"/>
      <c r="I131" s="168"/>
      <c r="J131" s="168"/>
      <c r="K131" s="96"/>
      <c r="L131" s="181"/>
    </row>
    <row r="132" spans="1:12" s="94" customFormat="1">
      <c r="A132" s="83" t="s">
        <v>2593</v>
      </c>
      <c r="B132" s="174"/>
      <c r="E132" s="175"/>
      <c r="F132" s="168"/>
      <c r="G132" s="168"/>
      <c r="H132" s="96"/>
      <c r="I132" s="168"/>
      <c r="J132" s="168"/>
      <c r="K132" s="96"/>
      <c r="L132" s="181"/>
    </row>
  </sheetData>
  <mergeCells count="61">
    <mergeCell ref="A93:A95"/>
    <mergeCell ref="B93:B95"/>
    <mergeCell ref="C93:F93"/>
    <mergeCell ref="G93:G95"/>
    <mergeCell ref="H93:H95"/>
    <mergeCell ref="I76:I78"/>
    <mergeCell ref="J76:J77"/>
    <mergeCell ref="K76:K78"/>
    <mergeCell ref="L93:L94"/>
    <mergeCell ref="C94:F94"/>
    <mergeCell ref="L76:L77"/>
    <mergeCell ref="C77:F77"/>
    <mergeCell ref="I93:I95"/>
    <mergeCell ref="J93:J94"/>
    <mergeCell ref="K93:K95"/>
    <mergeCell ref="A76:A78"/>
    <mergeCell ref="B76:B78"/>
    <mergeCell ref="C76:F76"/>
    <mergeCell ref="G76:G78"/>
    <mergeCell ref="H76:H78"/>
    <mergeCell ref="I50:I52"/>
    <mergeCell ref="J50:J51"/>
    <mergeCell ref="K50:K52"/>
    <mergeCell ref="L50:L51"/>
    <mergeCell ref="C51:F51"/>
    <mergeCell ref="A50:A52"/>
    <mergeCell ref="B50:B52"/>
    <mergeCell ref="C50:F50"/>
    <mergeCell ref="G50:G52"/>
    <mergeCell ref="H50:H52"/>
    <mergeCell ref="I39:I41"/>
    <mergeCell ref="J39:J40"/>
    <mergeCell ref="K39:K41"/>
    <mergeCell ref="L39:L40"/>
    <mergeCell ref="C40:F40"/>
    <mergeCell ref="A39:A41"/>
    <mergeCell ref="B39:B41"/>
    <mergeCell ref="C39:F39"/>
    <mergeCell ref="G39:G41"/>
    <mergeCell ref="H39:H41"/>
    <mergeCell ref="L4:L5"/>
    <mergeCell ref="C5:F5"/>
    <mergeCell ref="A17:A19"/>
    <mergeCell ref="B17:B19"/>
    <mergeCell ref="C17:F17"/>
    <mergeCell ref="G17:G19"/>
    <mergeCell ref="H17:H19"/>
    <mergeCell ref="I17:I19"/>
    <mergeCell ref="J17:J18"/>
    <mergeCell ref="K17:K19"/>
    <mergeCell ref="L17:L18"/>
    <mergeCell ref="C18:F18"/>
    <mergeCell ref="A1:K1"/>
    <mergeCell ref="A4:A6"/>
    <mergeCell ref="B4:B6"/>
    <mergeCell ref="C4:F4"/>
    <mergeCell ref="G4:G6"/>
    <mergeCell ref="H4:H6"/>
    <mergeCell ref="I4:I6"/>
    <mergeCell ref="J4:J5"/>
    <mergeCell ref="K4:K6"/>
  </mergeCells>
  <hyperlinks>
    <hyperlink ref="J124" r:id="rId1" display="https://corporatefinanceinstitute.com/resources/knowledge/valuation/unlevered-beta-asset-beta/" xr:uid="{9C4D49EC-6ED2-4784-A992-E0B701205178}"/>
  </hyperlinks>
  <printOptions horizontalCentered="1"/>
  <pageMargins left="0.27" right="0.27" top="0.86755952380952395" bottom="0.75" header="0.3" footer="0.3"/>
  <pageSetup scale="55" fitToWidth="0" fitToHeight="0" orientation="landscape" useFirstPageNumber="1" r:id="rId2"/>
  <headerFooter>
    <oddHeader>&amp;R&amp;"Century Gothic,Regular"&amp;11Ontario Energy Assn.
Exhibit CEA-7.1
Page &amp;P of 3</oddHeader>
  </headerFooter>
  <rowBreaks count="1" manualBreakCount="1">
    <brk id="37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E8F2-B072-4C5B-8E8F-47DE6FB6B906}">
  <dimension ref="A1:P132"/>
  <sheetViews>
    <sheetView zoomScale="90" zoomScaleNormal="90" zoomScaleSheetLayoutView="85" workbookViewId="0">
      <selection activeCell="P32" sqref="P32"/>
    </sheetView>
  </sheetViews>
  <sheetFormatPr defaultColWidth="9" defaultRowHeight="13.5"/>
  <cols>
    <col min="1" max="1" width="40.5" style="156" customWidth="1"/>
    <col min="2" max="4" width="14.5" style="122" customWidth="1"/>
    <col min="5" max="5" width="16.25" style="147" customWidth="1"/>
    <col min="6" max="7" width="14.5" style="147" customWidth="1"/>
    <col min="8" max="8" width="14.5" style="122" customWidth="1"/>
    <col min="9" max="10" width="14.5" style="147" customWidth="1"/>
    <col min="11" max="11" width="14.5" style="122" customWidth="1"/>
    <col min="12" max="12" width="22.75" style="179" customWidth="1"/>
    <col min="13" max="16" width="9" style="122"/>
    <col min="17" max="16384" width="9" style="102"/>
  </cols>
  <sheetData>
    <row r="1" spans="1:16" ht="17.5">
      <c r="A1" s="199" t="s">
        <v>2595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32"/>
      <c r="M1" s="88"/>
      <c r="N1" s="88"/>
      <c r="O1" s="88"/>
      <c r="P1" s="88"/>
    </row>
    <row r="2" spans="1:16" ht="14">
      <c r="A2" s="150"/>
      <c r="B2" s="121"/>
      <c r="C2" s="121"/>
      <c r="D2" s="121"/>
      <c r="E2" s="162"/>
      <c r="F2" s="162"/>
      <c r="G2" s="162"/>
      <c r="H2" s="121"/>
      <c r="I2" s="162"/>
      <c r="J2" s="162"/>
      <c r="K2" s="121"/>
      <c r="L2" s="176"/>
      <c r="M2" s="88"/>
      <c r="N2" s="88"/>
      <c r="O2" s="88"/>
      <c r="P2" s="88"/>
    </row>
    <row r="3" spans="1:16" ht="14" thickBot="1">
      <c r="A3" s="103"/>
      <c r="B3" s="88"/>
      <c r="C3" s="88" t="s">
        <v>2466</v>
      </c>
      <c r="D3" s="88"/>
      <c r="E3" s="120" t="s">
        <v>2467</v>
      </c>
      <c r="F3" s="120" t="s">
        <v>2468</v>
      </c>
      <c r="G3" s="120" t="s">
        <v>2469</v>
      </c>
      <c r="H3" s="88" t="s">
        <v>2470</v>
      </c>
      <c r="I3" s="120" t="s">
        <v>2471</v>
      </c>
      <c r="J3" s="120" t="s">
        <v>2472</v>
      </c>
      <c r="K3" s="88" t="s">
        <v>2473</v>
      </c>
      <c r="L3" s="132" t="s">
        <v>2474</v>
      </c>
      <c r="M3" s="88"/>
      <c r="N3" s="88"/>
      <c r="O3" s="88"/>
      <c r="P3" s="88"/>
    </row>
    <row r="4" spans="1:16" ht="15.4" customHeight="1">
      <c r="A4" s="206" t="s">
        <v>2559</v>
      </c>
      <c r="B4" s="209" t="s">
        <v>1</v>
      </c>
      <c r="C4" s="200" t="s">
        <v>2560</v>
      </c>
      <c r="D4" s="200"/>
      <c r="E4" s="200"/>
      <c r="F4" s="200"/>
      <c r="G4" s="202" t="s">
        <v>2561</v>
      </c>
      <c r="H4" s="200" t="s">
        <v>2562</v>
      </c>
      <c r="I4" s="202" t="s">
        <v>2563</v>
      </c>
      <c r="J4" s="202" t="s">
        <v>2564</v>
      </c>
      <c r="K4" s="200" t="s">
        <v>2596</v>
      </c>
      <c r="L4" s="212" t="s">
        <v>2566</v>
      </c>
      <c r="M4" s="88"/>
      <c r="N4" s="88"/>
      <c r="O4" s="88"/>
      <c r="P4" s="88"/>
    </row>
    <row r="5" spans="1:16">
      <c r="A5" s="207"/>
      <c r="B5" s="210"/>
      <c r="C5" s="201" t="s">
        <v>2567</v>
      </c>
      <c r="D5" s="201"/>
      <c r="E5" s="201"/>
      <c r="F5" s="201"/>
      <c r="G5" s="203"/>
      <c r="H5" s="201"/>
      <c r="I5" s="203"/>
      <c r="J5" s="203"/>
      <c r="K5" s="201"/>
      <c r="L5" s="213"/>
      <c r="M5" s="88"/>
      <c r="N5" s="88"/>
      <c r="O5" s="88"/>
      <c r="P5" s="88"/>
    </row>
    <row r="6" spans="1:16">
      <c r="A6" s="208"/>
      <c r="B6" s="211"/>
      <c r="C6" s="148" t="s">
        <v>2568</v>
      </c>
      <c r="D6" s="148" t="s">
        <v>2569</v>
      </c>
      <c r="E6" s="139" t="s">
        <v>2570</v>
      </c>
      <c r="F6" s="139" t="s">
        <v>2571</v>
      </c>
      <c r="G6" s="204"/>
      <c r="H6" s="205"/>
      <c r="I6" s="204"/>
      <c r="J6" s="173">
        <v>0.45</v>
      </c>
      <c r="K6" s="205"/>
      <c r="L6" s="149">
        <f>J6</f>
        <v>0.45</v>
      </c>
      <c r="M6" s="88"/>
      <c r="N6" s="88"/>
      <c r="O6" s="88"/>
      <c r="P6" s="88"/>
    </row>
    <row r="7" spans="1:16">
      <c r="A7" s="99" t="s">
        <v>2572</v>
      </c>
      <c r="B7" s="89" t="s">
        <v>430</v>
      </c>
      <c r="C7" s="157">
        <v>44.306914735654445</v>
      </c>
      <c r="D7" s="157">
        <v>5.3392152668460762</v>
      </c>
      <c r="E7" s="157">
        <v>50.35386999749948</v>
      </c>
      <c r="F7" s="104">
        <v>0</v>
      </c>
      <c r="G7" s="104">
        <v>1.15571</v>
      </c>
      <c r="H7" s="98">
        <v>0.245</v>
      </c>
      <c r="I7" s="104">
        <f>IFERROR(G7/(1+(1-H7)*((C7+D7+F7)/E7)),"n/a")</f>
        <v>0.66253026719921182</v>
      </c>
      <c r="J7" s="104">
        <f>IFERROR(I7*(1+(1-H7)*((1-J$6)/(J$6))),"n/a")</f>
        <v>1.2738984748758178</v>
      </c>
      <c r="K7" s="126">
        <v>0.11698197666995908</v>
      </c>
      <c r="L7" s="133">
        <f>IFERROR(K7*(J7-G7),"n/a")</f>
        <v>1.3825921410580954E-2</v>
      </c>
      <c r="M7" s="141"/>
      <c r="N7" s="141"/>
      <c r="O7" s="135"/>
      <c r="P7" s="135"/>
    </row>
    <row r="8" spans="1:16">
      <c r="A8" s="99" t="s">
        <v>2459</v>
      </c>
      <c r="B8" s="89" t="s">
        <v>610</v>
      </c>
      <c r="C8" s="157">
        <v>62.448371719759479</v>
      </c>
      <c r="D8" s="157">
        <v>0</v>
      </c>
      <c r="E8" s="157">
        <v>35.916692549130055</v>
      </c>
      <c r="F8" s="104">
        <v>1.6349357311104638</v>
      </c>
      <c r="G8" s="104">
        <v>0.85877409999999998</v>
      </c>
      <c r="H8" s="98">
        <f>198/915</f>
        <v>0.21639344262295082</v>
      </c>
      <c r="I8" s="104">
        <f t="shared" ref="I8:I12" si="0">IFERROR(G8/(1+(1-H8)*((C8+D8+F8)/E8)),"n/a")</f>
        <v>0.35810200074326537</v>
      </c>
      <c r="J8" s="104">
        <f t="shared" ref="J8:J12" si="1">IFERROR(I8*(1+(1-H8)*((1-J$6)/(J$6))),"n/a")</f>
        <v>0.7010710936226987</v>
      </c>
      <c r="K8" s="126">
        <f>$K$7</f>
        <v>0.11698197666995908</v>
      </c>
      <c r="L8" s="133">
        <f t="shared" ref="L8:L12" si="2">IFERROR(K8*(J8-G8),"n/a")</f>
        <v>-1.8448409412811867E-2</v>
      </c>
      <c r="M8" s="141"/>
      <c r="N8" s="141"/>
      <c r="O8" s="135"/>
      <c r="P8" s="135"/>
    </row>
    <row r="9" spans="1:16">
      <c r="A9" s="99" t="s">
        <v>2460</v>
      </c>
      <c r="B9" s="89" t="s">
        <v>445</v>
      </c>
      <c r="C9" s="157">
        <v>48.728250475051112</v>
      </c>
      <c r="D9" s="157">
        <v>4.8737641917640868</v>
      </c>
      <c r="E9" s="157">
        <v>46.397985333184806</v>
      </c>
      <c r="F9" s="104">
        <v>0</v>
      </c>
      <c r="G9" s="104">
        <v>0.71881010000000001</v>
      </c>
      <c r="H9" s="98">
        <v>0.11</v>
      </c>
      <c r="I9" s="104">
        <f t="shared" si="0"/>
        <v>0.3544102165601925</v>
      </c>
      <c r="J9" s="104">
        <f t="shared" si="1"/>
        <v>0.73992977435177987</v>
      </c>
      <c r="K9" s="126">
        <f t="shared" ref="K9:K12" si="3">$K$7</f>
        <v>0.11698197666995908</v>
      </c>
      <c r="L9" s="133">
        <f t="shared" si="2"/>
        <v>2.4706212522970445E-3</v>
      </c>
      <c r="M9" s="141"/>
      <c r="N9" s="141"/>
      <c r="O9" s="135"/>
      <c r="P9" s="135"/>
    </row>
    <row r="10" spans="1:16">
      <c r="A10" s="99" t="s">
        <v>2461</v>
      </c>
      <c r="B10" s="89" t="s">
        <v>652</v>
      </c>
      <c r="C10" s="157">
        <v>46.71986217527315</v>
      </c>
      <c r="D10" s="157">
        <v>1.813483247948497</v>
      </c>
      <c r="E10" s="157">
        <v>51.466654576778346</v>
      </c>
      <c r="F10" s="104">
        <v>0</v>
      </c>
      <c r="G10" s="104">
        <v>0.93412499999999998</v>
      </c>
      <c r="H10" s="98">
        <v>0.23400000000000001</v>
      </c>
      <c r="I10" s="104">
        <f t="shared" si="0"/>
        <v>0.54235734090015209</v>
      </c>
      <c r="J10" s="104">
        <f t="shared" si="1"/>
        <v>1.0501243358362278</v>
      </c>
      <c r="K10" s="126">
        <f t="shared" si="3"/>
        <v>0.11698197666995908</v>
      </c>
      <c r="L10" s="133">
        <f t="shared" si="2"/>
        <v>1.3569831598524347E-2</v>
      </c>
      <c r="M10" s="141"/>
      <c r="N10" s="141"/>
      <c r="O10" s="135"/>
      <c r="P10" s="135"/>
    </row>
    <row r="11" spans="1:16">
      <c r="A11" s="103" t="s">
        <v>2573</v>
      </c>
      <c r="B11" s="88" t="s">
        <v>637</v>
      </c>
      <c r="C11" s="157">
        <v>47.355037157675632</v>
      </c>
      <c r="D11" s="157">
        <v>0.31757233184007161</v>
      </c>
      <c r="E11" s="157">
        <v>52.327390510484292</v>
      </c>
      <c r="F11" s="104">
        <v>0</v>
      </c>
      <c r="G11" s="104">
        <v>0.72239589999999998</v>
      </c>
      <c r="H11" s="98">
        <v>0.14599999999999999</v>
      </c>
      <c r="I11" s="104">
        <f t="shared" si="0"/>
        <v>0.40628948861517949</v>
      </c>
      <c r="J11" s="104">
        <f t="shared" si="1"/>
        <v>0.83036542817640124</v>
      </c>
      <c r="K11" s="126">
        <f t="shared" si="3"/>
        <v>0.11698197666995908</v>
      </c>
      <c r="L11" s="133">
        <f t="shared" si="2"/>
        <v>1.2630488826198261E-2</v>
      </c>
      <c r="M11" s="142"/>
      <c r="N11" s="141"/>
      <c r="O11" s="135"/>
      <c r="P11" s="135"/>
    </row>
    <row r="12" spans="1:16">
      <c r="A12" s="158" t="s">
        <v>2574</v>
      </c>
      <c r="B12" s="129" t="s">
        <v>2504</v>
      </c>
      <c r="C12" s="159">
        <v>53.684566532636879</v>
      </c>
      <c r="D12" s="159">
        <v>1.048438615610086</v>
      </c>
      <c r="E12" s="159">
        <v>45.266994851753033</v>
      </c>
      <c r="F12" s="118">
        <v>0</v>
      </c>
      <c r="G12" s="118">
        <v>0.69190260000000003</v>
      </c>
      <c r="H12" s="182">
        <f>178/1272</f>
        <v>0.13993710691823899</v>
      </c>
      <c r="I12" s="118">
        <f t="shared" si="0"/>
        <v>0.33918207448428689</v>
      </c>
      <c r="J12" s="118">
        <f t="shared" si="1"/>
        <v>0.69572619436058925</v>
      </c>
      <c r="K12" s="160">
        <f t="shared" si="3"/>
        <v>0.11698197666995908</v>
      </c>
      <c r="L12" s="146">
        <f t="shared" si="2"/>
        <v>4.4729162628583417E-4</v>
      </c>
      <c r="M12" s="141"/>
      <c r="N12" s="141"/>
      <c r="O12" s="135"/>
      <c r="P12" s="135"/>
    </row>
    <row r="13" spans="1:16" ht="14" thickBot="1">
      <c r="A13" s="154" t="s">
        <v>2575</v>
      </c>
      <c r="B13" s="125"/>
      <c r="C13" s="123"/>
      <c r="D13" s="123"/>
      <c r="E13" s="161">
        <f>AVERAGE(E7:E12)</f>
        <v>46.954931303138345</v>
      </c>
      <c r="F13" s="123"/>
      <c r="G13" s="161">
        <f>AVERAGE(G7:G12)</f>
        <v>0.84695294999999993</v>
      </c>
      <c r="H13" s="124"/>
      <c r="I13" s="161"/>
      <c r="J13" s="161"/>
      <c r="K13" s="127"/>
      <c r="L13" s="177">
        <f>AVERAGE(L7:L12)</f>
        <v>4.0826242168457627E-3</v>
      </c>
      <c r="M13" s="88"/>
      <c r="N13" s="88"/>
      <c r="O13" s="88"/>
      <c r="P13" s="88"/>
    </row>
    <row r="14" spans="1:16">
      <c r="A14" s="140"/>
      <c r="B14" s="88"/>
      <c r="C14" s="95"/>
      <c r="D14" s="95"/>
      <c r="E14" s="120"/>
      <c r="F14" s="120"/>
      <c r="G14" s="120"/>
      <c r="H14" s="88"/>
      <c r="I14" s="120"/>
      <c r="J14" s="120"/>
      <c r="K14" s="88"/>
      <c r="L14" s="132"/>
      <c r="M14" s="88"/>
      <c r="N14" s="88"/>
      <c r="O14" s="88"/>
      <c r="P14" s="88"/>
    </row>
    <row r="15" spans="1:16">
      <c r="A15" s="140"/>
      <c r="B15" s="88"/>
      <c r="C15" s="95"/>
      <c r="D15" s="95"/>
      <c r="E15" s="120"/>
      <c r="F15" s="120"/>
      <c r="G15" s="120"/>
      <c r="H15" s="88"/>
      <c r="I15" s="120"/>
      <c r="J15" s="120"/>
      <c r="K15" s="88"/>
      <c r="L15" s="132"/>
      <c r="M15" s="88"/>
      <c r="N15" s="88"/>
      <c r="O15" s="88"/>
      <c r="P15" s="88"/>
    </row>
    <row r="16" spans="1:16" ht="14" thickBot="1">
      <c r="A16" s="103"/>
      <c r="B16" s="88"/>
      <c r="C16" s="88"/>
      <c r="D16" s="88"/>
      <c r="E16" s="120"/>
      <c r="F16" s="120"/>
      <c r="G16" s="120"/>
      <c r="H16" s="88"/>
      <c r="I16" s="120"/>
      <c r="J16" s="120"/>
      <c r="K16" s="88"/>
      <c r="L16" s="132"/>
      <c r="M16" s="88"/>
      <c r="N16" s="88"/>
      <c r="O16" s="88"/>
      <c r="P16" s="88"/>
    </row>
    <row r="17" spans="1:16" ht="14.25" customHeight="1">
      <c r="A17" s="206" t="s">
        <v>2576</v>
      </c>
      <c r="B17" s="209" t="s">
        <v>1</v>
      </c>
      <c r="C17" s="200" t="s">
        <v>2560</v>
      </c>
      <c r="D17" s="200"/>
      <c r="E17" s="200"/>
      <c r="F17" s="200"/>
      <c r="G17" s="202" t="s">
        <v>2561</v>
      </c>
      <c r="H17" s="200" t="s">
        <v>2562</v>
      </c>
      <c r="I17" s="202" t="s">
        <v>2563</v>
      </c>
      <c r="J17" s="202" t="s">
        <v>2564</v>
      </c>
      <c r="K17" s="200" t="str">
        <f>K4</f>
        <v>Forward Equity Risk Premium</v>
      </c>
      <c r="L17" s="212" t="s">
        <v>2566</v>
      </c>
      <c r="M17" s="88"/>
      <c r="N17" s="88"/>
      <c r="O17" s="88"/>
      <c r="P17" s="88"/>
    </row>
    <row r="18" spans="1:16" ht="14.25" customHeight="1">
      <c r="A18" s="207"/>
      <c r="B18" s="210"/>
      <c r="C18" s="201" t="s">
        <v>2577</v>
      </c>
      <c r="D18" s="201"/>
      <c r="E18" s="201"/>
      <c r="F18" s="201"/>
      <c r="G18" s="203"/>
      <c r="H18" s="201"/>
      <c r="I18" s="203"/>
      <c r="J18" s="203"/>
      <c r="K18" s="201"/>
      <c r="L18" s="213"/>
      <c r="M18" s="88"/>
      <c r="N18" s="88"/>
      <c r="O18" s="88"/>
      <c r="P18" s="88"/>
    </row>
    <row r="19" spans="1:16">
      <c r="A19" s="208"/>
      <c r="B19" s="211"/>
      <c r="C19" s="148" t="s">
        <v>2568</v>
      </c>
      <c r="D19" s="148" t="s">
        <v>2569</v>
      </c>
      <c r="E19" s="139" t="s">
        <v>2570</v>
      </c>
      <c r="F19" s="139" t="s">
        <v>2571</v>
      </c>
      <c r="G19" s="204"/>
      <c r="H19" s="205"/>
      <c r="I19" s="204"/>
      <c r="J19" s="173">
        <v>0.45</v>
      </c>
      <c r="K19" s="205"/>
      <c r="L19" s="149">
        <f>J19</f>
        <v>0.45</v>
      </c>
      <c r="M19" s="88"/>
      <c r="N19" s="88"/>
      <c r="O19" s="88"/>
      <c r="P19" s="88"/>
    </row>
    <row r="20" spans="1:16">
      <c r="A20" s="152" t="s">
        <v>2400</v>
      </c>
      <c r="B20" s="128" t="s">
        <v>2401</v>
      </c>
      <c r="C20" s="137">
        <v>46.885162988888972</v>
      </c>
      <c r="D20" s="137">
        <v>2.1180154043814552</v>
      </c>
      <c r="E20" s="137">
        <v>50.996821606729569</v>
      </c>
      <c r="F20" s="137">
        <v>0</v>
      </c>
      <c r="G20" s="104">
        <v>0.87370040181842501</v>
      </c>
      <c r="H20" s="98">
        <v>6.0000000000000001E-3</v>
      </c>
      <c r="I20" s="104">
        <f>IFERROR(G20/(1+(1-H20)*((C20+D20+F20)/E20)),"n/a")</f>
        <v>0.44687332809757929</v>
      </c>
      <c r="J20" s="104">
        <f>IFERROR(I20*(1+(1-H20)*((1-J$19)/(J$19))),"n/a")</f>
        <v>0.98977476914412732</v>
      </c>
      <c r="K20" s="105">
        <f t="shared" ref="K20:K34" si="4">$K$7</f>
        <v>0.11698197666995908</v>
      </c>
      <c r="L20" s="133">
        <f>IFERROR(K20*(J20-G20),"n/a")</f>
        <v>1.3578608930475567E-2</v>
      </c>
      <c r="M20" s="88"/>
      <c r="N20" s="88"/>
      <c r="O20" s="88"/>
      <c r="P20" s="88"/>
    </row>
    <row r="21" spans="1:16">
      <c r="A21" s="140" t="s">
        <v>2402</v>
      </c>
      <c r="B21" s="95" t="s">
        <v>1930</v>
      </c>
      <c r="C21" s="137">
        <v>44.137938601801629</v>
      </c>
      <c r="D21" s="137">
        <v>3.6925678334463385</v>
      </c>
      <c r="E21" s="137">
        <v>51.679468047752806</v>
      </c>
      <c r="F21" s="137">
        <v>0.49002551699922514</v>
      </c>
      <c r="G21" s="163">
        <v>0.83927651394938352</v>
      </c>
      <c r="H21" s="105">
        <v>0.12</v>
      </c>
      <c r="I21" s="104">
        <f t="shared" ref="I21:I34" si="5">IFERROR(G21/(1+(1-H21)*((C21+D21+F21)/E21)),"n/a")</f>
        <v>0.46043159752266721</v>
      </c>
      <c r="J21" s="163">
        <f t="shared" ref="J21:J34" si="6">IFERROR(I21*(1+(1-H21)*((1-J$19)/(J$19))),"n/a")</f>
        <v>0.95565136019149166</v>
      </c>
      <c r="K21" s="105">
        <f t="shared" si="4"/>
        <v>0.11698197666995908</v>
      </c>
      <c r="L21" s="105">
        <f t="shared" ref="L21:L34" si="7">IFERROR(K21*(J21-G21),"n/a")</f>
        <v>1.361375954806437E-2</v>
      </c>
      <c r="M21" s="141"/>
      <c r="N21" s="141"/>
      <c r="O21" s="135"/>
      <c r="P21" s="135"/>
    </row>
    <row r="22" spans="1:16">
      <c r="A22" s="140" t="s">
        <v>2403</v>
      </c>
      <c r="B22" s="95" t="s">
        <v>946</v>
      </c>
      <c r="C22" s="137">
        <v>50.695105118023719</v>
      </c>
      <c r="D22" s="137">
        <v>1.6546185080761218</v>
      </c>
      <c r="E22" s="137">
        <v>47.650276373900155</v>
      </c>
      <c r="F22" s="137">
        <v>0</v>
      </c>
      <c r="G22" s="163">
        <v>0.84497239355831155</v>
      </c>
      <c r="H22" s="105">
        <v>0.21</v>
      </c>
      <c r="I22" s="104">
        <f t="shared" si="5"/>
        <v>0.45236181432771438</v>
      </c>
      <c r="J22" s="163">
        <f t="shared" si="6"/>
        <v>0.88914227727302975</v>
      </c>
      <c r="K22" s="105">
        <f t="shared" si="4"/>
        <v>0.11698197666995908</v>
      </c>
      <c r="L22" s="105">
        <f t="shared" si="7"/>
        <v>5.1670803062299694E-3</v>
      </c>
      <c r="M22" s="141"/>
      <c r="N22" s="141"/>
      <c r="O22" s="135"/>
      <c r="P22" s="135"/>
    </row>
    <row r="23" spans="1:16">
      <c r="A23" s="140" t="s">
        <v>2415</v>
      </c>
      <c r="B23" s="95" t="s">
        <v>763</v>
      </c>
      <c r="C23" s="137">
        <v>45.855890300126745</v>
      </c>
      <c r="D23" s="137">
        <v>2.708600944757023</v>
      </c>
      <c r="E23" s="137">
        <v>51.435508755116231</v>
      </c>
      <c r="F23" s="137">
        <v>0</v>
      </c>
      <c r="G23" s="163">
        <v>0.82378961834926434</v>
      </c>
      <c r="H23" s="105">
        <v>9.1999999999999998E-2</v>
      </c>
      <c r="I23" s="104">
        <f t="shared" si="5"/>
        <v>0.4435373330010588</v>
      </c>
      <c r="J23" s="163">
        <f t="shared" si="6"/>
        <v>0.9357652087804561</v>
      </c>
      <c r="K23" s="105">
        <f t="shared" si="4"/>
        <v>0.11698197666995908</v>
      </c>
      <c r="L23" s="105">
        <f t="shared" si="7"/>
        <v>1.3099125907426568E-2</v>
      </c>
      <c r="M23" s="141"/>
      <c r="N23" s="141"/>
      <c r="O23" s="135"/>
      <c r="P23" s="135"/>
    </row>
    <row r="24" spans="1:16">
      <c r="A24" s="140" t="s">
        <v>2420</v>
      </c>
      <c r="B24" s="95" t="s">
        <v>1115</v>
      </c>
      <c r="C24" s="137">
        <v>47.990985455774066</v>
      </c>
      <c r="D24" s="137">
        <v>3.1016018350390078E-3</v>
      </c>
      <c r="E24" s="137">
        <v>51.911648572894606</v>
      </c>
      <c r="F24" s="137">
        <v>9.4264369496283557E-2</v>
      </c>
      <c r="G24" s="163">
        <v>0.97465009387607859</v>
      </c>
      <c r="H24" s="105">
        <v>0.161</v>
      </c>
      <c r="I24" s="104">
        <f t="shared" si="5"/>
        <v>0.54841657436860292</v>
      </c>
      <c r="J24" s="163">
        <f t="shared" si="6"/>
        <v>1.1107873037961402</v>
      </c>
      <c r="K24" s="105">
        <f t="shared" si="4"/>
        <v>0.11698197666995908</v>
      </c>
      <c r="L24" s="105">
        <f t="shared" si="7"/>
        <v>1.5925599914781971E-2</v>
      </c>
      <c r="M24" s="141"/>
      <c r="N24" s="141"/>
      <c r="O24" s="135"/>
      <c r="P24" s="135"/>
    </row>
    <row r="25" spans="1:16">
      <c r="A25" s="140" t="s">
        <v>1328</v>
      </c>
      <c r="B25" s="95" t="s">
        <v>764</v>
      </c>
      <c r="C25" s="137">
        <v>41.03249822202735</v>
      </c>
      <c r="D25" s="137">
        <v>3.9376742073792692</v>
      </c>
      <c r="E25" s="137">
        <v>54.436051094018232</v>
      </c>
      <c r="F25" s="137">
        <v>0.59377647657514498</v>
      </c>
      <c r="G25" s="163">
        <v>0.90169525929291461</v>
      </c>
      <c r="H25" s="105">
        <v>0.19800000000000001</v>
      </c>
      <c r="I25" s="104">
        <f t="shared" si="5"/>
        <v>0.53952105767404257</v>
      </c>
      <c r="J25" s="163">
        <f t="shared" si="6"/>
        <v>1.0683715877629762</v>
      </c>
      <c r="K25" s="105">
        <f t="shared" si="4"/>
        <v>0.11698197666995908</v>
      </c>
      <c r="L25" s="105">
        <f t="shared" si="7"/>
        <v>1.9498126368519185E-2</v>
      </c>
      <c r="M25" s="141"/>
      <c r="N25" s="141"/>
      <c r="O25" s="135"/>
      <c r="P25" s="135"/>
    </row>
    <row r="26" spans="1:16">
      <c r="A26" s="140" t="s">
        <v>2421</v>
      </c>
      <c r="B26" s="95" t="s">
        <v>1366</v>
      </c>
      <c r="C26" s="137">
        <v>45.657238909721279</v>
      </c>
      <c r="D26" s="137">
        <v>2.292903089536579</v>
      </c>
      <c r="E26" s="137">
        <v>52.049858000742141</v>
      </c>
      <c r="F26" s="137">
        <v>0</v>
      </c>
      <c r="G26" s="163">
        <v>0.98249693606702992</v>
      </c>
      <c r="H26" s="105">
        <v>0.13800000000000001</v>
      </c>
      <c r="I26" s="104">
        <f t="shared" si="5"/>
        <v>0.54762527978529307</v>
      </c>
      <c r="J26" s="163">
        <f t="shared" si="6"/>
        <v>1.1245789356657541</v>
      </c>
      <c r="K26" s="105">
        <f t="shared" si="4"/>
        <v>0.11698197666995908</v>
      </c>
      <c r="L26" s="105">
        <f t="shared" si="7"/>
        <v>1.6621033162279083E-2</v>
      </c>
      <c r="M26" s="141"/>
      <c r="N26" s="141"/>
      <c r="O26" s="135"/>
      <c r="P26" s="135"/>
    </row>
    <row r="27" spans="1:16">
      <c r="A27" s="140" t="s">
        <v>2526</v>
      </c>
      <c r="B27" s="95" t="s">
        <v>2527</v>
      </c>
      <c r="C27" s="137">
        <v>37.11398538865344</v>
      </c>
      <c r="D27" s="137">
        <v>6.9546894248985778</v>
      </c>
      <c r="E27" s="137">
        <v>55.931325186447992</v>
      </c>
      <c r="F27" s="137">
        <v>0</v>
      </c>
      <c r="G27" s="163">
        <v>0.8927250421094256</v>
      </c>
      <c r="H27" s="105">
        <v>0.09</v>
      </c>
      <c r="I27" s="104">
        <f t="shared" si="5"/>
        <v>0.51993448780371287</v>
      </c>
      <c r="J27" s="163">
        <f t="shared" si="6"/>
        <v>1.0982171792387314</v>
      </c>
      <c r="K27" s="105">
        <f t="shared" si="4"/>
        <v>0.11698197666995908</v>
      </c>
      <c r="L27" s="105">
        <f t="shared" si="7"/>
        <v>2.4038876391520483E-2</v>
      </c>
      <c r="M27" s="141"/>
      <c r="N27" s="141"/>
      <c r="O27" s="135"/>
      <c r="P27" s="135"/>
    </row>
    <row r="28" spans="1:16">
      <c r="A28" s="140" t="s">
        <v>2432</v>
      </c>
      <c r="B28" s="95" t="s">
        <v>1138</v>
      </c>
      <c r="C28" s="137">
        <v>39.63717632338421</v>
      </c>
      <c r="D28" s="137">
        <v>4.092051939106395</v>
      </c>
      <c r="E28" s="137">
        <v>56.270771737509392</v>
      </c>
      <c r="F28" s="137">
        <v>0</v>
      </c>
      <c r="G28" s="163">
        <v>0.91219232010489681</v>
      </c>
      <c r="H28" s="105">
        <v>0.125</v>
      </c>
      <c r="I28" s="104">
        <f t="shared" si="5"/>
        <v>0.54297765026569156</v>
      </c>
      <c r="J28" s="163">
        <f t="shared" si="6"/>
        <v>1.123662081799834</v>
      </c>
      <c r="K28" s="105">
        <f t="shared" si="4"/>
        <v>0.11698197666995908</v>
      </c>
      <c r="L28" s="105">
        <f t="shared" si="7"/>
        <v>2.4738150728998941E-2</v>
      </c>
      <c r="M28" s="141"/>
      <c r="N28" s="141"/>
      <c r="O28" s="135"/>
      <c r="P28" s="135"/>
    </row>
    <row r="29" spans="1:16">
      <c r="A29" s="140" t="s">
        <v>2435</v>
      </c>
      <c r="B29" s="95" t="s">
        <v>766</v>
      </c>
      <c r="C29" s="137">
        <v>46.068948359780592</v>
      </c>
      <c r="D29" s="137">
        <v>0.85899541095311693</v>
      </c>
      <c r="E29" s="137">
        <v>53.072056229266295</v>
      </c>
      <c r="F29" s="137">
        <v>0</v>
      </c>
      <c r="G29" s="163">
        <v>1.0177614823084606</v>
      </c>
      <c r="H29" s="105">
        <v>0.12</v>
      </c>
      <c r="I29" s="104">
        <f t="shared" si="5"/>
        <v>0.57237966717457611</v>
      </c>
      <c r="J29" s="163">
        <f t="shared" si="6"/>
        <v>1.1880057980912315</v>
      </c>
      <c r="K29" s="105">
        <f t="shared" si="4"/>
        <v>0.11698197666995908</v>
      </c>
      <c r="L29" s="105">
        <f t="shared" si="7"/>
        <v>1.9915516577093249E-2</v>
      </c>
      <c r="M29" s="141"/>
      <c r="N29" s="141"/>
      <c r="O29" s="135"/>
      <c r="P29" s="135"/>
    </row>
    <row r="30" spans="1:16">
      <c r="A30" s="140" t="s">
        <v>2442</v>
      </c>
      <c r="B30" s="95" t="s">
        <v>767</v>
      </c>
      <c r="C30" s="137">
        <v>48.669564665105824</v>
      </c>
      <c r="D30" s="137">
        <v>3.517963765468378</v>
      </c>
      <c r="E30" s="137">
        <v>47.812471569425796</v>
      </c>
      <c r="F30" s="137">
        <v>0</v>
      </c>
      <c r="G30" s="163">
        <v>0.93579719106169845</v>
      </c>
      <c r="H30" s="105">
        <v>0.129</v>
      </c>
      <c r="I30" s="104">
        <f t="shared" si="5"/>
        <v>0.47972368121953884</v>
      </c>
      <c r="J30" s="163">
        <f t="shared" si="6"/>
        <v>0.99041619119336133</v>
      </c>
      <c r="K30" s="105">
        <f t="shared" si="4"/>
        <v>0.11698197666995908</v>
      </c>
      <c r="L30" s="105">
        <f t="shared" si="7"/>
        <v>6.3894385991386787E-3</v>
      </c>
      <c r="M30" s="141"/>
      <c r="N30" s="141"/>
      <c r="O30" s="135"/>
      <c r="P30" s="135"/>
    </row>
    <row r="31" spans="1:16">
      <c r="A31" s="140" t="s">
        <v>2447</v>
      </c>
      <c r="B31" s="95" t="s">
        <v>31</v>
      </c>
      <c r="C31" s="137">
        <v>41.892933776472269</v>
      </c>
      <c r="D31" s="137">
        <v>3.7193170735697159</v>
      </c>
      <c r="E31" s="137">
        <v>54.387749149958019</v>
      </c>
      <c r="F31" s="137">
        <v>0</v>
      </c>
      <c r="G31" s="163">
        <v>1.0663522553431179</v>
      </c>
      <c r="H31" s="105">
        <v>0.19900000000000001</v>
      </c>
      <c r="I31" s="104">
        <f t="shared" si="5"/>
        <v>0.63786275841933004</v>
      </c>
      <c r="J31" s="163">
        <f t="shared" si="6"/>
        <v>1.2623303989118542</v>
      </c>
      <c r="K31" s="105">
        <f t="shared" si="4"/>
        <v>0.11698197666995908</v>
      </c>
      <c r="L31" s="105">
        <f t="shared" si="7"/>
        <v>2.2925910618779792E-2</v>
      </c>
      <c r="M31" s="141"/>
      <c r="N31" s="141"/>
      <c r="O31" s="135"/>
      <c r="P31" s="135"/>
    </row>
    <row r="32" spans="1:16">
      <c r="A32" s="140" t="s">
        <v>2445</v>
      </c>
      <c r="B32" s="95" t="s">
        <v>2446</v>
      </c>
      <c r="C32" s="137">
        <v>53.560996989944556</v>
      </c>
      <c r="D32" s="137">
        <v>1.9531805171947958</v>
      </c>
      <c r="E32" s="137">
        <v>44.485822492860642</v>
      </c>
      <c r="F32" s="137">
        <v>0</v>
      </c>
      <c r="G32" s="163">
        <v>0.87885600974494305</v>
      </c>
      <c r="H32" s="105">
        <v>0.16800000000000001</v>
      </c>
      <c r="I32" s="104">
        <f t="shared" si="5"/>
        <v>0.4311797988385348</v>
      </c>
      <c r="J32" s="163">
        <f t="shared" si="6"/>
        <v>0.86964174539078709</v>
      </c>
      <c r="K32" s="105">
        <f t="shared" si="4"/>
        <v>0.11698197666995908</v>
      </c>
      <c r="L32" s="105">
        <f t="shared" si="7"/>
        <v>-1.0779028577087074E-3</v>
      </c>
      <c r="M32" s="141"/>
      <c r="N32" s="141"/>
      <c r="O32" s="135"/>
      <c r="P32" s="135"/>
    </row>
    <row r="33" spans="1:16">
      <c r="A33" s="140" t="s">
        <v>2450</v>
      </c>
      <c r="B33" s="95" t="s">
        <v>768</v>
      </c>
      <c r="C33" s="137">
        <v>44.253102338740064</v>
      </c>
      <c r="D33" s="137">
        <v>2.0601591204408196</v>
      </c>
      <c r="E33" s="137">
        <v>53.686738540819114</v>
      </c>
      <c r="F33" s="137">
        <v>0</v>
      </c>
      <c r="G33" s="163">
        <v>0.89737403966762719</v>
      </c>
      <c r="H33" s="105">
        <v>0.114</v>
      </c>
      <c r="I33" s="104">
        <f t="shared" si="5"/>
        <v>0.50862477680027351</v>
      </c>
      <c r="J33" s="163">
        <f t="shared" si="6"/>
        <v>1.059408896210881</v>
      </c>
      <c r="K33" s="105">
        <f t="shared" si="4"/>
        <v>0.11698197666995908</v>
      </c>
      <c r="L33" s="105">
        <f t="shared" si="7"/>
        <v>1.8955157807863079E-2</v>
      </c>
      <c r="M33" s="141"/>
      <c r="N33" s="141"/>
      <c r="O33" s="135"/>
      <c r="P33" s="135"/>
    </row>
    <row r="34" spans="1:16">
      <c r="A34" s="140" t="s">
        <v>2458</v>
      </c>
      <c r="B34" s="95" t="s">
        <v>2053</v>
      </c>
      <c r="C34" s="137">
        <v>44.796038316387978</v>
      </c>
      <c r="D34" s="137">
        <v>1.6055483333994263</v>
      </c>
      <c r="E34" s="137">
        <v>53.598413350212603</v>
      </c>
      <c r="F34" s="137">
        <v>0</v>
      </c>
      <c r="G34" s="164">
        <v>0.82948435931460662</v>
      </c>
      <c r="H34" s="119" t="s">
        <v>2440</v>
      </c>
      <c r="I34" s="118" t="str">
        <f t="shared" si="5"/>
        <v>n/a</v>
      </c>
      <c r="J34" s="164" t="str">
        <f t="shared" si="6"/>
        <v>n/a</v>
      </c>
      <c r="K34" s="119">
        <f t="shared" si="4"/>
        <v>0.11698197666995908</v>
      </c>
      <c r="L34" s="119" t="str">
        <f t="shared" si="7"/>
        <v>n/a</v>
      </c>
      <c r="M34" s="141"/>
      <c r="N34" s="141"/>
      <c r="O34" s="135"/>
      <c r="P34" s="135"/>
    </row>
    <row r="35" spans="1:16" ht="14" thickBot="1">
      <c r="A35" s="151" t="s">
        <v>2575</v>
      </c>
      <c r="B35" s="106"/>
      <c r="C35" s="107"/>
      <c r="D35" s="107"/>
      <c r="E35" s="107">
        <f>AVERAGE(E20:E34)</f>
        <v>51.960332047176898</v>
      </c>
      <c r="F35" s="107"/>
      <c r="G35" s="107">
        <f>AVERAGE(G20:G34)</f>
        <v>0.9114082611044122</v>
      </c>
      <c r="H35" s="124"/>
      <c r="I35" s="161"/>
      <c r="J35" s="161"/>
      <c r="K35" s="127"/>
      <c r="L35" s="143">
        <f>AVERAGE(L20:L34)</f>
        <v>1.5242034428818732E-2</v>
      </c>
      <c r="M35" s="88"/>
      <c r="N35" s="88"/>
      <c r="O35" s="88"/>
      <c r="P35" s="88"/>
    </row>
    <row r="36" spans="1:16">
      <c r="A36" s="103"/>
      <c r="B36" s="95"/>
      <c r="C36" s="104"/>
      <c r="D36" s="104"/>
      <c r="E36" s="104"/>
      <c r="F36" s="104"/>
      <c r="G36" s="120"/>
      <c r="H36" s="88"/>
      <c r="I36" s="120"/>
      <c r="J36" s="120"/>
      <c r="K36" s="130"/>
      <c r="L36" s="132"/>
      <c r="M36" s="88"/>
      <c r="N36" s="88"/>
      <c r="O36" s="88"/>
      <c r="P36" s="88"/>
    </row>
    <row r="37" spans="1:16">
      <c r="A37" s="103"/>
      <c r="B37" s="95"/>
      <c r="C37" s="104"/>
      <c r="D37" s="104"/>
      <c r="E37" s="104"/>
      <c r="F37" s="104"/>
      <c r="G37" s="120"/>
      <c r="H37" s="88"/>
      <c r="I37" s="120"/>
      <c r="J37" s="120"/>
      <c r="K37" s="130"/>
      <c r="L37" s="132"/>
      <c r="M37" s="88"/>
      <c r="N37" s="88"/>
      <c r="O37" s="88"/>
      <c r="P37" s="88"/>
    </row>
    <row r="38" spans="1:16" ht="14" thickBot="1">
      <c r="A38" s="103"/>
      <c r="B38" s="88"/>
      <c r="C38" s="88"/>
      <c r="D38" s="88"/>
      <c r="E38" s="120"/>
      <c r="F38" s="120"/>
      <c r="G38" s="120"/>
      <c r="H38" s="88"/>
      <c r="I38" s="120"/>
      <c r="J38" s="120"/>
      <c r="K38" s="88"/>
      <c r="L38" s="132"/>
      <c r="M38" s="88"/>
      <c r="N38" s="88"/>
      <c r="O38" s="88"/>
      <c r="P38" s="88"/>
    </row>
    <row r="39" spans="1:16" ht="14.25" customHeight="1">
      <c r="A39" s="206" t="s">
        <v>2578</v>
      </c>
      <c r="B39" s="209" t="s">
        <v>1</v>
      </c>
      <c r="C39" s="200" t="s">
        <v>2560</v>
      </c>
      <c r="D39" s="200"/>
      <c r="E39" s="200"/>
      <c r="F39" s="200"/>
      <c r="G39" s="202" t="s">
        <v>2561</v>
      </c>
      <c r="H39" s="200" t="s">
        <v>2562</v>
      </c>
      <c r="I39" s="202" t="s">
        <v>2563</v>
      </c>
      <c r="J39" s="202" t="s">
        <v>2564</v>
      </c>
      <c r="K39" s="200" t="str">
        <f>K17</f>
        <v>Forward Equity Risk Premium</v>
      </c>
      <c r="L39" s="212" t="s">
        <v>2566</v>
      </c>
      <c r="M39" s="88"/>
      <c r="N39" s="88"/>
      <c r="O39" s="88"/>
      <c r="P39" s="88"/>
    </row>
    <row r="40" spans="1:16" ht="14.25" customHeight="1">
      <c r="A40" s="207"/>
      <c r="B40" s="210"/>
      <c r="C40" s="201" t="s">
        <v>2567</v>
      </c>
      <c r="D40" s="201"/>
      <c r="E40" s="201"/>
      <c r="F40" s="201"/>
      <c r="G40" s="203"/>
      <c r="H40" s="201"/>
      <c r="I40" s="203"/>
      <c r="J40" s="203"/>
      <c r="K40" s="201"/>
      <c r="L40" s="213"/>
      <c r="M40" s="88"/>
      <c r="N40" s="88"/>
      <c r="O40" s="88"/>
      <c r="P40" s="88"/>
    </row>
    <row r="41" spans="1:16">
      <c r="A41" s="208"/>
      <c r="B41" s="211"/>
      <c r="C41" s="148" t="s">
        <v>2568</v>
      </c>
      <c r="D41" s="148" t="s">
        <v>2569</v>
      </c>
      <c r="E41" s="139" t="s">
        <v>2570</v>
      </c>
      <c r="F41" s="139" t="s">
        <v>2571</v>
      </c>
      <c r="G41" s="204"/>
      <c r="H41" s="205"/>
      <c r="I41" s="204"/>
      <c r="J41" s="173">
        <v>0.38</v>
      </c>
      <c r="K41" s="205"/>
      <c r="L41" s="149">
        <f>J41</f>
        <v>0.38</v>
      </c>
      <c r="M41" s="88"/>
      <c r="N41" s="88"/>
      <c r="O41" s="88"/>
      <c r="P41" s="88"/>
    </row>
    <row r="42" spans="1:16">
      <c r="A42" s="152" t="s">
        <v>2579</v>
      </c>
      <c r="B42" s="128" t="s">
        <v>2380</v>
      </c>
      <c r="C42" s="137">
        <v>39.79750803770947</v>
      </c>
      <c r="D42" s="137">
        <v>0</v>
      </c>
      <c r="E42" s="137">
        <v>60.202491962290537</v>
      </c>
      <c r="F42" s="104">
        <v>0</v>
      </c>
      <c r="G42" s="163">
        <v>0.82918805364407167</v>
      </c>
      <c r="H42" s="105">
        <v>0.114</v>
      </c>
      <c r="I42" s="104">
        <f t="shared" ref="I42:I45" si="8">IFERROR(G42/(1+(1-H42)*((C42+D42+F42)/E42)),"n/a")</f>
        <v>0.52291613678608884</v>
      </c>
      <c r="J42" s="163">
        <f>IFERROR(I42*(1+(1-H42)*((1-J$41)/(J$41))),"n/a")</f>
        <v>1.2788326953632845</v>
      </c>
      <c r="K42" s="105">
        <f t="shared" ref="K42:K45" si="9">$K$7</f>
        <v>0.11698197666995908</v>
      </c>
      <c r="L42" s="105">
        <f t="shared" ref="L42:L45" si="10">IFERROR(K42*(J42-G42),"n/a")</f>
        <v>5.2600318987369062E-2</v>
      </c>
      <c r="M42" s="88"/>
      <c r="N42" s="88"/>
      <c r="O42" s="88"/>
      <c r="P42" s="88"/>
    </row>
    <row r="43" spans="1:16">
      <c r="A43" s="152" t="s">
        <v>2387</v>
      </c>
      <c r="B43" s="128" t="s">
        <v>2388</v>
      </c>
      <c r="C43" s="137">
        <v>52.398287974465219</v>
      </c>
      <c r="D43" s="137">
        <v>0.63958919925185598</v>
      </c>
      <c r="E43" s="137">
        <v>46.962122826282929</v>
      </c>
      <c r="F43" s="104">
        <v>0</v>
      </c>
      <c r="G43" s="163">
        <v>0.74464980030632322</v>
      </c>
      <c r="H43" s="105">
        <v>0.25700000000000001</v>
      </c>
      <c r="I43" s="163">
        <f t="shared" si="8"/>
        <v>0.40489328183167222</v>
      </c>
      <c r="J43" s="163">
        <f t="shared" ref="J43:J45" si="11">IFERROR(I43*(1+(1-H43)*((1-J$41)/(J$41))),"n/a")</f>
        <v>0.89573049027529872</v>
      </c>
      <c r="K43" s="105">
        <f t="shared" si="9"/>
        <v>0.11698197666995908</v>
      </c>
      <c r="L43" s="105">
        <f t="shared" si="10"/>
        <v>1.7673717749232012E-2</v>
      </c>
      <c r="M43" s="88"/>
      <c r="N43" s="88"/>
      <c r="O43" s="88"/>
      <c r="P43" s="88"/>
    </row>
    <row r="44" spans="1:16">
      <c r="A44" s="140" t="s">
        <v>2538</v>
      </c>
      <c r="B44" s="95" t="s">
        <v>2539</v>
      </c>
      <c r="C44" s="137">
        <v>39.54935552780416</v>
      </c>
      <c r="D44" s="137">
        <v>4.0505407783519159E-4</v>
      </c>
      <c r="E44" s="137">
        <v>60.450239418118002</v>
      </c>
      <c r="F44" s="104">
        <v>0</v>
      </c>
      <c r="G44" s="163">
        <v>0.83247976724837924</v>
      </c>
      <c r="H44" s="105">
        <v>0.14899999999999999</v>
      </c>
      <c r="I44" s="163">
        <f t="shared" si="8"/>
        <v>0.53474826981260637</v>
      </c>
      <c r="J44" s="163">
        <f t="shared" si="11"/>
        <v>1.2772321701245204</v>
      </c>
      <c r="K44" s="105">
        <f t="shared" si="9"/>
        <v>0.11698197666995908</v>
      </c>
      <c r="L44" s="105">
        <f t="shared" si="10"/>
        <v>5.2028015217164984E-2</v>
      </c>
      <c r="M44" s="88"/>
      <c r="N44" s="88"/>
      <c r="O44" s="88"/>
      <c r="P44" s="88"/>
    </row>
    <row r="45" spans="1:16">
      <c r="A45" s="153" t="s">
        <v>2540</v>
      </c>
      <c r="B45" s="131" t="s">
        <v>2541</v>
      </c>
      <c r="C45" s="138">
        <v>42.863774092268784</v>
      </c>
      <c r="D45" s="138">
        <v>10.86671947546769</v>
      </c>
      <c r="E45" s="138">
        <v>46.269506432263526</v>
      </c>
      <c r="F45" s="118">
        <v>0</v>
      </c>
      <c r="G45" s="164">
        <v>0.86346076191264043</v>
      </c>
      <c r="H45" s="119">
        <v>0.151</v>
      </c>
      <c r="I45" s="164">
        <f t="shared" si="8"/>
        <v>0.43479529949811913</v>
      </c>
      <c r="J45" s="164">
        <f t="shared" si="11"/>
        <v>1.03707832515554</v>
      </c>
      <c r="K45" s="119">
        <f t="shared" si="9"/>
        <v>0.11698197666995908</v>
      </c>
      <c r="L45" s="119">
        <f t="shared" si="10"/>
        <v>2.0310125732776022E-2</v>
      </c>
      <c r="M45" s="88"/>
      <c r="N45" s="88"/>
      <c r="O45" s="88"/>
      <c r="P45" s="88"/>
    </row>
    <row r="46" spans="1:16" ht="14" thickBot="1">
      <c r="A46" s="154" t="s">
        <v>2575</v>
      </c>
      <c r="B46" s="125"/>
      <c r="C46" s="123"/>
      <c r="D46" s="123"/>
      <c r="E46" s="123">
        <f>AVERAGE(E42:E45)</f>
        <v>53.47109015973875</v>
      </c>
      <c r="F46" s="123"/>
      <c r="G46" s="123">
        <f>AVERAGE(G42:G45)</f>
        <v>0.81744459577785367</v>
      </c>
      <c r="H46" s="124"/>
      <c r="I46" s="161"/>
      <c r="J46" s="161"/>
      <c r="K46" s="127"/>
      <c r="L46" s="178">
        <f>AVERAGE(L42:L45)</f>
        <v>3.565304442163552E-2</v>
      </c>
      <c r="M46" s="88"/>
      <c r="N46" s="88"/>
      <c r="O46" s="88"/>
      <c r="P46" s="88"/>
    </row>
    <row r="47" spans="1:16">
      <c r="A47" s="103"/>
      <c r="B47" s="95"/>
      <c r="C47" s="104"/>
      <c r="D47" s="104"/>
      <c r="E47" s="104"/>
      <c r="F47" s="104"/>
      <c r="G47" s="120"/>
      <c r="H47" s="88"/>
      <c r="I47" s="120"/>
      <c r="J47" s="120"/>
      <c r="K47" s="130"/>
      <c r="L47" s="132"/>
      <c r="M47" s="88"/>
      <c r="N47" s="88"/>
      <c r="O47" s="88"/>
      <c r="P47" s="88"/>
    </row>
    <row r="48" spans="1:16">
      <c r="A48" s="140"/>
      <c r="B48" s="95"/>
      <c r="C48" s="95"/>
      <c r="D48" s="95"/>
      <c r="E48" s="120"/>
      <c r="F48" s="120"/>
      <c r="G48" s="120"/>
      <c r="H48" s="105"/>
      <c r="I48" s="120"/>
      <c r="J48" s="120"/>
      <c r="K48" s="88"/>
      <c r="L48" s="132"/>
      <c r="M48" s="88"/>
      <c r="N48" s="88"/>
      <c r="O48" s="88"/>
      <c r="P48" s="88"/>
    </row>
    <row r="49" spans="1:16" ht="14" thickBot="1">
      <c r="A49" s="140"/>
      <c r="B49" s="95"/>
      <c r="C49" s="95"/>
      <c r="D49" s="95"/>
      <c r="E49" s="120"/>
      <c r="F49" s="120"/>
      <c r="G49" s="120"/>
      <c r="H49" s="105"/>
      <c r="I49" s="120"/>
      <c r="J49" s="120"/>
      <c r="K49" s="88"/>
      <c r="L49" s="132"/>
      <c r="M49" s="88"/>
      <c r="N49" s="88"/>
      <c r="O49" s="88"/>
      <c r="P49" s="88"/>
    </row>
    <row r="50" spans="1:16" ht="14.25" customHeight="1">
      <c r="A50" s="206" t="s">
        <v>2580</v>
      </c>
      <c r="B50" s="209" t="s">
        <v>1</v>
      </c>
      <c r="C50" s="200" t="s">
        <v>2560</v>
      </c>
      <c r="D50" s="200"/>
      <c r="E50" s="200"/>
      <c r="F50" s="200"/>
      <c r="G50" s="202" t="s">
        <v>2561</v>
      </c>
      <c r="H50" s="200" t="s">
        <v>2562</v>
      </c>
      <c r="I50" s="202" t="s">
        <v>2563</v>
      </c>
      <c r="J50" s="202" t="s">
        <v>2564</v>
      </c>
      <c r="K50" s="200" t="str">
        <f>K39</f>
        <v>Forward Equity Risk Premium</v>
      </c>
      <c r="L50" s="212" t="s">
        <v>2566</v>
      </c>
      <c r="M50" s="88"/>
      <c r="N50" s="88"/>
      <c r="O50" s="88"/>
      <c r="P50" s="88"/>
    </row>
    <row r="51" spans="1:16" ht="14.25" customHeight="1">
      <c r="A51" s="207"/>
      <c r="B51" s="210"/>
      <c r="C51" s="201" t="s">
        <v>2567</v>
      </c>
      <c r="D51" s="201"/>
      <c r="E51" s="201"/>
      <c r="F51" s="201"/>
      <c r="G51" s="203"/>
      <c r="H51" s="201"/>
      <c r="I51" s="203"/>
      <c r="J51" s="203"/>
      <c r="K51" s="201"/>
      <c r="L51" s="213"/>
      <c r="M51" s="88"/>
      <c r="N51" s="88"/>
      <c r="O51" s="88"/>
      <c r="P51" s="88"/>
    </row>
    <row r="52" spans="1:16">
      <c r="A52" s="208"/>
      <c r="B52" s="211"/>
      <c r="C52" s="148" t="s">
        <v>2568</v>
      </c>
      <c r="D52" s="148" t="s">
        <v>2569</v>
      </c>
      <c r="E52" s="139" t="s">
        <v>2570</v>
      </c>
      <c r="F52" s="139" t="s">
        <v>2571</v>
      </c>
      <c r="G52" s="204"/>
      <c r="H52" s="205"/>
      <c r="I52" s="204"/>
      <c r="J52" s="172">
        <v>0.45</v>
      </c>
      <c r="K52" s="205"/>
      <c r="L52" s="149">
        <f>J52</f>
        <v>0.45</v>
      </c>
      <c r="M52" s="88"/>
      <c r="N52" s="88"/>
      <c r="O52" s="88"/>
      <c r="P52" s="88"/>
    </row>
    <row r="53" spans="1:16">
      <c r="A53" s="103" t="s">
        <v>2459</v>
      </c>
      <c r="B53" s="88" t="s">
        <v>610</v>
      </c>
      <c r="C53" s="120">
        <f>_xlfn.XLOOKUP($B53, $B$4:$B$45, C$4:C$45)</f>
        <v>62.448371719759479</v>
      </c>
      <c r="D53" s="120">
        <f>_xlfn.XLOOKUP($B53, $B$4:$B$45, D$4:D$45)</f>
        <v>0</v>
      </c>
      <c r="E53" s="120">
        <f t="shared" ref="E53:I68" si="12">_xlfn.XLOOKUP($B53, $B$4:$B$45, E$4:E$45)</f>
        <v>35.916692549130055</v>
      </c>
      <c r="F53" s="120">
        <f t="shared" si="12"/>
        <v>1.6349357311104638</v>
      </c>
      <c r="G53" s="163">
        <f t="shared" si="12"/>
        <v>0.85877409999999998</v>
      </c>
      <c r="H53" s="105">
        <f>_xlfn.XLOOKUP($B53, $B$4:$B$45, H$4:H$45)</f>
        <v>0.21639344262295082</v>
      </c>
      <c r="I53" s="163">
        <f t="shared" si="12"/>
        <v>0.35810200074326537</v>
      </c>
      <c r="J53" s="104">
        <f>IFERROR(I53*(1+(1-H53)*((1-J$52)/(J$52))),"n/a")</f>
        <v>0.7010710936226987</v>
      </c>
      <c r="K53" s="136">
        <f t="shared" ref="K53:K71" si="13">_xlfn.XLOOKUP($B53, $B$4:$B$45, K$4:K$45)</f>
        <v>0.11698197666995908</v>
      </c>
      <c r="L53" s="105">
        <f t="shared" ref="L53:L71" si="14">IFERROR(K53*(J53-G53),"n/a")</f>
        <v>-1.8448409412811867E-2</v>
      </c>
      <c r="M53" s="141"/>
      <c r="N53" s="141"/>
      <c r="O53" s="135"/>
      <c r="P53" s="135"/>
    </row>
    <row r="54" spans="1:16">
      <c r="A54" s="103" t="s">
        <v>2460</v>
      </c>
      <c r="B54" s="88" t="s">
        <v>445</v>
      </c>
      <c r="C54" s="120">
        <f t="shared" ref="C54:I71" si="15">_xlfn.XLOOKUP($B54, $B$4:$B$45, C$4:C$45)</f>
        <v>48.728250475051112</v>
      </c>
      <c r="D54" s="120">
        <f t="shared" si="15"/>
        <v>4.8737641917640868</v>
      </c>
      <c r="E54" s="120">
        <f t="shared" si="15"/>
        <v>46.397985333184806</v>
      </c>
      <c r="F54" s="120">
        <f t="shared" si="15"/>
        <v>0</v>
      </c>
      <c r="G54" s="163">
        <f t="shared" si="15"/>
        <v>0.71881010000000001</v>
      </c>
      <c r="H54" s="105">
        <f t="shared" si="15"/>
        <v>0.11</v>
      </c>
      <c r="I54" s="165">
        <f t="shared" si="12"/>
        <v>0.3544102165601925</v>
      </c>
      <c r="J54" s="165">
        <f t="shared" ref="J54:J71" si="16">IFERROR(I54*(1+(1-H54)*((1-J$52)/(J$52))),"n/a")</f>
        <v>0.73992977435177987</v>
      </c>
      <c r="K54" s="136">
        <f t="shared" si="13"/>
        <v>0.11698197666995908</v>
      </c>
      <c r="L54" s="136">
        <f t="shared" si="14"/>
        <v>2.4706212522970445E-3</v>
      </c>
      <c r="M54" s="141"/>
      <c r="N54" s="141"/>
      <c r="O54" s="135"/>
      <c r="P54" s="135"/>
    </row>
    <row r="55" spans="1:16">
      <c r="A55" s="103" t="s">
        <v>2573</v>
      </c>
      <c r="B55" s="88" t="s">
        <v>637</v>
      </c>
      <c r="C55" s="120">
        <f t="shared" si="15"/>
        <v>47.355037157675632</v>
      </c>
      <c r="D55" s="120">
        <f t="shared" si="15"/>
        <v>0.31757233184007161</v>
      </c>
      <c r="E55" s="120">
        <f t="shared" si="15"/>
        <v>52.327390510484292</v>
      </c>
      <c r="F55" s="120">
        <f t="shared" si="15"/>
        <v>0</v>
      </c>
      <c r="G55" s="163">
        <f t="shared" si="15"/>
        <v>0.72239589999999998</v>
      </c>
      <c r="H55" s="105">
        <f t="shared" si="15"/>
        <v>0.14599999999999999</v>
      </c>
      <c r="I55" s="165">
        <f t="shared" si="12"/>
        <v>0.40628948861517949</v>
      </c>
      <c r="J55" s="165">
        <f t="shared" si="16"/>
        <v>0.83036542817640124</v>
      </c>
      <c r="K55" s="136">
        <f t="shared" si="13"/>
        <v>0.11698197666995908</v>
      </c>
      <c r="L55" s="136">
        <f t="shared" si="14"/>
        <v>1.2630488826198261E-2</v>
      </c>
      <c r="M55" s="141"/>
      <c r="N55" s="141"/>
      <c r="O55" s="135"/>
      <c r="P55" s="135"/>
    </row>
    <row r="56" spans="1:16">
      <c r="A56" s="103" t="s">
        <v>2574</v>
      </c>
      <c r="B56" s="88" t="s">
        <v>2504</v>
      </c>
      <c r="C56" s="120">
        <f t="shared" si="15"/>
        <v>53.684566532636879</v>
      </c>
      <c r="D56" s="120">
        <f t="shared" si="15"/>
        <v>1.048438615610086</v>
      </c>
      <c r="E56" s="120">
        <f t="shared" si="15"/>
        <v>45.266994851753033</v>
      </c>
      <c r="F56" s="120">
        <f t="shared" si="15"/>
        <v>0</v>
      </c>
      <c r="G56" s="163">
        <f t="shared" si="15"/>
        <v>0.69190260000000003</v>
      </c>
      <c r="H56" s="105">
        <f t="shared" si="15"/>
        <v>0.13993710691823899</v>
      </c>
      <c r="I56" s="165">
        <f t="shared" si="12"/>
        <v>0.33918207448428689</v>
      </c>
      <c r="J56" s="165">
        <f t="shared" si="16"/>
        <v>0.69572619436058925</v>
      </c>
      <c r="K56" s="136">
        <f t="shared" si="13"/>
        <v>0.11698197666995908</v>
      </c>
      <c r="L56" s="136">
        <f t="shared" si="14"/>
        <v>4.4729162628583417E-4</v>
      </c>
      <c r="M56" s="141"/>
      <c r="N56" s="141"/>
      <c r="O56" s="135"/>
      <c r="P56" s="135"/>
    </row>
    <row r="57" spans="1:16">
      <c r="A57" s="103" t="s">
        <v>2400</v>
      </c>
      <c r="B57" s="88" t="s">
        <v>2401</v>
      </c>
      <c r="C57" s="120">
        <f t="shared" si="15"/>
        <v>46.885162988888972</v>
      </c>
      <c r="D57" s="120">
        <f t="shared" si="15"/>
        <v>2.1180154043814552</v>
      </c>
      <c r="E57" s="120">
        <f t="shared" si="15"/>
        <v>50.996821606729569</v>
      </c>
      <c r="F57" s="120">
        <f t="shared" si="15"/>
        <v>0</v>
      </c>
      <c r="G57" s="163">
        <f t="shared" si="15"/>
        <v>0.87370040181842501</v>
      </c>
      <c r="H57" s="105">
        <f t="shared" si="15"/>
        <v>6.0000000000000001E-3</v>
      </c>
      <c r="I57" s="165">
        <f t="shared" si="12"/>
        <v>0.44687332809757929</v>
      </c>
      <c r="J57" s="165">
        <f t="shared" si="16"/>
        <v>0.98977476914412732</v>
      </c>
      <c r="K57" s="136">
        <f t="shared" si="13"/>
        <v>0.11698197666995908</v>
      </c>
      <c r="L57" s="136">
        <f t="shared" si="14"/>
        <v>1.3578608930475567E-2</v>
      </c>
      <c r="M57" s="141"/>
      <c r="N57" s="141"/>
      <c r="O57" s="135"/>
      <c r="P57" s="135"/>
    </row>
    <row r="58" spans="1:16">
      <c r="A58" s="103" t="s">
        <v>2402</v>
      </c>
      <c r="B58" s="88" t="s">
        <v>1930</v>
      </c>
      <c r="C58" s="120">
        <f t="shared" si="15"/>
        <v>44.137938601801629</v>
      </c>
      <c r="D58" s="120">
        <f t="shared" si="15"/>
        <v>3.6925678334463385</v>
      </c>
      <c r="E58" s="120">
        <f t="shared" si="15"/>
        <v>51.679468047752806</v>
      </c>
      <c r="F58" s="120">
        <f t="shared" si="15"/>
        <v>0.49002551699922514</v>
      </c>
      <c r="G58" s="163">
        <f t="shared" si="15"/>
        <v>0.83927651394938352</v>
      </c>
      <c r="H58" s="105">
        <f t="shared" si="15"/>
        <v>0.12</v>
      </c>
      <c r="I58" s="165">
        <f t="shared" si="12"/>
        <v>0.46043159752266721</v>
      </c>
      <c r="J58" s="165">
        <f t="shared" si="16"/>
        <v>0.95565136019149166</v>
      </c>
      <c r="K58" s="136">
        <f t="shared" si="13"/>
        <v>0.11698197666995908</v>
      </c>
      <c r="L58" s="136">
        <f t="shared" si="14"/>
        <v>1.361375954806437E-2</v>
      </c>
      <c r="M58" s="141"/>
      <c r="N58" s="141"/>
      <c r="O58" s="135"/>
      <c r="P58" s="135"/>
    </row>
    <row r="59" spans="1:16">
      <c r="A59" s="103" t="s">
        <v>2403</v>
      </c>
      <c r="B59" s="88" t="s">
        <v>946</v>
      </c>
      <c r="C59" s="120">
        <f t="shared" si="15"/>
        <v>50.695105118023719</v>
      </c>
      <c r="D59" s="120">
        <f t="shared" si="15"/>
        <v>1.6546185080761218</v>
      </c>
      <c r="E59" s="120">
        <f t="shared" si="15"/>
        <v>47.650276373900155</v>
      </c>
      <c r="F59" s="120">
        <f t="shared" si="15"/>
        <v>0</v>
      </c>
      <c r="G59" s="163">
        <f t="shared" si="15"/>
        <v>0.84497239355831155</v>
      </c>
      <c r="H59" s="105">
        <f t="shared" si="15"/>
        <v>0.21</v>
      </c>
      <c r="I59" s="165">
        <f t="shared" si="12"/>
        <v>0.45236181432771438</v>
      </c>
      <c r="J59" s="165">
        <f t="shared" si="16"/>
        <v>0.88914227727302975</v>
      </c>
      <c r="K59" s="136">
        <f t="shared" si="13"/>
        <v>0.11698197666995908</v>
      </c>
      <c r="L59" s="136">
        <f t="shared" si="14"/>
        <v>5.1670803062299694E-3</v>
      </c>
      <c r="M59" s="141"/>
      <c r="N59" s="141"/>
      <c r="O59" s="135"/>
      <c r="P59" s="135"/>
    </row>
    <row r="60" spans="1:16">
      <c r="A60" s="103" t="s">
        <v>2415</v>
      </c>
      <c r="B60" s="88" t="s">
        <v>763</v>
      </c>
      <c r="C60" s="120">
        <f t="shared" si="15"/>
        <v>45.855890300126745</v>
      </c>
      <c r="D60" s="120">
        <f t="shared" si="15"/>
        <v>2.708600944757023</v>
      </c>
      <c r="E60" s="120">
        <f t="shared" si="15"/>
        <v>51.435508755116231</v>
      </c>
      <c r="F60" s="120">
        <f t="shared" si="15"/>
        <v>0</v>
      </c>
      <c r="G60" s="163">
        <f t="shared" si="15"/>
        <v>0.82378961834926434</v>
      </c>
      <c r="H60" s="105">
        <f t="shared" si="15"/>
        <v>9.1999999999999998E-2</v>
      </c>
      <c r="I60" s="165">
        <f t="shared" si="12"/>
        <v>0.4435373330010588</v>
      </c>
      <c r="J60" s="165">
        <f t="shared" si="16"/>
        <v>0.9357652087804561</v>
      </c>
      <c r="K60" s="136">
        <f t="shared" si="13"/>
        <v>0.11698197666995908</v>
      </c>
      <c r="L60" s="136">
        <f t="shared" si="14"/>
        <v>1.3099125907426568E-2</v>
      </c>
      <c r="M60" s="141"/>
      <c r="N60" s="141"/>
      <c r="O60" s="135"/>
      <c r="P60" s="135"/>
    </row>
    <row r="61" spans="1:16">
      <c r="A61" s="103" t="s">
        <v>2420</v>
      </c>
      <c r="B61" s="88" t="s">
        <v>1115</v>
      </c>
      <c r="C61" s="120">
        <f t="shared" si="15"/>
        <v>47.990985455774066</v>
      </c>
      <c r="D61" s="120">
        <f t="shared" si="15"/>
        <v>3.1016018350390078E-3</v>
      </c>
      <c r="E61" s="120">
        <f t="shared" si="15"/>
        <v>51.911648572894606</v>
      </c>
      <c r="F61" s="120">
        <f t="shared" si="15"/>
        <v>9.4264369496283557E-2</v>
      </c>
      <c r="G61" s="163">
        <f t="shared" si="15"/>
        <v>0.97465009387607859</v>
      </c>
      <c r="H61" s="105">
        <f t="shared" si="15"/>
        <v>0.161</v>
      </c>
      <c r="I61" s="165">
        <f t="shared" si="12"/>
        <v>0.54841657436860292</v>
      </c>
      <c r="J61" s="165">
        <f t="shared" si="16"/>
        <v>1.1107873037961402</v>
      </c>
      <c r="K61" s="136">
        <f t="shared" si="13"/>
        <v>0.11698197666995908</v>
      </c>
      <c r="L61" s="136">
        <f t="shared" si="14"/>
        <v>1.5925599914781971E-2</v>
      </c>
      <c r="M61" s="141"/>
      <c r="N61" s="141"/>
      <c r="O61" s="135"/>
      <c r="P61" s="135"/>
    </row>
    <row r="62" spans="1:16">
      <c r="A62" s="103" t="s">
        <v>1328</v>
      </c>
      <c r="B62" s="88" t="s">
        <v>764</v>
      </c>
      <c r="C62" s="120">
        <f t="shared" si="15"/>
        <v>41.03249822202735</v>
      </c>
      <c r="D62" s="120">
        <f t="shared" si="15"/>
        <v>3.9376742073792692</v>
      </c>
      <c r="E62" s="120">
        <f t="shared" si="15"/>
        <v>54.436051094018232</v>
      </c>
      <c r="F62" s="120">
        <f t="shared" si="15"/>
        <v>0.59377647657514498</v>
      </c>
      <c r="G62" s="163">
        <f t="shared" si="15"/>
        <v>0.90169525929291461</v>
      </c>
      <c r="H62" s="105">
        <f t="shared" si="15"/>
        <v>0.19800000000000001</v>
      </c>
      <c r="I62" s="165">
        <f t="shared" si="12"/>
        <v>0.53952105767404257</v>
      </c>
      <c r="J62" s="165">
        <f t="shared" si="16"/>
        <v>1.0683715877629762</v>
      </c>
      <c r="K62" s="136">
        <f t="shared" si="13"/>
        <v>0.11698197666995908</v>
      </c>
      <c r="L62" s="136">
        <f t="shared" si="14"/>
        <v>1.9498126368519185E-2</v>
      </c>
      <c r="M62" s="141"/>
      <c r="N62" s="141"/>
      <c r="O62" s="135"/>
      <c r="P62" s="135"/>
    </row>
    <row r="63" spans="1:16">
      <c r="A63" s="103" t="s">
        <v>2421</v>
      </c>
      <c r="B63" s="88" t="s">
        <v>1366</v>
      </c>
      <c r="C63" s="120">
        <f t="shared" si="15"/>
        <v>45.657238909721279</v>
      </c>
      <c r="D63" s="120">
        <f t="shared" si="15"/>
        <v>2.292903089536579</v>
      </c>
      <c r="E63" s="120">
        <f t="shared" si="15"/>
        <v>52.049858000742141</v>
      </c>
      <c r="F63" s="120">
        <f t="shared" si="15"/>
        <v>0</v>
      </c>
      <c r="G63" s="163">
        <f t="shared" si="15"/>
        <v>0.98249693606702992</v>
      </c>
      <c r="H63" s="105">
        <f t="shared" si="15"/>
        <v>0.13800000000000001</v>
      </c>
      <c r="I63" s="165">
        <f t="shared" si="12"/>
        <v>0.54762527978529307</v>
      </c>
      <c r="J63" s="165">
        <f t="shared" si="16"/>
        <v>1.1245789356657541</v>
      </c>
      <c r="K63" s="136">
        <f t="shared" si="13"/>
        <v>0.11698197666995908</v>
      </c>
      <c r="L63" s="136">
        <f t="shared" si="14"/>
        <v>1.6621033162279083E-2</v>
      </c>
      <c r="M63" s="141"/>
      <c r="N63" s="141"/>
      <c r="O63" s="135"/>
      <c r="P63" s="135"/>
    </row>
    <row r="64" spans="1:16">
      <c r="A64" s="103" t="s">
        <v>2526</v>
      </c>
      <c r="B64" s="88" t="s">
        <v>2527</v>
      </c>
      <c r="C64" s="120">
        <f t="shared" si="15"/>
        <v>37.11398538865344</v>
      </c>
      <c r="D64" s="120">
        <f t="shared" si="15"/>
        <v>6.9546894248985778</v>
      </c>
      <c r="E64" s="120">
        <f t="shared" si="15"/>
        <v>55.931325186447992</v>
      </c>
      <c r="F64" s="120">
        <f t="shared" si="15"/>
        <v>0</v>
      </c>
      <c r="G64" s="163">
        <f t="shared" si="15"/>
        <v>0.8927250421094256</v>
      </c>
      <c r="H64" s="105">
        <f t="shared" si="15"/>
        <v>0.09</v>
      </c>
      <c r="I64" s="165">
        <f t="shared" si="12"/>
        <v>0.51993448780371287</v>
      </c>
      <c r="J64" s="165">
        <f t="shared" si="16"/>
        <v>1.0982171792387314</v>
      </c>
      <c r="K64" s="136">
        <f t="shared" si="13"/>
        <v>0.11698197666995908</v>
      </c>
      <c r="L64" s="136">
        <f t="shared" si="14"/>
        <v>2.4038876391520483E-2</v>
      </c>
      <c r="M64" s="141"/>
      <c r="N64" s="141"/>
      <c r="O64" s="135"/>
      <c r="P64" s="135"/>
    </row>
    <row r="65" spans="1:16">
      <c r="A65" s="103" t="s">
        <v>2432</v>
      </c>
      <c r="B65" s="88" t="s">
        <v>1138</v>
      </c>
      <c r="C65" s="120">
        <f t="shared" si="15"/>
        <v>39.63717632338421</v>
      </c>
      <c r="D65" s="120">
        <f t="shared" si="15"/>
        <v>4.092051939106395</v>
      </c>
      <c r="E65" s="120">
        <f t="shared" si="15"/>
        <v>56.270771737509392</v>
      </c>
      <c r="F65" s="120">
        <f t="shared" si="15"/>
        <v>0</v>
      </c>
      <c r="G65" s="163">
        <f t="shared" si="15"/>
        <v>0.91219232010489681</v>
      </c>
      <c r="H65" s="105">
        <f t="shared" si="15"/>
        <v>0.125</v>
      </c>
      <c r="I65" s="165">
        <f t="shared" si="12"/>
        <v>0.54297765026569156</v>
      </c>
      <c r="J65" s="165">
        <f t="shared" si="16"/>
        <v>1.123662081799834</v>
      </c>
      <c r="K65" s="136">
        <f t="shared" si="13"/>
        <v>0.11698197666995908</v>
      </c>
      <c r="L65" s="136">
        <f t="shared" si="14"/>
        <v>2.4738150728998941E-2</v>
      </c>
      <c r="M65" s="141"/>
      <c r="N65" s="141"/>
      <c r="O65" s="135"/>
      <c r="P65" s="135"/>
    </row>
    <row r="66" spans="1:16">
      <c r="A66" s="103" t="s">
        <v>2435</v>
      </c>
      <c r="B66" s="88" t="s">
        <v>766</v>
      </c>
      <c r="C66" s="120">
        <f t="shared" si="15"/>
        <v>46.068948359780592</v>
      </c>
      <c r="D66" s="120">
        <f t="shared" si="15"/>
        <v>0.85899541095311693</v>
      </c>
      <c r="E66" s="120">
        <f t="shared" si="15"/>
        <v>53.072056229266295</v>
      </c>
      <c r="F66" s="120">
        <f t="shared" si="15"/>
        <v>0</v>
      </c>
      <c r="G66" s="163">
        <f t="shared" si="15"/>
        <v>1.0177614823084606</v>
      </c>
      <c r="H66" s="105">
        <f t="shared" si="15"/>
        <v>0.12</v>
      </c>
      <c r="I66" s="165">
        <f t="shared" si="12"/>
        <v>0.57237966717457611</v>
      </c>
      <c r="J66" s="165">
        <f t="shared" si="16"/>
        <v>1.1880057980912315</v>
      </c>
      <c r="K66" s="136">
        <f t="shared" si="13"/>
        <v>0.11698197666995908</v>
      </c>
      <c r="L66" s="136">
        <f t="shared" si="14"/>
        <v>1.9915516577093249E-2</v>
      </c>
      <c r="M66" s="141"/>
      <c r="N66" s="141"/>
      <c r="O66" s="135"/>
      <c r="P66" s="135"/>
    </row>
    <row r="67" spans="1:16">
      <c r="A67" s="103" t="s">
        <v>2442</v>
      </c>
      <c r="B67" s="88" t="s">
        <v>767</v>
      </c>
      <c r="C67" s="120">
        <f t="shared" si="15"/>
        <v>48.669564665105824</v>
      </c>
      <c r="D67" s="120">
        <f t="shared" si="15"/>
        <v>3.517963765468378</v>
      </c>
      <c r="E67" s="120">
        <f t="shared" si="15"/>
        <v>47.812471569425796</v>
      </c>
      <c r="F67" s="120">
        <f t="shared" si="15"/>
        <v>0</v>
      </c>
      <c r="G67" s="163">
        <f t="shared" si="15"/>
        <v>0.93579719106169845</v>
      </c>
      <c r="H67" s="105">
        <f t="shared" si="15"/>
        <v>0.129</v>
      </c>
      <c r="I67" s="165">
        <f t="shared" si="12"/>
        <v>0.47972368121953884</v>
      </c>
      <c r="J67" s="165">
        <f t="shared" si="16"/>
        <v>0.99041619119336133</v>
      </c>
      <c r="K67" s="136">
        <f t="shared" si="13"/>
        <v>0.11698197666995908</v>
      </c>
      <c r="L67" s="136">
        <f t="shared" si="14"/>
        <v>6.3894385991386787E-3</v>
      </c>
      <c r="M67" s="141"/>
      <c r="N67" s="141"/>
      <c r="O67" s="135"/>
      <c r="P67" s="135"/>
    </row>
    <row r="68" spans="1:16">
      <c r="A68" s="103" t="s">
        <v>2447</v>
      </c>
      <c r="B68" s="95" t="s">
        <v>31</v>
      </c>
      <c r="C68" s="120">
        <f t="shared" si="15"/>
        <v>41.892933776472269</v>
      </c>
      <c r="D68" s="120">
        <f t="shared" si="15"/>
        <v>3.7193170735697159</v>
      </c>
      <c r="E68" s="120">
        <f t="shared" si="15"/>
        <v>54.387749149958019</v>
      </c>
      <c r="F68" s="120">
        <f t="shared" si="15"/>
        <v>0</v>
      </c>
      <c r="G68" s="163">
        <f t="shared" si="15"/>
        <v>1.0663522553431179</v>
      </c>
      <c r="H68" s="105">
        <f t="shared" si="15"/>
        <v>0.19900000000000001</v>
      </c>
      <c r="I68" s="165">
        <f t="shared" si="12"/>
        <v>0.63786275841933004</v>
      </c>
      <c r="J68" s="165">
        <f t="shared" si="16"/>
        <v>1.2623303989118542</v>
      </c>
      <c r="K68" s="136">
        <f t="shared" si="13"/>
        <v>0.11698197666995908</v>
      </c>
      <c r="L68" s="136">
        <f t="shared" si="14"/>
        <v>2.2925910618779792E-2</v>
      </c>
      <c r="M68" s="141"/>
      <c r="N68" s="141"/>
      <c r="O68" s="135"/>
      <c r="P68" s="135"/>
    </row>
    <row r="69" spans="1:16">
      <c r="A69" s="103" t="s">
        <v>2445</v>
      </c>
      <c r="B69" s="88" t="s">
        <v>2446</v>
      </c>
      <c r="C69" s="120">
        <f t="shared" si="15"/>
        <v>53.560996989944556</v>
      </c>
      <c r="D69" s="120">
        <f t="shared" si="15"/>
        <v>1.9531805171947958</v>
      </c>
      <c r="E69" s="120">
        <f t="shared" si="15"/>
        <v>44.485822492860642</v>
      </c>
      <c r="F69" s="120">
        <f t="shared" si="15"/>
        <v>0</v>
      </c>
      <c r="G69" s="163">
        <f t="shared" si="15"/>
        <v>0.87885600974494305</v>
      </c>
      <c r="H69" s="105">
        <f t="shared" si="15"/>
        <v>0.16800000000000001</v>
      </c>
      <c r="I69" s="165">
        <f t="shared" si="15"/>
        <v>0.4311797988385348</v>
      </c>
      <c r="J69" s="165">
        <f t="shared" si="16"/>
        <v>0.86964174539078709</v>
      </c>
      <c r="K69" s="136">
        <f t="shared" si="13"/>
        <v>0.11698197666995908</v>
      </c>
      <c r="L69" s="136">
        <f t="shared" si="14"/>
        <v>-1.0779028577087074E-3</v>
      </c>
      <c r="M69" s="141"/>
      <c r="N69" s="141"/>
      <c r="O69" s="135"/>
      <c r="P69" s="135"/>
    </row>
    <row r="70" spans="1:16">
      <c r="A70" s="103" t="s">
        <v>2450</v>
      </c>
      <c r="B70" s="88" t="s">
        <v>768</v>
      </c>
      <c r="C70" s="120">
        <f t="shared" si="15"/>
        <v>44.253102338740064</v>
      </c>
      <c r="D70" s="120">
        <f t="shared" si="15"/>
        <v>2.0601591204408196</v>
      </c>
      <c r="E70" s="120">
        <f t="shared" si="15"/>
        <v>53.686738540819114</v>
      </c>
      <c r="F70" s="120">
        <f t="shared" si="15"/>
        <v>0</v>
      </c>
      <c r="G70" s="163">
        <f t="shared" si="15"/>
        <v>0.89737403966762719</v>
      </c>
      <c r="H70" s="105">
        <f t="shared" si="15"/>
        <v>0.114</v>
      </c>
      <c r="I70" s="165">
        <f t="shared" si="15"/>
        <v>0.50862477680027351</v>
      </c>
      <c r="J70" s="165">
        <f t="shared" si="16"/>
        <v>1.059408896210881</v>
      </c>
      <c r="K70" s="136">
        <f t="shared" si="13"/>
        <v>0.11698197666995908</v>
      </c>
      <c r="L70" s="136">
        <f t="shared" si="14"/>
        <v>1.8955157807863079E-2</v>
      </c>
      <c r="M70" s="141"/>
      <c r="N70" s="141"/>
      <c r="O70" s="135"/>
      <c r="P70" s="135"/>
    </row>
    <row r="71" spans="1:16">
      <c r="A71" s="155" t="s">
        <v>2458</v>
      </c>
      <c r="B71" s="88" t="s">
        <v>2053</v>
      </c>
      <c r="C71" s="120">
        <f t="shared" si="15"/>
        <v>44.796038316387978</v>
      </c>
      <c r="D71" s="120">
        <f t="shared" si="15"/>
        <v>1.6055483333994263</v>
      </c>
      <c r="E71" s="120">
        <f t="shared" si="15"/>
        <v>53.598413350212603</v>
      </c>
      <c r="F71" s="120">
        <f t="shared" si="15"/>
        <v>0</v>
      </c>
      <c r="G71" s="163">
        <f t="shared" si="15"/>
        <v>0.82948435931460662</v>
      </c>
      <c r="H71" s="105" t="str">
        <f t="shared" si="15"/>
        <v>NMF</v>
      </c>
      <c r="I71" s="165" t="str">
        <f t="shared" si="15"/>
        <v>n/a</v>
      </c>
      <c r="J71" s="165" t="str">
        <f t="shared" si="16"/>
        <v>n/a</v>
      </c>
      <c r="K71" s="136">
        <f t="shared" si="13"/>
        <v>0.11698197666995908</v>
      </c>
      <c r="L71" s="136" t="str">
        <f t="shared" si="14"/>
        <v>n/a</v>
      </c>
      <c r="M71" s="141"/>
      <c r="N71" s="141"/>
      <c r="O71" s="135"/>
      <c r="P71" s="135"/>
    </row>
    <row r="72" spans="1:16" ht="14" thickBot="1">
      <c r="A72" s="154" t="s">
        <v>2575</v>
      </c>
      <c r="B72" s="106"/>
      <c r="C72" s="107"/>
      <c r="D72" s="107"/>
      <c r="E72" s="107">
        <f>AVERAGE(E53:E71)</f>
        <v>50.49021283958978</v>
      </c>
      <c r="F72" s="107"/>
      <c r="G72" s="166">
        <f>AVERAGE(G53:G71)</f>
        <v>0.87700034824032536</v>
      </c>
      <c r="H72" s="108"/>
      <c r="I72" s="169"/>
      <c r="J72" s="166"/>
      <c r="K72" s="109"/>
      <c r="L72" s="183">
        <f>AVERAGE(L53:L71)</f>
        <v>1.1693804127523973E-2</v>
      </c>
      <c r="M72" s="88"/>
      <c r="N72" s="88"/>
      <c r="O72" s="88"/>
      <c r="P72" s="88"/>
    </row>
    <row r="73" spans="1:16">
      <c r="A73" s="103"/>
      <c r="B73" s="95"/>
      <c r="C73" s="104"/>
      <c r="D73" s="104"/>
      <c r="E73" s="104"/>
      <c r="F73" s="104"/>
      <c r="G73" s="120"/>
      <c r="H73" s="88"/>
      <c r="I73" s="157"/>
      <c r="J73" s="120"/>
      <c r="K73" s="98"/>
      <c r="L73" s="98"/>
      <c r="M73" s="88"/>
      <c r="N73" s="88"/>
      <c r="O73" s="88"/>
      <c r="P73" s="88"/>
    </row>
    <row r="74" spans="1:16">
      <c r="A74" s="103"/>
      <c r="B74" s="95"/>
      <c r="C74" s="104"/>
      <c r="D74" s="104"/>
      <c r="E74" s="104"/>
      <c r="F74" s="104"/>
      <c r="G74" s="120"/>
      <c r="H74" s="88"/>
      <c r="I74" s="157"/>
      <c r="J74" s="120"/>
      <c r="K74" s="98"/>
      <c r="L74" s="98"/>
      <c r="M74" s="88"/>
      <c r="N74" s="88"/>
      <c r="O74" s="88"/>
      <c r="P74" s="88"/>
    </row>
    <row r="75" spans="1:16" ht="14" thickBot="1">
      <c r="A75" s="140"/>
      <c r="B75" s="88"/>
      <c r="C75" s="95"/>
      <c r="D75" s="95"/>
      <c r="E75" s="120"/>
      <c r="F75" s="120"/>
      <c r="G75" s="120"/>
      <c r="H75" s="88"/>
      <c r="I75" s="120"/>
      <c r="J75" s="120"/>
      <c r="K75" s="88"/>
      <c r="L75" s="132"/>
      <c r="M75" s="88"/>
      <c r="N75" s="88"/>
      <c r="O75" s="88"/>
      <c r="P75" s="88"/>
    </row>
    <row r="76" spans="1:16">
      <c r="A76" s="206" t="s">
        <v>2581</v>
      </c>
      <c r="B76" s="209" t="s">
        <v>1</v>
      </c>
      <c r="C76" s="200" t="s">
        <v>2560</v>
      </c>
      <c r="D76" s="200"/>
      <c r="E76" s="200"/>
      <c r="F76" s="200"/>
      <c r="G76" s="202" t="s">
        <v>2561</v>
      </c>
      <c r="H76" s="200" t="s">
        <v>2562</v>
      </c>
      <c r="I76" s="202" t="s">
        <v>2563</v>
      </c>
      <c r="J76" s="202" t="s">
        <v>2564</v>
      </c>
      <c r="K76" s="200" t="str">
        <f>K50</f>
        <v>Forward Equity Risk Premium</v>
      </c>
      <c r="L76" s="212" t="s">
        <v>2566</v>
      </c>
      <c r="M76" s="88"/>
      <c r="N76" s="88"/>
      <c r="O76" s="88"/>
      <c r="P76" s="88"/>
    </row>
    <row r="77" spans="1:16" ht="14.25" customHeight="1">
      <c r="A77" s="207"/>
      <c r="B77" s="210"/>
      <c r="C77" s="201" t="s">
        <v>2567</v>
      </c>
      <c r="D77" s="201"/>
      <c r="E77" s="201"/>
      <c r="F77" s="201"/>
      <c r="G77" s="203"/>
      <c r="H77" s="201"/>
      <c r="I77" s="203"/>
      <c r="J77" s="203"/>
      <c r="K77" s="201"/>
      <c r="L77" s="213"/>
      <c r="M77" s="88"/>
      <c r="N77" s="88"/>
      <c r="O77" s="88"/>
      <c r="P77" s="88"/>
    </row>
    <row r="78" spans="1:16" ht="14.25" customHeight="1">
      <c r="A78" s="208"/>
      <c r="B78" s="211"/>
      <c r="C78" s="148" t="s">
        <v>2568</v>
      </c>
      <c r="D78" s="148" t="s">
        <v>2569</v>
      </c>
      <c r="E78" s="139" t="s">
        <v>2570</v>
      </c>
      <c r="F78" s="139" t="s">
        <v>2571</v>
      </c>
      <c r="G78" s="204"/>
      <c r="H78" s="205"/>
      <c r="I78" s="204"/>
      <c r="J78" s="172">
        <v>0.38</v>
      </c>
      <c r="K78" s="205"/>
      <c r="L78" s="149">
        <f>J78</f>
        <v>0.38</v>
      </c>
      <c r="M78" s="88"/>
      <c r="N78" s="88"/>
      <c r="O78" s="88"/>
      <c r="P78" s="88"/>
    </row>
    <row r="79" spans="1:16" ht="14.25" customHeight="1">
      <c r="A79" s="103" t="s">
        <v>2572</v>
      </c>
      <c r="B79" s="88" t="s">
        <v>430</v>
      </c>
      <c r="C79" s="120">
        <f>_xlfn.XLOOKUP($B79, $B$4:$B$45, C$4:C$45)</f>
        <v>44.306914735654445</v>
      </c>
      <c r="D79" s="120">
        <f>_xlfn.XLOOKUP($B79, $B$4:$B$45, D$4:D$45)</f>
        <v>5.3392152668460762</v>
      </c>
      <c r="E79" s="120">
        <f t="shared" ref="E79:H86" si="17">_xlfn.XLOOKUP($B79, $B$4:$B$45, E$4:E$45)</f>
        <v>50.35386999749948</v>
      </c>
      <c r="F79" s="120">
        <f t="shared" si="17"/>
        <v>0</v>
      </c>
      <c r="G79" s="163">
        <f t="shared" si="17"/>
        <v>1.15571</v>
      </c>
      <c r="H79" s="105">
        <f>_xlfn.XLOOKUP($B79, $B$4:$B$45, H$4:H$45)</f>
        <v>0.245</v>
      </c>
      <c r="I79" s="165">
        <f t="shared" ref="I79:I86" si="18">_xlfn.XLOOKUP($B79, $B$4:$B$45, I$4:I$45)</f>
        <v>0.66253026719921182</v>
      </c>
      <c r="J79" s="165">
        <f>IFERROR(I79*(1+(1-H79)*((1-J$78)/(J$78))),"n/a")</f>
        <v>1.4786629463464513</v>
      </c>
      <c r="K79" s="136">
        <f t="shared" ref="K79:K86" si="19">_xlfn.XLOOKUP($B79, $B$4:$B$45, K$4:K$45)</f>
        <v>0.11698197666995908</v>
      </c>
      <c r="L79" s="105">
        <f t="shared" ref="L79:L86" si="20">IFERROR(K79*(J79-G79),"n/a")</f>
        <v>3.7779674034995117E-2</v>
      </c>
      <c r="M79" s="134"/>
      <c r="N79" s="134"/>
      <c r="O79" s="135"/>
      <c r="P79" s="135"/>
    </row>
    <row r="80" spans="1:16">
      <c r="A80" s="103" t="s">
        <v>2459</v>
      </c>
      <c r="B80" s="88" t="s">
        <v>610</v>
      </c>
      <c r="C80" s="120">
        <f t="shared" ref="C80:D86" si="21">_xlfn.XLOOKUP($B80, $B$4:$B$45, C$4:C$45)</f>
        <v>62.448371719759479</v>
      </c>
      <c r="D80" s="120">
        <f t="shared" si="21"/>
        <v>0</v>
      </c>
      <c r="E80" s="120">
        <f t="shared" si="17"/>
        <v>35.916692549130055</v>
      </c>
      <c r="F80" s="120">
        <f t="shared" si="17"/>
        <v>1.6349357311104638</v>
      </c>
      <c r="G80" s="167">
        <f t="shared" si="17"/>
        <v>0.85877409999999998</v>
      </c>
      <c r="H80" s="132">
        <f t="shared" si="17"/>
        <v>0.21639344262295082</v>
      </c>
      <c r="I80" s="167">
        <f t="shared" si="18"/>
        <v>0.35810200074326537</v>
      </c>
      <c r="J80" s="167">
        <f t="shared" ref="J80:J86" si="22">IFERROR(I80*(1+(1-H80)*((1-J$78)/(J$78))),"n/a")</f>
        <v>0.81594112473064284</v>
      </c>
      <c r="K80" s="132">
        <f t="shared" si="19"/>
        <v>0.11698197666995908</v>
      </c>
      <c r="L80" s="132">
        <f t="shared" si="20"/>
        <v>-5.0106861136648712E-3</v>
      </c>
      <c r="M80" s="134"/>
      <c r="N80" s="134"/>
      <c r="O80" s="135"/>
      <c r="P80" s="135"/>
    </row>
    <row r="81" spans="1:16">
      <c r="A81" s="103" t="s">
        <v>2461</v>
      </c>
      <c r="B81" s="88" t="s">
        <v>652</v>
      </c>
      <c r="C81" s="120">
        <f t="shared" si="21"/>
        <v>46.71986217527315</v>
      </c>
      <c r="D81" s="120">
        <f t="shared" si="21"/>
        <v>1.813483247948497</v>
      </c>
      <c r="E81" s="120">
        <f t="shared" si="17"/>
        <v>51.466654576778346</v>
      </c>
      <c r="F81" s="120">
        <f t="shared" si="17"/>
        <v>0</v>
      </c>
      <c r="G81" s="167">
        <f t="shared" si="17"/>
        <v>0.93412499999999998</v>
      </c>
      <c r="H81" s="132">
        <f t="shared" si="17"/>
        <v>0.23400000000000001</v>
      </c>
      <c r="I81" s="167">
        <f t="shared" si="18"/>
        <v>0.54235734090015209</v>
      </c>
      <c r="J81" s="167">
        <f t="shared" si="22"/>
        <v>1.2201898365325212</v>
      </c>
      <c r="K81" s="132">
        <f t="shared" si="19"/>
        <v>0.11698197666995908</v>
      </c>
      <c r="L81" s="132">
        <f t="shared" si="20"/>
        <v>3.3464430033343054E-2</v>
      </c>
      <c r="M81" s="134"/>
      <c r="N81" s="134"/>
      <c r="O81" s="135"/>
      <c r="P81" s="135"/>
    </row>
    <row r="82" spans="1:16">
      <c r="A82" s="103" t="s">
        <v>2573</v>
      </c>
      <c r="B82" s="88" t="s">
        <v>637</v>
      </c>
      <c r="C82" s="120">
        <f t="shared" si="21"/>
        <v>47.355037157675632</v>
      </c>
      <c r="D82" s="120">
        <f t="shared" si="21"/>
        <v>0.31757233184007161</v>
      </c>
      <c r="E82" s="120">
        <f t="shared" si="17"/>
        <v>52.327390510484292</v>
      </c>
      <c r="F82" s="120">
        <f t="shared" si="17"/>
        <v>0</v>
      </c>
      <c r="G82" s="167">
        <f t="shared" si="17"/>
        <v>0.72239589999999998</v>
      </c>
      <c r="H82" s="132">
        <f t="shared" si="17"/>
        <v>0.14599999999999999</v>
      </c>
      <c r="I82" s="167">
        <f t="shared" si="18"/>
        <v>0.40628948861517949</v>
      </c>
      <c r="J82" s="167">
        <f t="shared" si="22"/>
        <v>0.97240043185719327</v>
      </c>
      <c r="K82" s="132">
        <f t="shared" si="19"/>
        <v>0.11698197666995908</v>
      </c>
      <c r="L82" s="132">
        <f t="shared" si="20"/>
        <v>2.9246024313102227E-2</v>
      </c>
      <c r="M82" s="134"/>
      <c r="N82" s="134"/>
      <c r="O82" s="135"/>
      <c r="P82" s="135"/>
    </row>
    <row r="83" spans="1:16">
      <c r="A83" s="103" t="s">
        <v>2579</v>
      </c>
      <c r="B83" s="88" t="s">
        <v>2380</v>
      </c>
      <c r="C83" s="120">
        <f t="shared" si="21"/>
        <v>39.79750803770947</v>
      </c>
      <c r="D83" s="120">
        <f t="shared" si="21"/>
        <v>0</v>
      </c>
      <c r="E83" s="120">
        <f t="shared" si="17"/>
        <v>60.202491962290537</v>
      </c>
      <c r="F83" s="120">
        <f t="shared" si="17"/>
        <v>0</v>
      </c>
      <c r="G83" s="167">
        <f t="shared" si="17"/>
        <v>0.82918805364407167</v>
      </c>
      <c r="H83" s="132">
        <f t="shared" si="17"/>
        <v>0.114</v>
      </c>
      <c r="I83" s="167">
        <f t="shared" si="18"/>
        <v>0.52291613678608884</v>
      </c>
      <c r="J83" s="167">
        <f t="shared" si="22"/>
        <v>1.2788326953632845</v>
      </c>
      <c r="K83" s="132">
        <f t="shared" si="19"/>
        <v>0.11698197666995908</v>
      </c>
      <c r="L83" s="132">
        <f t="shared" si="20"/>
        <v>5.2600318987369062E-2</v>
      </c>
      <c r="M83" s="134"/>
      <c r="N83" s="134"/>
      <c r="O83" s="135"/>
      <c r="P83" s="135"/>
    </row>
    <row r="84" spans="1:16">
      <c r="A84" s="103" t="s">
        <v>2387</v>
      </c>
      <c r="B84" s="88" t="s">
        <v>2388</v>
      </c>
      <c r="C84" s="120">
        <f t="shared" si="21"/>
        <v>52.398287974465219</v>
      </c>
      <c r="D84" s="120">
        <f t="shared" si="21"/>
        <v>0.63958919925185598</v>
      </c>
      <c r="E84" s="120">
        <f t="shared" si="17"/>
        <v>46.962122826282929</v>
      </c>
      <c r="F84" s="120">
        <f t="shared" si="17"/>
        <v>0</v>
      </c>
      <c r="G84" s="167">
        <f t="shared" si="17"/>
        <v>0.74464980030632322</v>
      </c>
      <c r="H84" s="132">
        <f t="shared" si="17"/>
        <v>0.25700000000000001</v>
      </c>
      <c r="I84" s="167">
        <f t="shared" si="18"/>
        <v>0.40489328183167222</v>
      </c>
      <c r="J84" s="167">
        <f t="shared" si="22"/>
        <v>0.89573049027529872</v>
      </c>
      <c r="K84" s="132">
        <f t="shared" si="19"/>
        <v>0.11698197666995908</v>
      </c>
      <c r="L84" s="132">
        <f t="shared" si="20"/>
        <v>1.7673717749232012E-2</v>
      </c>
      <c r="M84" s="134"/>
      <c r="N84" s="134"/>
      <c r="O84" s="135"/>
      <c r="P84" s="135"/>
    </row>
    <row r="85" spans="1:16">
      <c r="A85" s="103" t="s">
        <v>2538</v>
      </c>
      <c r="B85" s="88" t="s">
        <v>2539</v>
      </c>
      <c r="C85" s="120">
        <f t="shared" si="21"/>
        <v>39.54935552780416</v>
      </c>
      <c r="D85" s="120">
        <f t="shared" si="21"/>
        <v>4.0505407783519159E-4</v>
      </c>
      <c r="E85" s="120">
        <f t="shared" si="17"/>
        <v>60.450239418118002</v>
      </c>
      <c r="F85" s="120">
        <f t="shared" si="17"/>
        <v>0</v>
      </c>
      <c r="G85" s="167">
        <f t="shared" si="17"/>
        <v>0.83247976724837924</v>
      </c>
      <c r="H85" s="132">
        <f t="shared" si="17"/>
        <v>0.14899999999999999</v>
      </c>
      <c r="I85" s="167">
        <f t="shared" si="18"/>
        <v>0.53474826981260637</v>
      </c>
      <c r="J85" s="167">
        <f t="shared" si="22"/>
        <v>1.2772321701245204</v>
      </c>
      <c r="K85" s="132">
        <f t="shared" si="19"/>
        <v>0.11698197666995908</v>
      </c>
      <c r="L85" s="132">
        <f t="shared" si="20"/>
        <v>5.2028015217164984E-2</v>
      </c>
      <c r="M85" s="134"/>
      <c r="N85" s="134"/>
      <c r="O85" s="135"/>
      <c r="P85" s="135"/>
    </row>
    <row r="86" spans="1:16">
      <c r="A86" s="155" t="s">
        <v>2540</v>
      </c>
      <c r="B86" s="88" t="s">
        <v>2541</v>
      </c>
      <c r="C86" s="120">
        <f t="shared" si="21"/>
        <v>42.863774092268784</v>
      </c>
      <c r="D86" s="120">
        <f t="shared" si="21"/>
        <v>10.86671947546769</v>
      </c>
      <c r="E86" s="120">
        <f t="shared" si="17"/>
        <v>46.269506432263526</v>
      </c>
      <c r="F86" s="120">
        <f t="shared" si="17"/>
        <v>0</v>
      </c>
      <c r="G86" s="167">
        <f t="shared" si="17"/>
        <v>0.86346076191264043</v>
      </c>
      <c r="H86" s="132">
        <f t="shared" si="17"/>
        <v>0.151</v>
      </c>
      <c r="I86" s="167">
        <f t="shared" si="18"/>
        <v>0.43479529949811913</v>
      </c>
      <c r="J86" s="167">
        <f t="shared" si="22"/>
        <v>1.03707832515554</v>
      </c>
      <c r="K86" s="132">
        <f t="shared" si="19"/>
        <v>0.11698197666995908</v>
      </c>
      <c r="L86" s="132">
        <f t="shared" si="20"/>
        <v>2.0310125732776022E-2</v>
      </c>
      <c r="M86" s="134"/>
      <c r="N86" s="134"/>
      <c r="O86" s="135"/>
      <c r="P86" s="135"/>
    </row>
    <row r="87" spans="1:16" ht="14" thickBot="1">
      <c r="A87" s="154" t="s">
        <v>2575</v>
      </c>
      <c r="B87" s="106"/>
      <c r="C87" s="107"/>
      <c r="D87" s="107"/>
      <c r="E87" s="107">
        <f>AVERAGE(E79:E86)</f>
        <v>50.493621034105892</v>
      </c>
      <c r="F87" s="107"/>
      <c r="G87" s="107">
        <f>AVERAGE(G79:G86)</f>
        <v>0.8675979228889269</v>
      </c>
      <c r="H87" s="108"/>
      <c r="I87" s="170"/>
      <c r="J87" s="166"/>
      <c r="K87" s="143"/>
      <c r="L87" s="184">
        <f>AVERAGE(L79:L86)</f>
        <v>2.97614524942897E-2</v>
      </c>
      <c r="M87" s="88"/>
      <c r="N87" s="88"/>
      <c r="O87" s="88"/>
      <c r="P87" s="88"/>
    </row>
    <row r="88" spans="1:16">
      <c r="A88" s="103"/>
      <c r="B88" s="95"/>
      <c r="C88" s="104"/>
      <c r="D88" s="104"/>
      <c r="E88" s="104"/>
      <c r="F88" s="104"/>
      <c r="G88" s="120"/>
      <c r="H88" s="88"/>
      <c r="I88" s="171"/>
      <c r="J88" s="120"/>
      <c r="K88" s="144"/>
      <c r="L88" s="144"/>
      <c r="M88" s="88"/>
      <c r="N88" s="88"/>
      <c r="O88" s="88"/>
      <c r="P88" s="88"/>
    </row>
    <row r="89" spans="1:16">
      <c r="A89" s="103"/>
      <c r="B89" s="95"/>
      <c r="C89" s="104"/>
      <c r="D89" s="104"/>
      <c r="E89" s="104"/>
      <c r="F89" s="104"/>
      <c r="G89" s="120"/>
      <c r="H89" s="88"/>
      <c r="I89" s="171"/>
      <c r="J89" s="120"/>
      <c r="K89" s="144"/>
      <c r="L89" s="144"/>
      <c r="M89" s="88"/>
      <c r="N89" s="88"/>
      <c r="O89" s="88"/>
      <c r="P89" s="88"/>
    </row>
    <row r="90" spans="1:16">
      <c r="A90" s="103"/>
      <c r="B90" s="88"/>
      <c r="C90" s="88"/>
      <c r="D90" s="88"/>
      <c r="E90" s="120"/>
      <c r="F90" s="120"/>
      <c r="G90" s="120"/>
      <c r="H90" s="88"/>
      <c r="I90" s="120"/>
      <c r="J90" s="120"/>
      <c r="K90" s="88"/>
      <c r="L90" s="132"/>
      <c r="M90" s="87"/>
      <c r="N90" s="87"/>
      <c r="O90" s="87"/>
      <c r="P90" s="87"/>
    </row>
    <row r="91" spans="1:16">
      <c r="A91" s="103"/>
      <c r="B91" s="88"/>
      <c r="C91" s="88"/>
      <c r="D91" s="88"/>
      <c r="E91" s="120"/>
      <c r="F91" s="120"/>
      <c r="G91" s="120"/>
      <c r="H91" s="88"/>
      <c r="I91" s="120"/>
      <c r="J91" s="120"/>
      <c r="K91" s="88"/>
      <c r="L91" s="132"/>
      <c r="M91" s="87"/>
      <c r="N91" s="87"/>
      <c r="O91" s="87"/>
      <c r="P91" s="87"/>
    </row>
    <row r="92" spans="1:16" ht="14" thickBot="1">
      <c r="A92" s="103"/>
      <c r="B92" s="88"/>
      <c r="C92" s="88"/>
      <c r="D92" s="88"/>
      <c r="E92" s="120"/>
      <c r="F92" s="120"/>
      <c r="G92" s="120"/>
      <c r="H92" s="88"/>
      <c r="I92" s="120"/>
      <c r="J92" s="120"/>
      <c r="K92" s="88"/>
      <c r="L92" s="132"/>
      <c r="M92" s="87"/>
      <c r="N92" s="87"/>
      <c r="O92" s="87"/>
      <c r="P92" s="87"/>
    </row>
    <row r="93" spans="1:16">
      <c r="A93" s="206" t="s">
        <v>2582</v>
      </c>
      <c r="B93" s="209" t="s">
        <v>1</v>
      </c>
      <c r="C93" s="200" t="s">
        <v>2560</v>
      </c>
      <c r="D93" s="200"/>
      <c r="E93" s="200"/>
      <c r="F93" s="200"/>
      <c r="G93" s="202" t="s">
        <v>2561</v>
      </c>
      <c r="H93" s="200" t="s">
        <v>2562</v>
      </c>
      <c r="I93" s="202" t="s">
        <v>2563</v>
      </c>
      <c r="J93" s="202" t="s">
        <v>2564</v>
      </c>
      <c r="K93" s="200" t="s">
        <v>2583</v>
      </c>
      <c r="L93" s="212" t="s">
        <v>2566</v>
      </c>
      <c r="M93" s="87"/>
      <c r="N93" s="87"/>
      <c r="O93" s="87"/>
      <c r="P93" s="87"/>
    </row>
    <row r="94" spans="1:16" ht="14.25" customHeight="1">
      <c r="A94" s="207"/>
      <c r="B94" s="210"/>
      <c r="C94" s="201" t="s">
        <v>2567</v>
      </c>
      <c r="D94" s="201"/>
      <c r="E94" s="201"/>
      <c r="F94" s="201"/>
      <c r="G94" s="203"/>
      <c r="H94" s="201"/>
      <c r="I94" s="203"/>
      <c r="J94" s="203"/>
      <c r="K94" s="201"/>
      <c r="L94" s="213"/>
      <c r="M94" s="87"/>
      <c r="N94" s="87"/>
      <c r="O94" s="87"/>
      <c r="P94" s="87"/>
    </row>
    <row r="95" spans="1:16">
      <c r="A95" s="208"/>
      <c r="B95" s="211"/>
      <c r="C95" s="148" t="s">
        <v>2568</v>
      </c>
      <c r="D95" s="148" t="s">
        <v>2569</v>
      </c>
      <c r="E95" s="139" t="s">
        <v>2570</v>
      </c>
      <c r="F95" s="139" t="s">
        <v>2571</v>
      </c>
      <c r="G95" s="204"/>
      <c r="H95" s="205"/>
      <c r="I95" s="204"/>
      <c r="J95" s="173" t="s">
        <v>2594</v>
      </c>
      <c r="K95" s="205"/>
      <c r="L95" s="149" t="str">
        <f>J95</f>
        <v>45% or 38%</v>
      </c>
      <c r="M95" s="87"/>
      <c r="N95" s="87"/>
      <c r="O95" s="87"/>
      <c r="P95" s="87"/>
    </row>
    <row r="96" spans="1:16">
      <c r="A96" s="192" t="s">
        <v>2572</v>
      </c>
      <c r="B96" s="193" t="s">
        <v>430</v>
      </c>
      <c r="C96" s="120">
        <f>_xlfn.XLOOKUP($B96, $B$4:$B$45, C$4:C$45)</f>
        <v>44.306914735654445</v>
      </c>
      <c r="D96" s="120">
        <f>_xlfn.XLOOKUP($B96, $B$4:$B$45, D$4:D$45)</f>
        <v>5.3392152668460762</v>
      </c>
      <c r="E96" s="120">
        <f t="shared" ref="E96:K111" si="23">_xlfn.XLOOKUP($B96, $B$4:$B$45, E$4:E$45)</f>
        <v>50.35386999749948</v>
      </c>
      <c r="F96" s="120">
        <f t="shared" si="23"/>
        <v>0</v>
      </c>
      <c r="G96" s="163">
        <f t="shared" si="23"/>
        <v>1.15571</v>
      </c>
      <c r="H96" s="105">
        <f>_xlfn.XLOOKUP($B96, $B$4:$B$45, H$4:H$45)</f>
        <v>0.245</v>
      </c>
      <c r="I96" s="167">
        <f t="shared" ref="I96:K120" si="24">_xlfn.XLOOKUP($B96, $B$4:$B$45, I$4:I$45)</f>
        <v>0.66253026719921182</v>
      </c>
      <c r="J96" s="163">
        <f t="shared" si="23"/>
        <v>1.2738984748758178</v>
      </c>
      <c r="K96" s="136">
        <f t="shared" si="23"/>
        <v>0.11698197666995908</v>
      </c>
      <c r="L96" s="105">
        <f t="shared" ref="L96:L120" si="25">IFERROR(K96*(J96-G96),"n/a")</f>
        <v>1.3825921410580954E-2</v>
      </c>
      <c r="M96" s="87"/>
      <c r="N96" s="87"/>
      <c r="O96" s="87"/>
      <c r="P96" s="87"/>
    </row>
    <row r="97" spans="1:16">
      <c r="A97" s="192" t="s">
        <v>2459</v>
      </c>
      <c r="B97" s="193" t="s">
        <v>610</v>
      </c>
      <c r="C97" s="137">
        <f t="shared" ref="C97:H120" si="26">_xlfn.XLOOKUP($B97, $B$4:$B$45, C$4:C$45)</f>
        <v>62.448371719759479</v>
      </c>
      <c r="D97" s="137">
        <f t="shared" si="26"/>
        <v>0</v>
      </c>
      <c r="E97" s="137">
        <f t="shared" si="23"/>
        <v>35.916692549130055</v>
      </c>
      <c r="F97" s="137">
        <f t="shared" si="23"/>
        <v>1.6349357311104638</v>
      </c>
      <c r="G97" s="120">
        <f t="shared" si="23"/>
        <v>0.85877409999999998</v>
      </c>
      <c r="H97" s="132">
        <f t="shared" si="23"/>
        <v>0.21639344262295082</v>
      </c>
      <c r="I97" s="120">
        <f t="shared" si="24"/>
        <v>0.35810200074326537</v>
      </c>
      <c r="J97" s="120">
        <f t="shared" si="23"/>
        <v>0.7010710936226987</v>
      </c>
      <c r="K97" s="145">
        <f t="shared" si="23"/>
        <v>0.11698197666995908</v>
      </c>
      <c r="L97" s="180">
        <f t="shared" si="25"/>
        <v>-1.8448409412811867E-2</v>
      </c>
      <c r="M97" s="87"/>
      <c r="N97" s="87"/>
      <c r="O97" s="87"/>
      <c r="P97" s="87"/>
    </row>
    <row r="98" spans="1:16">
      <c r="A98" s="192" t="s">
        <v>2460</v>
      </c>
      <c r="B98" s="193" t="s">
        <v>445</v>
      </c>
      <c r="C98" s="137">
        <f t="shared" si="26"/>
        <v>48.728250475051112</v>
      </c>
      <c r="D98" s="137">
        <f t="shared" si="26"/>
        <v>4.8737641917640868</v>
      </c>
      <c r="E98" s="137">
        <f t="shared" si="23"/>
        <v>46.397985333184806</v>
      </c>
      <c r="F98" s="137">
        <f t="shared" si="23"/>
        <v>0</v>
      </c>
      <c r="G98" s="120">
        <f t="shared" si="23"/>
        <v>0.71881010000000001</v>
      </c>
      <c r="H98" s="132">
        <f t="shared" si="23"/>
        <v>0.11</v>
      </c>
      <c r="I98" s="120">
        <f t="shared" si="24"/>
        <v>0.3544102165601925</v>
      </c>
      <c r="J98" s="120">
        <f t="shared" si="23"/>
        <v>0.73992977435177987</v>
      </c>
      <c r="K98" s="145">
        <f t="shared" si="23"/>
        <v>0.11698197666995908</v>
      </c>
      <c r="L98" s="180">
        <f t="shared" si="25"/>
        <v>2.4706212522970445E-3</v>
      </c>
      <c r="M98" s="87"/>
      <c r="N98" s="87"/>
      <c r="O98" s="87"/>
      <c r="P98" s="87"/>
    </row>
    <row r="99" spans="1:16">
      <c r="A99" s="192" t="s">
        <v>2461</v>
      </c>
      <c r="B99" s="193" t="s">
        <v>652</v>
      </c>
      <c r="C99" s="137">
        <f t="shared" si="26"/>
        <v>46.71986217527315</v>
      </c>
      <c r="D99" s="137">
        <f t="shared" si="26"/>
        <v>1.813483247948497</v>
      </c>
      <c r="E99" s="137">
        <f t="shared" si="23"/>
        <v>51.466654576778346</v>
      </c>
      <c r="F99" s="137">
        <f t="shared" si="23"/>
        <v>0</v>
      </c>
      <c r="G99" s="120">
        <f t="shared" si="23"/>
        <v>0.93412499999999998</v>
      </c>
      <c r="H99" s="132">
        <f t="shared" si="23"/>
        <v>0.23400000000000001</v>
      </c>
      <c r="I99" s="120">
        <f t="shared" si="24"/>
        <v>0.54235734090015209</v>
      </c>
      <c r="J99" s="120">
        <f t="shared" si="23"/>
        <v>1.0501243358362278</v>
      </c>
      <c r="K99" s="145">
        <f t="shared" si="23"/>
        <v>0.11698197666995908</v>
      </c>
      <c r="L99" s="180">
        <f t="shared" si="25"/>
        <v>1.3569831598524347E-2</v>
      </c>
      <c r="M99" s="87"/>
      <c r="N99" s="87"/>
      <c r="O99" s="87"/>
      <c r="P99" s="87"/>
    </row>
    <row r="100" spans="1:16">
      <c r="A100" s="103" t="s">
        <v>2573</v>
      </c>
      <c r="B100" s="88" t="s">
        <v>637</v>
      </c>
      <c r="C100" s="120">
        <f t="shared" si="26"/>
        <v>47.355037157675632</v>
      </c>
      <c r="D100" s="120">
        <f t="shared" si="26"/>
        <v>0.31757233184007161</v>
      </c>
      <c r="E100" s="120">
        <f t="shared" si="23"/>
        <v>52.327390510484292</v>
      </c>
      <c r="F100" s="120">
        <f t="shared" si="23"/>
        <v>0</v>
      </c>
      <c r="G100" s="120">
        <f t="shared" si="23"/>
        <v>0.72239589999999998</v>
      </c>
      <c r="H100" s="132">
        <f t="shared" si="23"/>
        <v>0.14599999999999999</v>
      </c>
      <c r="I100" s="120">
        <f t="shared" si="24"/>
        <v>0.40628948861517949</v>
      </c>
      <c r="J100" s="120">
        <f>_xlfn.XLOOKUP($B100, $B$4:$B$45, J$4:J$45)</f>
        <v>0.83036542817640124</v>
      </c>
      <c r="K100" s="130">
        <f t="shared" si="23"/>
        <v>0.11698197666995908</v>
      </c>
      <c r="L100" s="132">
        <f t="shared" si="25"/>
        <v>1.2630488826198261E-2</v>
      </c>
      <c r="M100" s="87"/>
      <c r="N100" s="87"/>
      <c r="O100" s="87"/>
      <c r="P100" s="87"/>
    </row>
    <row r="101" spans="1:16">
      <c r="A101" s="103" t="s">
        <v>2574</v>
      </c>
      <c r="B101" s="88" t="s">
        <v>2504</v>
      </c>
      <c r="C101" s="120">
        <f t="shared" si="26"/>
        <v>53.684566532636879</v>
      </c>
      <c r="D101" s="120">
        <f t="shared" si="26"/>
        <v>1.048438615610086</v>
      </c>
      <c r="E101" s="120">
        <f t="shared" si="23"/>
        <v>45.266994851753033</v>
      </c>
      <c r="F101" s="120">
        <f t="shared" si="23"/>
        <v>0</v>
      </c>
      <c r="G101" s="120">
        <f t="shared" si="23"/>
        <v>0.69190260000000003</v>
      </c>
      <c r="H101" s="132">
        <f t="shared" si="23"/>
        <v>0.13993710691823899</v>
      </c>
      <c r="I101" s="120">
        <f t="shared" si="24"/>
        <v>0.33918207448428689</v>
      </c>
      <c r="J101" s="120">
        <f t="shared" si="23"/>
        <v>0.69572619436058925</v>
      </c>
      <c r="K101" s="130">
        <f t="shared" si="23"/>
        <v>0.11698197666995908</v>
      </c>
      <c r="L101" s="132">
        <f t="shared" si="25"/>
        <v>4.4729162628583417E-4</v>
      </c>
      <c r="M101" s="87"/>
      <c r="N101" s="87"/>
      <c r="O101" s="87"/>
      <c r="P101" s="87"/>
    </row>
    <row r="102" spans="1:16">
      <c r="A102" s="103" t="s">
        <v>2400</v>
      </c>
      <c r="B102" s="88" t="s">
        <v>2401</v>
      </c>
      <c r="C102" s="120">
        <f t="shared" si="26"/>
        <v>46.885162988888972</v>
      </c>
      <c r="D102" s="120">
        <f t="shared" si="26"/>
        <v>2.1180154043814552</v>
      </c>
      <c r="E102" s="120">
        <f t="shared" si="23"/>
        <v>50.996821606729569</v>
      </c>
      <c r="F102" s="120">
        <f t="shared" si="23"/>
        <v>0</v>
      </c>
      <c r="G102" s="120">
        <f t="shared" si="23"/>
        <v>0.87370040181842501</v>
      </c>
      <c r="H102" s="132">
        <f t="shared" si="23"/>
        <v>6.0000000000000001E-3</v>
      </c>
      <c r="I102" s="120">
        <f t="shared" si="24"/>
        <v>0.44687332809757929</v>
      </c>
      <c r="J102" s="120">
        <f t="shared" si="23"/>
        <v>0.98977476914412732</v>
      </c>
      <c r="K102" s="130">
        <f t="shared" si="23"/>
        <v>0.11698197666995908</v>
      </c>
      <c r="L102" s="132">
        <f t="shared" si="25"/>
        <v>1.3578608930475567E-2</v>
      </c>
      <c r="M102" s="87"/>
      <c r="N102" s="87"/>
      <c r="O102" s="87"/>
      <c r="P102" s="87"/>
    </row>
    <row r="103" spans="1:16">
      <c r="A103" s="103" t="s">
        <v>2402</v>
      </c>
      <c r="B103" s="88" t="s">
        <v>1930</v>
      </c>
      <c r="C103" s="120">
        <f t="shared" si="26"/>
        <v>44.137938601801629</v>
      </c>
      <c r="D103" s="120">
        <f t="shared" si="26"/>
        <v>3.6925678334463385</v>
      </c>
      <c r="E103" s="120">
        <f t="shared" si="23"/>
        <v>51.679468047752806</v>
      </c>
      <c r="F103" s="120">
        <f t="shared" si="23"/>
        <v>0.49002551699922514</v>
      </c>
      <c r="G103" s="120">
        <f t="shared" si="23"/>
        <v>0.83927651394938352</v>
      </c>
      <c r="H103" s="132">
        <f t="shared" si="23"/>
        <v>0.12</v>
      </c>
      <c r="I103" s="120">
        <f t="shared" si="24"/>
        <v>0.46043159752266721</v>
      </c>
      <c r="J103" s="120">
        <f t="shared" si="23"/>
        <v>0.95565136019149166</v>
      </c>
      <c r="K103" s="130">
        <f t="shared" si="23"/>
        <v>0.11698197666995908</v>
      </c>
      <c r="L103" s="132">
        <f t="shared" si="25"/>
        <v>1.361375954806437E-2</v>
      </c>
      <c r="M103" s="87"/>
      <c r="N103" s="87"/>
      <c r="O103" s="87"/>
      <c r="P103" s="87"/>
    </row>
    <row r="104" spans="1:16">
      <c r="A104" s="103" t="s">
        <v>2403</v>
      </c>
      <c r="B104" s="88" t="s">
        <v>946</v>
      </c>
      <c r="C104" s="120">
        <f t="shared" si="26"/>
        <v>50.695105118023719</v>
      </c>
      <c r="D104" s="120">
        <f t="shared" si="26"/>
        <v>1.6546185080761218</v>
      </c>
      <c r="E104" s="120">
        <f t="shared" si="23"/>
        <v>47.650276373900155</v>
      </c>
      <c r="F104" s="120">
        <f t="shared" si="23"/>
        <v>0</v>
      </c>
      <c r="G104" s="120">
        <f t="shared" si="23"/>
        <v>0.84497239355831155</v>
      </c>
      <c r="H104" s="132">
        <f t="shared" si="23"/>
        <v>0.21</v>
      </c>
      <c r="I104" s="120">
        <f t="shared" si="24"/>
        <v>0.45236181432771438</v>
      </c>
      <c r="J104" s="120">
        <f t="shared" si="23"/>
        <v>0.88914227727302975</v>
      </c>
      <c r="K104" s="130">
        <f t="shared" si="23"/>
        <v>0.11698197666995908</v>
      </c>
      <c r="L104" s="132">
        <f t="shared" si="25"/>
        <v>5.1670803062299694E-3</v>
      </c>
      <c r="M104" s="87"/>
      <c r="N104" s="87"/>
      <c r="O104" s="87"/>
      <c r="P104" s="87"/>
    </row>
    <row r="105" spans="1:16">
      <c r="A105" s="103" t="s">
        <v>2415</v>
      </c>
      <c r="B105" s="88" t="s">
        <v>763</v>
      </c>
      <c r="C105" s="120">
        <f t="shared" si="26"/>
        <v>45.855890300126745</v>
      </c>
      <c r="D105" s="120">
        <f t="shared" si="26"/>
        <v>2.708600944757023</v>
      </c>
      <c r="E105" s="120">
        <f t="shared" si="23"/>
        <v>51.435508755116231</v>
      </c>
      <c r="F105" s="120">
        <f t="shared" si="23"/>
        <v>0</v>
      </c>
      <c r="G105" s="120">
        <f t="shared" si="23"/>
        <v>0.82378961834926434</v>
      </c>
      <c r="H105" s="132">
        <f t="shared" si="23"/>
        <v>9.1999999999999998E-2</v>
      </c>
      <c r="I105" s="120">
        <f t="shared" si="24"/>
        <v>0.4435373330010588</v>
      </c>
      <c r="J105" s="120">
        <f t="shared" si="23"/>
        <v>0.9357652087804561</v>
      </c>
      <c r="K105" s="130">
        <f t="shared" si="23"/>
        <v>0.11698197666995908</v>
      </c>
      <c r="L105" s="132">
        <f t="shared" si="25"/>
        <v>1.3099125907426568E-2</v>
      </c>
      <c r="M105" s="87"/>
      <c r="N105" s="87"/>
      <c r="O105" s="87"/>
      <c r="P105" s="87"/>
    </row>
    <row r="106" spans="1:16">
      <c r="A106" s="103" t="s">
        <v>2420</v>
      </c>
      <c r="B106" s="88" t="s">
        <v>1115</v>
      </c>
      <c r="C106" s="120">
        <f t="shared" si="26"/>
        <v>47.990985455774066</v>
      </c>
      <c r="D106" s="120">
        <f t="shared" si="26"/>
        <v>3.1016018350390078E-3</v>
      </c>
      <c r="E106" s="120">
        <f t="shared" si="23"/>
        <v>51.911648572894606</v>
      </c>
      <c r="F106" s="120">
        <f t="shared" si="23"/>
        <v>9.4264369496283557E-2</v>
      </c>
      <c r="G106" s="120">
        <f t="shared" si="23"/>
        <v>0.97465009387607859</v>
      </c>
      <c r="H106" s="132">
        <f t="shared" si="23"/>
        <v>0.161</v>
      </c>
      <c r="I106" s="120">
        <f t="shared" si="24"/>
        <v>0.54841657436860292</v>
      </c>
      <c r="J106" s="120">
        <f t="shared" si="23"/>
        <v>1.1107873037961402</v>
      </c>
      <c r="K106" s="130">
        <f t="shared" si="23"/>
        <v>0.11698197666995908</v>
      </c>
      <c r="L106" s="132">
        <f t="shared" si="25"/>
        <v>1.5925599914781971E-2</v>
      </c>
      <c r="M106" s="87"/>
      <c r="N106" s="87"/>
      <c r="O106" s="87"/>
      <c r="P106" s="87"/>
    </row>
    <row r="107" spans="1:16">
      <c r="A107" s="103" t="s">
        <v>1328</v>
      </c>
      <c r="B107" s="88" t="s">
        <v>764</v>
      </c>
      <c r="C107" s="120">
        <f t="shared" si="26"/>
        <v>41.03249822202735</v>
      </c>
      <c r="D107" s="120">
        <f t="shared" si="26"/>
        <v>3.9376742073792692</v>
      </c>
      <c r="E107" s="120">
        <f t="shared" si="23"/>
        <v>54.436051094018232</v>
      </c>
      <c r="F107" s="120">
        <f t="shared" si="23"/>
        <v>0.59377647657514498</v>
      </c>
      <c r="G107" s="120">
        <f t="shared" si="23"/>
        <v>0.90169525929291461</v>
      </c>
      <c r="H107" s="132">
        <f t="shared" si="23"/>
        <v>0.19800000000000001</v>
      </c>
      <c r="I107" s="120">
        <f t="shared" si="24"/>
        <v>0.53952105767404257</v>
      </c>
      <c r="J107" s="120">
        <f t="shared" si="23"/>
        <v>1.0683715877629762</v>
      </c>
      <c r="K107" s="130">
        <f t="shared" si="23"/>
        <v>0.11698197666995908</v>
      </c>
      <c r="L107" s="132">
        <f t="shared" si="25"/>
        <v>1.9498126368519185E-2</v>
      </c>
      <c r="M107" s="87"/>
      <c r="N107" s="87"/>
      <c r="O107" s="87"/>
      <c r="P107" s="87"/>
    </row>
    <row r="108" spans="1:16">
      <c r="A108" s="103" t="s">
        <v>2421</v>
      </c>
      <c r="B108" s="88" t="s">
        <v>1366</v>
      </c>
      <c r="C108" s="120">
        <f t="shared" si="26"/>
        <v>45.657238909721279</v>
      </c>
      <c r="D108" s="120">
        <f t="shared" si="26"/>
        <v>2.292903089536579</v>
      </c>
      <c r="E108" s="120">
        <f t="shared" si="23"/>
        <v>52.049858000742141</v>
      </c>
      <c r="F108" s="120">
        <f t="shared" si="23"/>
        <v>0</v>
      </c>
      <c r="G108" s="120">
        <f t="shared" si="23"/>
        <v>0.98249693606702992</v>
      </c>
      <c r="H108" s="132">
        <f t="shared" si="23"/>
        <v>0.13800000000000001</v>
      </c>
      <c r="I108" s="120">
        <f t="shared" si="24"/>
        <v>0.54762527978529307</v>
      </c>
      <c r="J108" s="120">
        <f t="shared" si="23"/>
        <v>1.1245789356657541</v>
      </c>
      <c r="K108" s="130">
        <f t="shared" si="23"/>
        <v>0.11698197666995908</v>
      </c>
      <c r="L108" s="132">
        <f t="shared" si="25"/>
        <v>1.6621033162279083E-2</v>
      </c>
      <c r="M108" s="87"/>
      <c r="N108" s="87"/>
      <c r="O108" s="87"/>
      <c r="P108" s="87"/>
    </row>
    <row r="109" spans="1:16">
      <c r="A109" s="103" t="s">
        <v>2526</v>
      </c>
      <c r="B109" s="88" t="s">
        <v>2527</v>
      </c>
      <c r="C109" s="120">
        <f t="shared" si="26"/>
        <v>37.11398538865344</v>
      </c>
      <c r="D109" s="120">
        <f t="shared" si="26"/>
        <v>6.9546894248985778</v>
      </c>
      <c r="E109" s="120">
        <f t="shared" si="23"/>
        <v>55.931325186447992</v>
      </c>
      <c r="F109" s="120">
        <f t="shared" si="23"/>
        <v>0</v>
      </c>
      <c r="G109" s="120">
        <f t="shared" si="23"/>
        <v>0.8927250421094256</v>
      </c>
      <c r="H109" s="132">
        <f t="shared" si="23"/>
        <v>0.09</v>
      </c>
      <c r="I109" s="120">
        <f t="shared" si="24"/>
        <v>0.51993448780371287</v>
      </c>
      <c r="J109" s="120">
        <f>_xlfn.XLOOKUP($B109, $B$4:$B$45, J$4:J$45)</f>
        <v>1.0982171792387314</v>
      </c>
      <c r="K109" s="130">
        <f t="shared" si="23"/>
        <v>0.11698197666995908</v>
      </c>
      <c r="L109" s="132">
        <f t="shared" si="25"/>
        <v>2.4038876391520483E-2</v>
      </c>
      <c r="M109" s="87"/>
      <c r="N109" s="87"/>
      <c r="O109" s="87"/>
      <c r="P109" s="87"/>
    </row>
    <row r="110" spans="1:16">
      <c r="A110" s="103" t="s">
        <v>2432</v>
      </c>
      <c r="B110" s="88" t="s">
        <v>1138</v>
      </c>
      <c r="C110" s="120">
        <f t="shared" si="26"/>
        <v>39.63717632338421</v>
      </c>
      <c r="D110" s="120">
        <f t="shared" si="26"/>
        <v>4.092051939106395</v>
      </c>
      <c r="E110" s="120">
        <f t="shared" si="23"/>
        <v>56.270771737509392</v>
      </c>
      <c r="F110" s="120">
        <f t="shared" si="23"/>
        <v>0</v>
      </c>
      <c r="G110" s="120">
        <f t="shared" si="23"/>
        <v>0.91219232010489681</v>
      </c>
      <c r="H110" s="132">
        <f t="shared" si="23"/>
        <v>0.125</v>
      </c>
      <c r="I110" s="120">
        <f t="shared" si="24"/>
        <v>0.54297765026569156</v>
      </c>
      <c r="J110" s="120">
        <f t="shared" si="23"/>
        <v>1.123662081799834</v>
      </c>
      <c r="K110" s="130">
        <f t="shared" si="23"/>
        <v>0.11698197666995908</v>
      </c>
      <c r="L110" s="132">
        <f t="shared" si="25"/>
        <v>2.4738150728998941E-2</v>
      </c>
      <c r="M110" s="87"/>
      <c r="N110" s="87"/>
      <c r="O110" s="87"/>
      <c r="P110" s="87"/>
    </row>
    <row r="111" spans="1:16">
      <c r="A111" s="103" t="s">
        <v>2435</v>
      </c>
      <c r="B111" s="88" t="s">
        <v>766</v>
      </c>
      <c r="C111" s="120">
        <f t="shared" si="26"/>
        <v>46.068948359780592</v>
      </c>
      <c r="D111" s="120">
        <f t="shared" si="26"/>
        <v>0.85899541095311693</v>
      </c>
      <c r="E111" s="120">
        <f t="shared" si="23"/>
        <v>53.072056229266295</v>
      </c>
      <c r="F111" s="120">
        <f t="shared" si="23"/>
        <v>0</v>
      </c>
      <c r="G111" s="120">
        <f t="shared" si="23"/>
        <v>1.0177614823084606</v>
      </c>
      <c r="H111" s="132">
        <f t="shared" si="23"/>
        <v>0.12</v>
      </c>
      <c r="I111" s="120">
        <f t="shared" si="24"/>
        <v>0.57237966717457611</v>
      </c>
      <c r="J111" s="120">
        <f t="shared" si="23"/>
        <v>1.1880057980912315</v>
      </c>
      <c r="K111" s="130">
        <f t="shared" si="23"/>
        <v>0.11698197666995908</v>
      </c>
      <c r="L111" s="132">
        <f t="shared" si="25"/>
        <v>1.9915516577093249E-2</v>
      </c>
      <c r="M111" s="87"/>
      <c r="N111" s="87"/>
      <c r="O111" s="87"/>
      <c r="P111" s="87"/>
    </row>
    <row r="112" spans="1:16">
      <c r="A112" s="103" t="s">
        <v>2442</v>
      </c>
      <c r="B112" s="88" t="s">
        <v>767</v>
      </c>
      <c r="C112" s="120">
        <f t="shared" si="26"/>
        <v>48.669564665105824</v>
      </c>
      <c r="D112" s="120">
        <f t="shared" si="26"/>
        <v>3.517963765468378</v>
      </c>
      <c r="E112" s="120">
        <f t="shared" si="26"/>
        <v>47.812471569425796</v>
      </c>
      <c r="F112" s="120">
        <f t="shared" si="26"/>
        <v>0</v>
      </c>
      <c r="G112" s="120">
        <f t="shared" si="26"/>
        <v>0.93579719106169845</v>
      </c>
      <c r="H112" s="132">
        <f t="shared" si="26"/>
        <v>0.129</v>
      </c>
      <c r="I112" s="120">
        <f t="shared" si="24"/>
        <v>0.47972368121953884</v>
      </c>
      <c r="J112" s="120">
        <f t="shared" si="24"/>
        <v>0.99041619119336133</v>
      </c>
      <c r="K112" s="130">
        <f t="shared" si="24"/>
        <v>0.11698197666995908</v>
      </c>
      <c r="L112" s="132">
        <f t="shared" si="25"/>
        <v>6.3894385991386787E-3</v>
      </c>
      <c r="M112" s="87"/>
      <c r="N112" s="87"/>
      <c r="O112" s="87"/>
      <c r="P112" s="87"/>
    </row>
    <row r="113" spans="1:16">
      <c r="A113" s="103" t="s">
        <v>2447</v>
      </c>
      <c r="B113" s="88" t="s">
        <v>31</v>
      </c>
      <c r="C113" s="120">
        <f t="shared" si="26"/>
        <v>41.892933776472269</v>
      </c>
      <c r="D113" s="120">
        <f t="shared" si="26"/>
        <v>3.7193170735697159</v>
      </c>
      <c r="E113" s="120">
        <f t="shared" si="26"/>
        <v>54.387749149958019</v>
      </c>
      <c r="F113" s="120">
        <f t="shared" si="26"/>
        <v>0</v>
      </c>
      <c r="G113" s="120">
        <f t="shared" si="26"/>
        <v>1.0663522553431179</v>
      </c>
      <c r="H113" s="132">
        <f t="shared" si="26"/>
        <v>0.19900000000000001</v>
      </c>
      <c r="I113" s="120">
        <f t="shared" si="24"/>
        <v>0.63786275841933004</v>
      </c>
      <c r="J113" s="120">
        <f t="shared" si="24"/>
        <v>1.2623303989118542</v>
      </c>
      <c r="K113" s="130">
        <f t="shared" si="24"/>
        <v>0.11698197666995908</v>
      </c>
      <c r="L113" s="132">
        <f t="shared" si="25"/>
        <v>2.2925910618779792E-2</v>
      </c>
      <c r="M113" s="87"/>
      <c r="N113" s="87"/>
      <c r="O113" s="87"/>
      <c r="P113" s="87"/>
    </row>
    <row r="114" spans="1:16">
      <c r="A114" s="103" t="s">
        <v>2445</v>
      </c>
      <c r="B114" s="88" t="s">
        <v>2446</v>
      </c>
      <c r="C114" s="120">
        <f t="shared" si="26"/>
        <v>53.560996989944556</v>
      </c>
      <c r="D114" s="120">
        <f t="shared" si="26"/>
        <v>1.9531805171947958</v>
      </c>
      <c r="E114" s="120">
        <f t="shared" si="26"/>
        <v>44.485822492860642</v>
      </c>
      <c r="F114" s="120">
        <f t="shared" si="26"/>
        <v>0</v>
      </c>
      <c r="G114" s="120">
        <f t="shared" si="26"/>
        <v>0.87885600974494305</v>
      </c>
      <c r="H114" s="132">
        <f t="shared" si="26"/>
        <v>0.16800000000000001</v>
      </c>
      <c r="I114" s="120">
        <f t="shared" si="24"/>
        <v>0.4311797988385348</v>
      </c>
      <c r="J114" s="120">
        <f t="shared" si="24"/>
        <v>0.86964174539078709</v>
      </c>
      <c r="K114" s="130">
        <f t="shared" si="24"/>
        <v>0.11698197666995908</v>
      </c>
      <c r="L114" s="132">
        <f t="shared" si="25"/>
        <v>-1.0779028577087074E-3</v>
      </c>
      <c r="M114" s="87"/>
      <c r="N114" s="87"/>
      <c r="O114" s="87"/>
      <c r="P114" s="87"/>
    </row>
    <row r="115" spans="1:16">
      <c r="A115" s="103" t="s">
        <v>2450</v>
      </c>
      <c r="B115" s="88" t="s">
        <v>768</v>
      </c>
      <c r="C115" s="120">
        <f t="shared" si="26"/>
        <v>44.253102338740064</v>
      </c>
      <c r="D115" s="120">
        <f t="shared" si="26"/>
        <v>2.0601591204408196</v>
      </c>
      <c r="E115" s="120">
        <f t="shared" si="26"/>
        <v>53.686738540819114</v>
      </c>
      <c r="F115" s="120">
        <f t="shared" si="26"/>
        <v>0</v>
      </c>
      <c r="G115" s="120">
        <f t="shared" si="26"/>
        <v>0.89737403966762719</v>
      </c>
      <c r="H115" s="132">
        <f t="shared" si="26"/>
        <v>0.114</v>
      </c>
      <c r="I115" s="120">
        <f t="shared" si="24"/>
        <v>0.50862477680027351</v>
      </c>
      <c r="J115" s="120">
        <f t="shared" si="24"/>
        <v>1.059408896210881</v>
      </c>
      <c r="K115" s="130">
        <f t="shared" si="24"/>
        <v>0.11698197666995908</v>
      </c>
      <c r="L115" s="132">
        <f t="shared" si="25"/>
        <v>1.8955157807863079E-2</v>
      </c>
      <c r="M115" s="87"/>
      <c r="N115" s="87"/>
      <c r="O115" s="87"/>
      <c r="P115" s="87"/>
    </row>
    <row r="116" spans="1:16">
      <c r="A116" s="103" t="s">
        <v>2458</v>
      </c>
      <c r="B116" s="88" t="s">
        <v>2053</v>
      </c>
      <c r="C116" s="120">
        <f t="shared" si="26"/>
        <v>44.796038316387978</v>
      </c>
      <c r="D116" s="120">
        <f t="shared" si="26"/>
        <v>1.6055483333994263</v>
      </c>
      <c r="E116" s="120">
        <f t="shared" si="26"/>
        <v>53.598413350212603</v>
      </c>
      <c r="F116" s="120">
        <f t="shared" si="26"/>
        <v>0</v>
      </c>
      <c r="G116" s="120">
        <f t="shared" si="26"/>
        <v>0.82948435931460662</v>
      </c>
      <c r="H116" s="132" t="str">
        <f t="shared" si="26"/>
        <v>NMF</v>
      </c>
      <c r="I116" s="120" t="str">
        <f t="shared" si="24"/>
        <v>n/a</v>
      </c>
      <c r="J116" s="120" t="str">
        <f t="shared" si="24"/>
        <v>n/a</v>
      </c>
      <c r="K116" s="130">
        <f t="shared" si="24"/>
        <v>0.11698197666995908</v>
      </c>
      <c r="L116" s="132" t="str">
        <f t="shared" si="25"/>
        <v>n/a</v>
      </c>
      <c r="M116" s="87"/>
      <c r="N116" s="87"/>
      <c r="O116" s="87"/>
      <c r="P116" s="87"/>
    </row>
    <row r="117" spans="1:16">
      <c r="A117" s="103" t="s">
        <v>2579</v>
      </c>
      <c r="B117" s="88" t="s">
        <v>2380</v>
      </c>
      <c r="C117" s="120">
        <f t="shared" si="26"/>
        <v>39.79750803770947</v>
      </c>
      <c r="D117" s="120">
        <f t="shared" si="26"/>
        <v>0</v>
      </c>
      <c r="E117" s="120">
        <f t="shared" si="26"/>
        <v>60.202491962290537</v>
      </c>
      <c r="F117" s="120">
        <f t="shared" si="26"/>
        <v>0</v>
      </c>
      <c r="G117" s="120">
        <f t="shared" si="26"/>
        <v>0.82918805364407167</v>
      </c>
      <c r="H117" s="132">
        <f t="shared" si="26"/>
        <v>0.114</v>
      </c>
      <c r="I117" s="120">
        <f t="shared" si="24"/>
        <v>0.52291613678608884</v>
      </c>
      <c r="J117" s="120">
        <f t="shared" si="24"/>
        <v>1.2788326953632845</v>
      </c>
      <c r="K117" s="130">
        <f t="shared" si="24"/>
        <v>0.11698197666995908</v>
      </c>
      <c r="L117" s="194">
        <f t="shared" si="25"/>
        <v>5.2600318987369062E-2</v>
      </c>
      <c r="M117" s="87"/>
      <c r="N117" s="87"/>
      <c r="O117" s="87"/>
      <c r="P117" s="87"/>
    </row>
    <row r="118" spans="1:16">
      <c r="A118" s="103" t="s">
        <v>2387</v>
      </c>
      <c r="B118" s="88" t="s">
        <v>2388</v>
      </c>
      <c r="C118" s="120">
        <f t="shared" si="26"/>
        <v>52.398287974465219</v>
      </c>
      <c r="D118" s="120">
        <f t="shared" si="26"/>
        <v>0.63958919925185598</v>
      </c>
      <c r="E118" s="120">
        <f t="shared" si="26"/>
        <v>46.962122826282929</v>
      </c>
      <c r="F118" s="120">
        <f t="shared" si="26"/>
        <v>0</v>
      </c>
      <c r="G118" s="120">
        <f t="shared" si="26"/>
        <v>0.74464980030632322</v>
      </c>
      <c r="H118" s="132">
        <f t="shared" si="26"/>
        <v>0.25700000000000001</v>
      </c>
      <c r="I118" s="120">
        <f t="shared" si="24"/>
        <v>0.40489328183167222</v>
      </c>
      <c r="J118" s="120">
        <f t="shared" si="24"/>
        <v>0.89573049027529872</v>
      </c>
      <c r="K118" s="130">
        <f t="shared" si="24"/>
        <v>0.11698197666995908</v>
      </c>
      <c r="L118" s="194">
        <f t="shared" si="25"/>
        <v>1.7673717749232012E-2</v>
      </c>
      <c r="M118" s="87"/>
      <c r="N118" s="87"/>
      <c r="O118" s="87"/>
      <c r="P118" s="87"/>
    </row>
    <row r="119" spans="1:16">
      <c r="A119" s="103" t="s">
        <v>2538</v>
      </c>
      <c r="B119" s="88" t="s">
        <v>2539</v>
      </c>
      <c r="C119" s="120">
        <f t="shared" si="26"/>
        <v>39.54935552780416</v>
      </c>
      <c r="D119" s="120">
        <f t="shared" si="26"/>
        <v>4.0505407783519159E-4</v>
      </c>
      <c r="E119" s="120">
        <f t="shared" si="26"/>
        <v>60.450239418118002</v>
      </c>
      <c r="F119" s="120">
        <f t="shared" si="26"/>
        <v>0</v>
      </c>
      <c r="G119" s="120">
        <f t="shared" si="26"/>
        <v>0.83247976724837924</v>
      </c>
      <c r="H119" s="132">
        <f t="shared" si="26"/>
        <v>0.14899999999999999</v>
      </c>
      <c r="I119" s="120">
        <f t="shared" si="24"/>
        <v>0.53474826981260637</v>
      </c>
      <c r="J119" s="120">
        <f t="shared" si="24"/>
        <v>1.2772321701245204</v>
      </c>
      <c r="K119" s="130">
        <f t="shared" si="24"/>
        <v>0.11698197666995908</v>
      </c>
      <c r="L119" s="194">
        <f t="shared" si="25"/>
        <v>5.2028015217164984E-2</v>
      </c>
      <c r="M119" s="87"/>
      <c r="N119" s="87"/>
      <c r="O119" s="87"/>
      <c r="P119" s="87"/>
    </row>
    <row r="120" spans="1:16">
      <c r="A120" s="103" t="s">
        <v>2540</v>
      </c>
      <c r="B120" s="88" t="s">
        <v>2541</v>
      </c>
      <c r="C120" s="120">
        <f t="shared" si="26"/>
        <v>42.863774092268784</v>
      </c>
      <c r="D120" s="120">
        <f t="shared" si="26"/>
        <v>10.86671947546769</v>
      </c>
      <c r="E120" s="120">
        <f t="shared" si="26"/>
        <v>46.269506432263526</v>
      </c>
      <c r="F120" s="120">
        <f t="shared" si="26"/>
        <v>0</v>
      </c>
      <c r="G120" s="120">
        <f t="shared" si="26"/>
        <v>0.86346076191264043</v>
      </c>
      <c r="H120" s="132">
        <f t="shared" si="26"/>
        <v>0.151</v>
      </c>
      <c r="I120" s="120">
        <f t="shared" si="24"/>
        <v>0.43479529949811913</v>
      </c>
      <c r="J120" s="120">
        <f t="shared" si="24"/>
        <v>1.03707832515554</v>
      </c>
      <c r="K120" s="130">
        <f t="shared" si="24"/>
        <v>0.11698197666995908</v>
      </c>
      <c r="L120" s="194">
        <f t="shared" si="25"/>
        <v>2.0310125732776022E-2</v>
      </c>
      <c r="M120" s="87"/>
      <c r="N120" s="87"/>
      <c r="O120" s="87"/>
      <c r="P120" s="87"/>
    </row>
    <row r="121" spans="1:16" ht="14" thickBot="1">
      <c r="A121" s="151" t="s">
        <v>2575</v>
      </c>
      <c r="B121" s="108"/>
      <c r="C121" s="166"/>
      <c r="D121" s="166"/>
      <c r="E121" s="166">
        <f>AVERAGE(E96:E120)</f>
        <v>51.000757166617539</v>
      </c>
      <c r="F121" s="166"/>
      <c r="G121" s="166">
        <f>AVERAGE(G96:G120)</f>
        <v>0.88090479998710391</v>
      </c>
      <c r="H121" s="108"/>
      <c r="I121" s="166"/>
      <c r="J121" s="166"/>
      <c r="K121" s="195"/>
      <c r="L121" s="196">
        <f>AVERAGE(L96:L120)</f>
        <v>1.5854016874628288E-2</v>
      </c>
      <c r="M121" s="87"/>
      <c r="N121" s="87"/>
      <c r="O121" s="87"/>
      <c r="P121" s="87"/>
    </row>
    <row r="123" spans="1:16" s="94" customFormat="1">
      <c r="A123" s="92" t="s">
        <v>2505</v>
      </c>
      <c r="B123" s="174"/>
      <c r="E123" s="175"/>
      <c r="F123" s="104"/>
      <c r="G123" s="168"/>
      <c r="H123" s="96"/>
      <c r="I123" s="168"/>
      <c r="J123" s="168"/>
      <c r="K123" s="96"/>
      <c r="L123" s="181"/>
      <c r="M123" s="96"/>
    </row>
    <row r="124" spans="1:16" s="94" customFormat="1">
      <c r="A124" s="83" t="s">
        <v>2585</v>
      </c>
      <c r="B124" s="174"/>
      <c r="E124" s="175"/>
      <c r="F124" s="104"/>
      <c r="G124" s="168"/>
      <c r="H124" s="96"/>
      <c r="I124" s="168"/>
      <c r="J124" s="168"/>
      <c r="K124" s="96"/>
      <c r="L124" s="181"/>
      <c r="M124" s="96"/>
    </row>
    <row r="125" spans="1:16" s="94" customFormat="1">
      <c r="A125" s="83" t="s">
        <v>2586</v>
      </c>
      <c r="B125" s="174"/>
      <c r="E125" s="175"/>
      <c r="F125" s="104"/>
      <c r="G125" s="168"/>
      <c r="H125" s="96"/>
      <c r="I125" s="168"/>
      <c r="J125" s="168"/>
      <c r="K125" s="96"/>
      <c r="L125" s="181"/>
      <c r="M125" s="96"/>
    </row>
    <row r="126" spans="1:16" s="94" customFormat="1">
      <c r="A126" s="83" t="s">
        <v>2587</v>
      </c>
      <c r="B126" s="174"/>
      <c r="E126" s="175"/>
      <c r="F126" s="168"/>
      <c r="G126" s="168"/>
      <c r="H126" s="96"/>
      <c r="I126" s="168"/>
      <c r="J126" s="168"/>
      <c r="K126" s="96"/>
      <c r="L126" s="181"/>
      <c r="M126" s="96"/>
    </row>
    <row r="127" spans="1:16" s="94" customFormat="1">
      <c r="A127" s="83" t="s">
        <v>2588</v>
      </c>
      <c r="B127" s="95"/>
      <c r="E127" s="175"/>
      <c r="F127" s="168"/>
      <c r="G127" s="168"/>
      <c r="H127" s="96"/>
      <c r="I127" s="168"/>
      <c r="J127" s="168"/>
      <c r="K127" s="96"/>
      <c r="L127" s="181"/>
      <c r="M127" s="96"/>
    </row>
    <row r="128" spans="1:16" s="94" customFormat="1">
      <c r="A128" s="83" t="s">
        <v>2589</v>
      </c>
      <c r="B128" s="174"/>
      <c r="E128" s="175"/>
      <c r="F128" s="168"/>
      <c r="G128" s="168"/>
      <c r="H128" s="96"/>
      <c r="I128" s="168"/>
      <c r="J128" s="168"/>
      <c r="K128" s="96"/>
      <c r="L128" s="181"/>
    </row>
    <row r="129" spans="1:12" s="94" customFormat="1">
      <c r="A129" s="83" t="s">
        <v>2590</v>
      </c>
      <c r="B129" s="174"/>
      <c r="E129" s="175"/>
      <c r="F129" s="168"/>
      <c r="G129" s="168"/>
      <c r="H129" s="96"/>
      <c r="I129" s="168"/>
      <c r="J129" s="168"/>
      <c r="K129" s="96"/>
      <c r="L129" s="181"/>
    </row>
    <row r="130" spans="1:12" s="94" customFormat="1">
      <c r="A130" s="83" t="s">
        <v>2591</v>
      </c>
      <c r="B130" s="174"/>
      <c r="E130" s="175"/>
      <c r="F130" s="168"/>
      <c r="G130" s="168"/>
      <c r="H130" s="96"/>
      <c r="I130" s="168"/>
      <c r="J130" s="168"/>
      <c r="K130" s="96"/>
      <c r="L130" s="181"/>
    </row>
    <row r="131" spans="1:12" s="94" customFormat="1">
      <c r="A131" s="83" t="s">
        <v>2592</v>
      </c>
      <c r="B131" s="174"/>
      <c r="E131" s="175"/>
      <c r="F131" s="168"/>
      <c r="G131" s="168"/>
      <c r="H131" s="96"/>
      <c r="I131" s="168"/>
      <c r="J131" s="168"/>
      <c r="K131" s="96"/>
      <c r="L131" s="181"/>
    </row>
    <row r="132" spans="1:12" s="94" customFormat="1">
      <c r="A132" s="83" t="s">
        <v>2593</v>
      </c>
      <c r="B132" s="174"/>
      <c r="E132" s="175"/>
      <c r="F132" s="168"/>
      <c r="G132" s="168"/>
      <c r="H132" s="96"/>
      <c r="I132" s="168"/>
      <c r="J132" s="168"/>
      <c r="K132" s="96"/>
      <c r="L132" s="181"/>
    </row>
  </sheetData>
  <mergeCells count="61">
    <mergeCell ref="A93:A95"/>
    <mergeCell ref="B93:B95"/>
    <mergeCell ref="C93:F93"/>
    <mergeCell ref="G93:G95"/>
    <mergeCell ref="H93:H95"/>
    <mergeCell ref="I76:I78"/>
    <mergeCell ref="J76:J77"/>
    <mergeCell ref="K76:K78"/>
    <mergeCell ref="L93:L94"/>
    <mergeCell ref="C94:F94"/>
    <mergeCell ref="L76:L77"/>
    <mergeCell ref="C77:F77"/>
    <mergeCell ref="I93:I95"/>
    <mergeCell ref="J93:J94"/>
    <mergeCell ref="K93:K95"/>
    <mergeCell ref="A76:A78"/>
    <mergeCell ref="B76:B78"/>
    <mergeCell ref="C76:F76"/>
    <mergeCell ref="G76:G78"/>
    <mergeCell ref="H76:H78"/>
    <mergeCell ref="I50:I52"/>
    <mergeCell ref="J50:J51"/>
    <mergeCell ref="K50:K52"/>
    <mergeCell ref="L50:L51"/>
    <mergeCell ref="C51:F51"/>
    <mergeCell ref="A50:A52"/>
    <mergeCell ref="B50:B52"/>
    <mergeCell ref="C50:F50"/>
    <mergeCell ref="G50:G52"/>
    <mergeCell ref="H50:H52"/>
    <mergeCell ref="I39:I41"/>
    <mergeCell ref="J39:J40"/>
    <mergeCell ref="K39:K41"/>
    <mergeCell ref="L39:L40"/>
    <mergeCell ref="C40:F40"/>
    <mergeCell ref="A39:A41"/>
    <mergeCell ref="B39:B41"/>
    <mergeCell ref="C39:F39"/>
    <mergeCell ref="G39:G41"/>
    <mergeCell ref="H39:H41"/>
    <mergeCell ref="L4:L5"/>
    <mergeCell ref="C5:F5"/>
    <mergeCell ref="A17:A19"/>
    <mergeCell ref="B17:B19"/>
    <mergeCell ref="C17:F17"/>
    <mergeCell ref="G17:G19"/>
    <mergeCell ref="H17:H19"/>
    <mergeCell ref="I17:I19"/>
    <mergeCell ref="J17:J18"/>
    <mergeCell ref="K17:K19"/>
    <mergeCell ref="L17:L18"/>
    <mergeCell ref="C18:F18"/>
    <mergeCell ref="A1:K1"/>
    <mergeCell ref="A4:A6"/>
    <mergeCell ref="B4:B6"/>
    <mergeCell ref="C4:F4"/>
    <mergeCell ref="G4:G6"/>
    <mergeCell ref="H4:H6"/>
    <mergeCell ref="I4:I6"/>
    <mergeCell ref="J4:J5"/>
    <mergeCell ref="K4:K6"/>
  </mergeCells>
  <hyperlinks>
    <hyperlink ref="J124" r:id="rId1" display="https://corporatefinanceinstitute.com/resources/knowledge/valuation/unlevered-beta-asset-beta/" xr:uid="{184E62BE-C7C0-4AB2-9CA2-DD17D1D73619}"/>
  </hyperlinks>
  <printOptions horizontalCentered="1"/>
  <pageMargins left="0.27" right="0.27" top="0.86755952380952395" bottom="0.75" header="0.3" footer="0.3"/>
  <pageSetup scale="55" fitToWidth="0" fitToHeight="0" orientation="landscape" useFirstPageNumber="1" r:id="rId2"/>
  <headerFooter>
    <oddHeader>&amp;R&amp;"Century Gothic,Regular"&amp;11Ontario Energy Assn.
Exhibit CEA-7.1
Page &amp;P of 3</oddHeader>
  </headerFooter>
  <rowBreaks count="1" manualBreakCount="1">
    <brk id="37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CAAC-F413-467E-9417-1BAC92AD45F9}">
  <dimension ref="A1:P132"/>
  <sheetViews>
    <sheetView zoomScale="90" zoomScaleNormal="90" zoomScaleSheetLayoutView="85" workbookViewId="0">
      <selection activeCell="P32" sqref="P32"/>
    </sheetView>
  </sheetViews>
  <sheetFormatPr defaultColWidth="9" defaultRowHeight="13.5"/>
  <cols>
    <col min="1" max="1" width="40.5" style="156" customWidth="1"/>
    <col min="2" max="4" width="14.5" style="122" customWidth="1"/>
    <col min="5" max="5" width="16.25" style="147" customWidth="1"/>
    <col min="6" max="7" width="14.5" style="147" customWidth="1"/>
    <col min="8" max="8" width="14.5" style="122" customWidth="1"/>
    <col min="9" max="10" width="14.5" style="147" customWidth="1"/>
    <col min="11" max="11" width="14.5" style="122" customWidth="1"/>
    <col min="12" max="12" width="22.75" style="179" customWidth="1"/>
    <col min="13" max="16" width="9" style="122"/>
    <col min="17" max="16384" width="9" style="102"/>
  </cols>
  <sheetData>
    <row r="1" spans="1:16" ht="17.5">
      <c r="A1" s="199" t="s">
        <v>2597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32"/>
      <c r="M1" s="88"/>
      <c r="N1" s="88"/>
      <c r="O1" s="88"/>
      <c r="P1" s="88"/>
    </row>
    <row r="2" spans="1:16" ht="14">
      <c r="A2" s="150"/>
      <c r="B2" s="121"/>
      <c r="C2" s="121"/>
      <c r="D2" s="121"/>
      <c r="E2" s="162"/>
      <c r="F2" s="162"/>
      <c r="G2" s="162"/>
      <c r="H2" s="121"/>
      <c r="I2" s="162"/>
      <c r="J2" s="162"/>
      <c r="K2" s="121"/>
      <c r="L2" s="176"/>
      <c r="M2" s="88"/>
      <c r="N2" s="88"/>
      <c r="O2" s="88"/>
      <c r="P2" s="88"/>
    </row>
    <row r="3" spans="1:16" ht="14" thickBot="1">
      <c r="A3" s="103"/>
      <c r="B3" s="88"/>
      <c r="C3" s="88" t="s">
        <v>2466</v>
      </c>
      <c r="D3" s="88"/>
      <c r="E3" s="120" t="s">
        <v>2467</v>
      </c>
      <c r="F3" s="120" t="s">
        <v>2468</v>
      </c>
      <c r="G3" s="120" t="s">
        <v>2469</v>
      </c>
      <c r="H3" s="88" t="s">
        <v>2470</v>
      </c>
      <c r="I3" s="120" t="s">
        <v>2471</v>
      </c>
      <c r="J3" s="120" t="s">
        <v>2472</v>
      </c>
      <c r="K3" s="88" t="s">
        <v>2473</v>
      </c>
      <c r="L3" s="132" t="s">
        <v>2474</v>
      </c>
      <c r="M3" s="88"/>
      <c r="N3" s="88"/>
      <c r="O3" s="88"/>
      <c r="P3" s="88"/>
    </row>
    <row r="4" spans="1:16" ht="15.4" customHeight="1">
      <c r="A4" s="206" t="s">
        <v>2559</v>
      </c>
      <c r="B4" s="209" t="s">
        <v>1</v>
      </c>
      <c r="C4" s="200" t="s">
        <v>2560</v>
      </c>
      <c r="D4" s="200"/>
      <c r="E4" s="200"/>
      <c r="F4" s="200"/>
      <c r="G4" s="202" t="s">
        <v>2561</v>
      </c>
      <c r="H4" s="200" t="s">
        <v>2562</v>
      </c>
      <c r="I4" s="202" t="s">
        <v>2563</v>
      </c>
      <c r="J4" s="202" t="s">
        <v>2564</v>
      </c>
      <c r="K4" s="200" t="s">
        <v>2598</v>
      </c>
      <c r="L4" s="212" t="s">
        <v>2566</v>
      </c>
      <c r="M4" s="88"/>
      <c r="N4" s="88"/>
      <c r="O4" s="88"/>
      <c r="P4" s="88"/>
    </row>
    <row r="5" spans="1:16">
      <c r="A5" s="207"/>
      <c r="B5" s="210"/>
      <c r="C5" s="201" t="s">
        <v>2567</v>
      </c>
      <c r="D5" s="201"/>
      <c r="E5" s="201"/>
      <c r="F5" s="201"/>
      <c r="G5" s="203"/>
      <c r="H5" s="201"/>
      <c r="I5" s="203"/>
      <c r="J5" s="203"/>
      <c r="K5" s="201"/>
      <c r="L5" s="213"/>
      <c r="M5" s="88"/>
      <c r="N5" s="88"/>
      <c r="O5" s="88"/>
      <c r="P5" s="88"/>
    </row>
    <row r="6" spans="1:16">
      <c r="A6" s="208"/>
      <c r="B6" s="211"/>
      <c r="C6" s="148" t="s">
        <v>2568</v>
      </c>
      <c r="D6" s="148" t="s">
        <v>2569</v>
      </c>
      <c r="E6" s="139" t="s">
        <v>2570</v>
      </c>
      <c r="F6" s="139" t="s">
        <v>2571</v>
      </c>
      <c r="G6" s="204"/>
      <c r="H6" s="205"/>
      <c r="I6" s="204"/>
      <c r="J6" s="173">
        <v>0.4</v>
      </c>
      <c r="K6" s="205"/>
      <c r="L6" s="149">
        <f>J6</f>
        <v>0.4</v>
      </c>
      <c r="M6" s="88"/>
      <c r="N6" s="88"/>
      <c r="O6" s="88"/>
      <c r="P6" s="88"/>
    </row>
    <row r="7" spans="1:16">
      <c r="A7" s="99" t="s">
        <v>2572</v>
      </c>
      <c r="B7" s="89" t="s">
        <v>430</v>
      </c>
      <c r="C7" s="157">
        <v>44.306914735654445</v>
      </c>
      <c r="D7" s="157">
        <v>5.3392152668460762</v>
      </c>
      <c r="E7" s="157">
        <v>50.35386999749948</v>
      </c>
      <c r="F7" s="104">
        <v>0</v>
      </c>
      <c r="G7" s="104">
        <v>1.15571</v>
      </c>
      <c r="H7" s="98">
        <v>0.245</v>
      </c>
      <c r="I7" s="104">
        <f>IFERROR(G7/(1+(1-H7)*((C7+D7+F7)/E7)),"n/a")</f>
        <v>0.66253026719921182</v>
      </c>
      <c r="J7" s="104">
        <f>IFERROR(I7*(1+(1-H7)*((1-J$6)/(J$6))),"n/a")</f>
        <v>1.4128457948023192</v>
      </c>
      <c r="K7" s="126">
        <f>AVERAGE(5.68%,7.17%)</f>
        <v>6.4250000000000002E-2</v>
      </c>
      <c r="L7" s="133">
        <f>IFERROR(K7*(J7-G7),"n/a")</f>
        <v>1.6520974816049007E-2</v>
      </c>
      <c r="M7" s="141"/>
      <c r="N7" s="141"/>
      <c r="O7" s="135"/>
      <c r="P7" s="135"/>
    </row>
    <row r="8" spans="1:16">
      <c r="A8" s="99" t="s">
        <v>2459</v>
      </c>
      <c r="B8" s="89" t="s">
        <v>610</v>
      </c>
      <c r="C8" s="157">
        <v>62.448371719759479</v>
      </c>
      <c r="D8" s="157">
        <v>0</v>
      </c>
      <c r="E8" s="157">
        <v>35.916692549130055</v>
      </c>
      <c r="F8" s="104">
        <v>1.6349357311104638</v>
      </c>
      <c r="G8" s="104">
        <v>0.85877409999999998</v>
      </c>
      <c r="H8" s="98">
        <f>198/915</f>
        <v>0.21639344262295082</v>
      </c>
      <c r="I8" s="104">
        <f t="shared" ref="I8:I12" si="0">IFERROR(G8/(1+(1-H8)*((C8+D8+F8)/E8)),"n/a")</f>
        <v>0.35810200074326537</v>
      </c>
      <c r="J8" s="104">
        <f t="shared" ref="J8:J12" si="1">IFERROR(I8*(1+(1-H8)*((1-J$6)/(J$6))),"n/a")</f>
        <v>0.77901861473166079</v>
      </c>
      <c r="K8" s="126">
        <f>$K$7</f>
        <v>6.4250000000000002E-2</v>
      </c>
      <c r="L8" s="133">
        <f t="shared" ref="L8:L12" si="2">IFERROR(K8*(J8-G8),"n/a")</f>
        <v>-5.1242899284907936E-3</v>
      </c>
      <c r="M8" s="141"/>
      <c r="N8" s="141"/>
      <c r="O8" s="135"/>
      <c r="P8" s="135"/>
    </row>
    <row r="9" spans="1:16">
      <c r="A9" s="99" t="s">
        <v>2460</v>
      </c>
      <c r="B9" s="89" t="s">
        <v>445</v>
      </c>
      <c r="C9" s="157">
        <v>48.728250475051112</v>
      </c>
      <c r="D9" s="157">
        <v>4.8737641917640868</v>
      </c>
      <c r="E9" s="157">
        <v>46.397985333184806</v>
      </c>
      <c r="F9" s="104">
        <v>0</v>
      </c>
      <c r="G9" s="104">
        <v>0.71881010000000001</v>
      </c>
      <c r="H9" s="98">
        <v>0.11</v>
      </c>
      <c r="I9" s="104">
        <f t="shared" si="0"/>
        <v>0.3544102165601925</v>
      </c>
      <c r="J9" s="104">
        <f t="shared" si="1"/>
        <v>0.82754785566804945</v>
      </c>
      <c r="K9" s="126">
        <f t="shared" ref="K9:K12" si="3">$K$7</f>
        <v>6.4250000000000002E-2</v>
      </c>
      <c r="L9" s="133">
        <f t="shared" si="2"/>
        <v>6.9864008016721768E-3</v>
      </c>
      <c r="M9" s="141"/>
      <c r="N9" s="141"/>
      <c r="O9" s="135"/>
      <c r="P9" s="135"/>
    </row>
    <row r="10" spans="1:16">
      <c r="A10" s="99" t="s">
        <v>2461</v>
      </c>
      <c r="B10" s="89" t="s">
        <v>652</v>
      </c>
      <c r="C10" s="157">
        <v>46.71986217527315</v>
      </c>
      <c r="D10" s="157">
        <v>1.813483247948497</v>
      </c>
      <c r="E10" s="157">
        <v>51.466654576778346</v>
      </c>
      <c r="F10" s="104">
        <v>0</v>
      </c>
      <c r="G10" s="104">
        <v>0.93412499999999998</v>
      </c>
      <c r="H10" s="98">
        <v>0.23400000000000001</v>
      </c>
      <c r="I10" s="104">
        <f t="shared" si="0"/>
        <v>0.54235734090015209</v>
      </c>
      <c r="J10" s="104">
        <f t="shared" si="1"/>
        <v>1.1655259255944268</v>
      </c>
      <c r="K10" s="126">
        <f t="shared" si="3"/>
        <v>6.4250000000000002E-2</v>
      </c>
      <c r="L10" s="133">
        <f t="shared" si="2"/>
        <v>1.4867509469441924E-2</v>
      </c>
      <c r="M10" s="141"/>
      <c r="N10" s="141"/>
      <c r="O10" s="135"/>
      <c r="P10" s="135"/>
    </row>
    <row r="11" spans="1:16">
      <c r="A11" s="103" t="s">
        <v>2573</v>
      </c>
      <c r="B11" s="88" t="s">
        <v>637</v>
      </c>
      <c r="C11" s="157">
        <v>47.355037157675632</v>
      </c>
      <c r="D11" s="157">
        <v>0.31757233184007161</v>
      </c>
      <c r="E11" s="157">
        <v>52.327390510484292</v>
      </c>
      <c r="F11" s="104">
        <v>0</v>
      </c>
      <c r="G11" s="104">
        <v>0.72239589999999998</v>
      </c>
      <c r="H11" s="98">
        <v>0.14599999999999999</v>
      </c>
      <c r="I11" s="104">
        <f t="shared" si="0"/>
        <v>0.40628948861517949</v>
      </c>
      <c r="J11" s="104">
        <f t="shared" si="1"/>
        <v>0.92674632353122433</v>
      </c>
      <c r="K11" s="126">
        <f t="shared" si="3"/>
        <v>6.4250000000000002E-2</v>
      </c>
      <c r="L11" s="133">
        <f t="shared" si="2"/>
        <v>1.3129514711881165E-2</v>
      </c>
      <c r="M11" s="142"/>
      <c r="N11" s="141"/>
      <c r="O11" s="135"/>
      <c r="P11" s="135"/>
    </row>
    <row r="12" spans="1:16">
      <c r="A12" s="158" t="s">
        <v>2574</v>
      </c>
      <c r="B12" s="129" t="s">
        <v>2504</v>
      </c>
      <c r="C12" s="159">
        <v>53.684566532636879</v>
      </c>
      <c r="D12" s="159">
        <v>1.048438615610086</v>
      </c>
      <c r="E12" s="159">
        <v>45.266994851753033</v>
      </c>
      <c r="F12" s="118">
        <v>0</v>
      </c>
      <c r="G12" s="118">
        <v>0.69190260000000003</v>
      </c>
      <c r="H12" s="182">
        <f>178/1272</f>
        <v>0.13993710691823899</v>
      </c>
      <c r="I12" s="118">
        <f t="shared" si="0"/>
        <v>0.33918207448428689</v>
      </c>
      <c r="J12" s="118">
        <f t="shared" si="1"/>
        <v>0.7767589488779304</v>
      </c>
      <c r="K12" s="160">
        <f t="shared" si="3"/>
        <v>6.4250000000000002E-2</v>
      </c>
      <c r="L12" s="146">
        <f t="shared" si="2"/>
        <v>5.4520204154070257E-3</v>
      </c>
      <c r="M12" s="141"/>
      <c r="N12" s="141"/>
      <c r="O12" s="135"/>
      <c r="P12" s="135"/>
    </row>
    <row r="13" spans="1:16" ht="14" thickBot="1">
      <c r="A13" s="154" t="s">
        <v>2575</v>
      </c>
      <c r="B13" s="125"/>
      <c r="C13" s="123"/>
      <c r="D13" s="123"/>
      <c r="E13" s="161">
        <f>AVERAGE(E7:E12)</f>
        <v>46.954931303138345</v>
      </c>
      <c r="F13" s="123"/>
      <c r="G13" s="161">
        <f>AVERAGE(G7:G12)</f>
        <v>0.84695294999999993</v>
      </c>
      <c r="H13" s="124"/>
      <c r="I13" s="161"/>
      <c r="J13" s="161"/>
      <c r="K13" s="127"/>
      <c r="L13" s="177">
        <f>AVERAGE(L7:L12)</f>
        <v>8.6386883809934176E-3</v>
      </c>
      <c r="M13" s="88"/>
      <c r="N13" s="88"/>
      <c r="O13" s="88"/>
      <c r="P13" s="88"/>
    </row>
    <row r="14" spans="1:16">
      <c r="A14" s="140"/>
      <c r="B14" s="88"/>
      <c r="C14" s="95"/>
      <c r="D14" s="95"/>
      <c r="E14" s="120"/>
      <c r="F14" s="120"/>
      <c r="G14" s="120"/>
      <c r="H14" s="88"/>
      <c r="I14" s="120"/>
      <c r="J14" s="120"/>
      <c r="K14" s="88"/>
      <c r="L14" s="132"/>
      <c r="M14" s="88"/>
      <c r="N14" s="88"/>
      <c r="O14" s="88"/>
      <c r="P14" s="88"/>
    </row>
    <row r="15" spans="1:16">
      <c r="A15" s="140"/>
      <c r="B15" s="88"/>
      <c r="C15" s="95"/>
      <c r="D15" s="95"/>
      <c r="E15" s="120"/>
      <c r="F15" s="120"/>
      <c r="G15" s="120"/>
      <c r="H15" s="88"/>
      <c r="I15" s="120"/>
      <c r="J15" s="120"/>
      <c r="K15" s="88"/>
      <c r="L15" s="132"/>
      <c r="M15" s="88"/>
      <c r="N15" s="88"/>
      <c r="O15" s="88"/>
      <c r="P15" s="88"/>
    </row>
    <row r="16" spans="1:16" ht="14" thickBot="1">
      <c r="A16" s="103"/>
      <c r="B16" s="88"/>
      <c r="C16" s="88"/>
      <c r="D16" s="88"/>
      <c r="E16" s="120"/>
      <c r="F16" s="120"/>
      <c r="G16" s="120"/>
      <c r="H16" s="88"/>
      <c r="I16" s="120"/>
      <c r="J16" s="120"/>
      <c r="K16" s="88"/>
      <c r="L16" s="132"/>
      <c r="M16" s="88"/>
      <c r="N16" s="88"/>
      <c r="O16" s="88"/>
      <c r="P16" s="88"/>
    </row>
    <row r="17" spans="1:16" ht="14.25" customHeight="1">
      <c r="A17" s="206" t="s">
        <v>2576</v>
      </c>
      <c r="B17" s="209" t="s">
        <v>1</v>
      </c>
      <c r="C17" s="200" t="s">
        <v>2560</v>
      </c>
      <c r="D17" s="200"/>
      <c r="E17" s="200"/>
      <c r="F17" s="200"/>
      <c r="G17" s="202" t="s">
        <v>2561</v>
      </c>
      <c r="H17" s="200" t="s">
        <v>2562</v>
      </c>
      <c r="I17" s="202" t="s">
        <v>2563</v>
      </c>
      <c r="J17" s="202" t="s">
        <v>2564</v>
      </c>
      <c r="K17" s="200" t="str">
        <f>K4</f>
        <v>Historical Equity Risk Premium</v>
      </c>
      <c r="L17" s="212" t="s">
        <v>2566</v>
      </c>
      <c r="M17" s="88"/>
      <c r="N17" s="88"/>
      <c r="O17" s="88"/>
      <c r="P17" s="88"/>
    </row>
    <row r="18" spans="1:16" ht="14.25" customHeight="1">
      <c r="A18" s="207"/>
      <c r="B18" s="210"/>
      <c r="C18" s="201" t="s">
        <v>2577</v>
      </c>
      <c r="D18" s="201"/>
      <c r="E18" s="201"/>
      <c r="F18" s="201"/>
      <c r="G18" s="203"/>
      <c r="H18" s="201"/>
      <c r="I18" s="203"/>
      <c r="J18" s="203"/>
      <c r="K18" s="201"/>
      <c r="L18" s="213"/>
      <c r="M18" s="88"/>
      <c r="N18" s="88"/>
      <c r="O18" s="88"/>
      <c r="P18" s="88"/>
    </row>
    <row r="19" spans="1:16">
      <c r="A19" s="208"/>
      <c r="B19" s="211"/>
      <c r="C19" s="148" t="s">
        <v>2568</v>
      </c>
      <c r="D19" s="148" t="s">
        <v>2569</v>
      </c>
      <c r="E19" s="139" t="s">
        <v>2570</v>
      </c>
      <c r="F19" s="139" t="s">
        <v>2571</v>
      </c>
      <c r="G19" s="204"/>
      <c r="H19" s="205"/>
      <c r="I19" s="204"/>
      <c r="J19" s="173">
        <v>0.4</v>
      </c>
      <c r="K19" s="205"/>
      <c r="L19" s="149">
        <f>J19</f>
        <v>0.4</v>
      </c>
      <c r="M19" s="88"/>
      <c r="N19" s="88"/>
      <c r="O19" s="88"/>
      <c r="P19" s="88"/>
    </row>
    <row r="20" spans="1:16">
      <c r="A20" s="152" t="s">
        <v>2400</v>
      </c>
      <c r="B20" s="128" t="s">
        <v>2401</v>
      </c>
      <c r="C20" s="137">
        <v>46.885162988888972</v>
      </c>
      <c r="D20" s="137">
        <v>2.1180154043814552</v>
      </c>
      <c r="E20" s="137">
        <v>50.996821606729569</v>
      </c>
      <c r="F20" s="137">
        <v>0</v>
      </c>
      <c r="G20" s="104">
        <v>0.87370040181842501</v>
      </c>
      <c r="H20" s="98">
        <v>6.0000000000000001E-3</v>
      </c>
      <c r="I20" s="104">
        <f>IFERROR(G20/(1+(1-H20)*((C20+D20+F20)/E20)),"n/a")</f>
        <v>0.44687332809757929</v>
      </c>
      <c r="J20" s="104">
        <f>IFERROR(I20*(1+(1-H20)*((1-J$19)/(J$19))),"n/a")</f>
        <v>1.1131614602910698</v>
      </c>
      <c r="K20" s="105">
        <f t="shared" ref="K20:K34" si="4">$K$7</f>
        <v>6.4250000000000002E-2</v>
      </c>
      <c r="L20" s="133">
        <f>IFERROR(K20*(J20-G20),"n/a")</f>
        <v>1.5385373006867426E-2</v>
      </c>
      <c r="M20" s="88"/>
      <c r="N20" s="88"/>
      <c r="O20" s="88"/>
      <c r="P20" s="88"/>
    </row>
    <row r="21" spans="1:16">
      <c r="A21" s="140" t="s">
        <v>2402</v>
      </c>
      <c r="B21" s="95" t="s">
        <v>1930</v>
      </c>
      <c r="C21" s="137">
        <v>44.137938601801629</v>
      </c>
      <c r="D21" s="137">
        <v>3.6925678334463385</v>
      </c>
      <c r="E21" s="137">
        <v>51.679468047752806</v>
      </c>
      <c r="F21" s="137">
        <v>0.49002551699922514</v>
      </c>
      <c r="G21" s="163">
        <v>0.83927651394938352</v>
      </c>
      <c r="H21" s="105">
        <v>0.12</v>
      </c>
      <c r="I21" s="104">
        <f t="shared" ref="I21:I34" si="5">IFERROR(G21/(1+(1-H21)*((C21+D21+F21)/E21)),"n/a")</f>
        <v>0.46043159752266721</v>
      </c>
      <c r="J21" s="163">
        <f t="shared" ref="J21:J34" si="6">IFERROR(I21*(1+(1-H21)*((1-J$19)/(J$19))),"n/a")</f>
        <v>1.0682013062525879</v>
      </c>
      <c r="K21" s="105">
        <f t="shared" si="4"/>
        <v>6.4250000000000002E-2</v>
      </c>
      <c r="L21" s="105">
        <f t="shared" ref="L21:L34" si="7">IFERROR(K21*(J21-G21),"n/a")</f>
        <v>1.4708417905480883E-2</v>
      </c>
      <c r="M21" s="141"/>
      <c r="N21" s="141"/>
      <c r="O21" s="135"/>
      <c r="P21" s="135"/>
    </row>
    <row r="22" spans="1:16">
      <c r="A22" s="140" t="s">
        <v>2403</v>
      </c>
      <c r="B22" s="95" t="s">
        <v>946</v>
      </c>
      <c r="C22" s="137">
        <v>50.695105118023719</v>
      </c>
      <c r="D22" s="137">
        <v>1.6546185080761218</v>
      </c>
      <c r="E22" s="137">
        <v>47.650276373900155</v>
      </c>
      <c r="F22" s="137">
        <v>0</v>
      </c>
      <c r="G22" s="163">
        <v>0.84497239355831155</v>
      </c>
      <c r="H22" s="105">
        <v>0.21</v>
      </c>
      <c r="I22" s="104">
        <f t="shared" si="5"/>
        <v>0.45236181432771438</v>
      </c>
      <c r="J22" s="163">
        <f t="shared" si="6"/>
        <v>0.98841056430605578</v>
      </c>
      <c r="K22" s="105">
        <f t="shared" si="4"/>
        <v>6.4250000000000002E-2</v>
      </c>
      <c r="L22" s="105">
        <f t="shared" si="7"/>
        <v>9.2159024705425665E-3</v>
      </c>
      <c r="M22" s="141"/>
      <c r="N22" s="141"/>
      <c r="O22" s="135"/>
      <c r="P22" s="135"/>
    </row>
    <row r="23" spans="1:16">
      <c r="A23" s="140" t="s">
        <v>2415</v>
      </c>
      <c r="B23" s="95" t="s">
        <v>763</v>
      </c>
      <c r="C23" s="137">
        <v>45.855890300126745</v>
      </c>
      <c r="D23" s="137">
        <v>2.708600944757023</v>
      </c>
      <c r="E23" s="137">
        <v>51.435508755116231</v>
      </c>
      <c r="F23" s="137">
        <v>0</v>
      </c>
      <c r="G23" s="163">
        <v>0.82378961834926434</v>
      </c>
      <c r="H23" s="105">
        <v>9.1999999999999998E-2</v>
      </c>
      <c r="I23" s="104">
        <f t="shared" si="5"/>
        <v>0.4435373330010588</v>
      </c>
      <c r="J23" s="163">
        <f t="shared" si="6"/>
        <v>1.0476351805485009</v>
      </c>
      <c r="K23" s="105">
        <f t="shared" si="4"/>
        <v>6.4250000000000002E-2</v>
      </c>
      <c r="L23" s="105">
        <f t="shared" si="7"/>
        <v>1.438207737130095E-2</v>
      </c>
      <c r="M23" s="141"/>
      <c r="N23" s="141"/>
      <c r="O23" s="135"/>
      <c r="P23" s="135"/>
    </row>
    <row r="24" spans="1:16">
      <c r="A24" s="140" t="s">
        <v>2420</v>
      </c>
      <c r="B24" s="95" t="s">
        <v>1115</v>
      </c>
      <c r="C24" s="137">
        <v>47.990985455774066</v>
      </c>
      <c r="D24" s="137">
        <v>3.1016018350390078E-3</v>
      </c>
      <c r="E24" s="137">
        <v>51.911648572894606</v>
      </c>
      <c r="F24" s="137">
        <v>9.4264369496283557E-2</v>
      </c>
      <c r="G24" s="163">
        <v>0.97465009387607859</v>
      </c>
      <c r="H24" s="105">
        <v>0.161</v>
      </c>
      <c r="I24" s="104">
        <f t="shared" si="5"/>
        <v>0.54841657436860292</v>
      </c>
      <c r="J24" s="163">
        <f t="shared" si="6"/>
        <v>1.2385988332114894</v>
      </c>
      <c r="K24" s="105">
        <f t="shared" si="4"/>
        <v>6.4250000000000002E-2</v>
      </c>
      <c r="L24" s="105">
        <f t="shared" si="7"/>
        <v>1.6958706502300146E-2</v>
      </c>
      <c r="M24" s="141"/>
      <c r="N24" s="141"/>
      <c r="O24" s="135"/>
      <c r="P24" s="135"/>
    </row>
    <row r="25" spans="1:16">
      <c r="A25" s="140" t="s">
        <v>1328</v>
      </c>
      <c r="B25" s="95" t="s">
        <v>764</v>
      </c>
      <c r="C25" s="137">
        <v>41.03249822202735</v>
      </c>
      <c r="D25" s="137">
        <v>3.9376742073792692</v>
      </c>
      <c r="E25" s="137">
        <v>54.436051094018232</v>
      </c>
      <c r="F25" s="137">
        <v>0.59377647657514498</v>
      </c>
      <c r="G25" s="163">
        <v>0.90169525929291461</v>
      </c>
      <c r="H25" s="105">
        <v>0.19800000000000001</v>
      </c>
      <c r="I25" s="104">
        <f t="shared" si="5"/>
        <v>0.53952105767404257</v>
      </c>
      <c r="J25" s="163">
        <f t="shared" si="6"/>
        <v>1.1885648900559156</v>
      </c>
      <c r="K25" s="105">
        <f t="shared" si="4"/>
        <v>6.4250000000000002E-2</v>
      </c>
      <c r="L25" s="105">
        <f t="shared" si="7"/>
        <v>1.8431373776522812E-2</v>
      </c>
      <c r="M25" s="141"/>
      <c r="N25" s="141"/>
      <c r="O25" s="135"/>
      <c r="P25" s="135"/>
    </row>
    <row r="26" spans="1:16">
      <c r="A26" s="140" t="s">
        <v>2421</v>
      </c>
      <c r="B26" s="95" t="s">
        <v>1366</v>
      </c>
      <c r="C26" s="137">
        <v>45.657238909721279</v>
      </c>
      <c r="D26" s="137">
        <v>2.292903089536579</v>
      </c>
      <c r="E26" s="137">
        <v>52.049858000742141</v>
      </c>
      <c r="F26" s="137">
        <v>0</v>
      </c>
      <c r="G26" s="163">
        <v>0.98249693606702992</v>
      </c>
      <c r="H26" s="105">
        <v>0.13800000000000001</v>
      </c>
      <c r="I26" s="104">
        <f t="shared" si="5"/>
        <v>0.54762527978529307</v>
      </c>
      <c r="J26" s="163">
        <f t="shared" si="6"/>
        <v>1.2557047665476768</v>
      </c>
      <c r="K26" s="105">
        <f t="shared" si="4"/>
        <v>6.4250000000000002E-2</v>
      </c>
      <c r="L26" s="105">
        <f t="shared" si="7"/>
        <v>1.7553603108381565E-2</v>
      </c>
      <c r="M26" s="141"/>
      <c r="N26" s="141"/>
      <c r="O26" s="135"/>
      <c r="P26" s="135"/>
    </row>
    <row r="27" spans="1:16">
      <c r="A27" s="140" t="s">
        <v>2526</v>
      </c>
      <c r="B27" s="95" t="s">
        <v>2527</v>
      </c>
      <c r="C27" s="137">
        <v>37.11398538865344</v>
      </c>
      <c r="D27" s="137">
        <v>6.9546894248985778</v>
      </c>
      <c r="E27" s="137">
        <v>55.931325186447992</v>
      </c>
      <c r="F27" s="137">
        <v>0</v>
      </c>
      <c r="G27" s="163">
        <v>0.8927250421094256</v>
      </c>
      <c r="H27" s="105">
        <v>0.09</v>
      </c>
      <c r="I27" s="104">
        <f t="shared" si="5"/>
        <v>0.51993448780371287</v>
      </c>
      <c r="J27" s="163">
        <f t="shared" si="6"/>
        <v>1.2296450636557807</v>
      </c>
      <c r="K27" s="105">
        <f t="shared" si="4"/>
        <v>6.4250000000000002E-2</v>
      </c>
      <c r="L27" s="105">
        <f t="shared" si="7"/>
        <v>2.1647111384353317E-2</v>
      </c>
      <c r="M27" s="141"/>
      <c r="N27" s="141"/>
      <c r="O27" s="135"/>
      <c r="P27" s="135"/>
    </row>
    <row r="28" spans="1:16">
      <c r="A28" s="140" t="s">
        <v>2432</v>
      </c>
      <c r="B28" s="95" t="s">
        <v>1138</v>
      </c>
      <c r="C28" s="137">
        <v>39.63717632338421</v>
      </c>
      <c r="D28" s="137">
        <v>4.092051939106395</v>
      </c>
      <c r="E28" s="137">
        <v>56.270771737509392</v>
      </c>
      <c r="F28" s="137">
        <v>0</v>
      </c>
      <c r="G28" s="163">
        <v>0.91219232010489681</v>
      </c>
      <c r="H28" s="105">
        <v>0.125</v>
      </c>
      <c r="I28" s="104">
        <f t="shared" si="5"/>
        <v>0.54297765026569156</v>
      </c>
      <c r="J28" s="163">
        <f t="shared" si="6"/>
        <v>1.2556358162394117</v>
      </c>
      <c r="K28" s="105">
        <f t="shared" si="4"/>
        <v>6.4250000000000002E-2</v>
      </c>
      <c r="L28" s="105">
        <f t="shared" si="7"/>
        <v>2.206624462664258E-2</v>
      </c>
      <c r="M28" s="141"/>
      <c r="N28" s="141"/>
      <c r="O28" s="135"/>
      <c r="P28" s="135"/>
    </row>
    <row r="29" spans="1:16">
      <c r="A29" s="140" t="s">
        <v>2435</v>
      </c>
      <c r="B29" s="95" t="s">
        <v>766</v>
      </c>
      <c r="C29" s="137">
        <v>46.068948359780592</v>
      </c>
      <c r="D29" s="137">
        <v>0.85899541095311693</v>
      </c>
      <c r="E29" s="137">
        <v>53.072056229266295</v>
      </c>
      <c r="F29" s="137">
        <v>0</v>
      </c>
      <c r="G29" s="163">
        <v>1.0177614823084606</v>
      </c>
      <c r="H29" s="105">
        <v>0.12</v>
      </c>
      <c r="I29" s="104">
        <f t="shared" si="5"/>
        <v>0.57237966717457611</v>
      </c>
      <c r="J29" s="163">
        <f t="shared" si="6"/>
        <v>1.3279208278450165</v>
      </c>
      <c r="K29" s="105">
        <f t="shared" si="4"/>
        <v>6.4250000000000002E-2</v>
      </c>
      <c r="L29" s="105">
        <f t="shared" si="7"/>
        <v>1.9927737950723716E-2</v>
      </c>
      <c r="M29" s="141"/>
      <c r="N29" s="141"/>
      <c r="O29" s="135"/>
      <c r="P29" s="135"/>
    </row>
    <row r="30" spans="1:16">
      <c r="A30" s="140" t="s">
        <v>2442</v>
      </c>
      <c r="B30" s="95" t="s">
        <v>767</v>
      </c>
      <c r="C30" s="137">
        <v>48.669564665105824</v>
      </c>
      <c r="D30" s="137">
        <v>3.517963765468378</v>
      </c>
      <c r="E30" s="137">
        <v>47.812471569425796</v>
      </c>
      <c r="F30" s="137">
        <v>0</v>
      </c>
      <c r="G30" s="163">
        <v>0.93579719106169845</v>
      </c>
      <c r="H30" s="105">
        <v>0.129</v>
      </c>
      <c r="I30" s="104">
        <f t="shared" si="5"/>
        <v>0.47972368121953884</v>
      </c>
      <c r="J30" s="163">
        <f t="shared" si="6"/>
        <v>1.1064826707328663</v>
      </c>
      <c r="K30" s="105">
        <f t="shared" si="4"/>
        <v>6.4250000000000002E-2</v>
      </c>
      <c r="L30" s="105">
        <f t="shared" si="7"/>
        <v>1.0966542068872535E-2</v>
      </c>
      <c r="M30" s="141"/>
      <c r="N30" s="141"/>
      <c r="O30" s="135"/>
      <c r="P30" s="135"/>
    </row>
    <row r="31" spans="1:16">
      <c r="A31" s="140" t="s">
        <v>2447</v>
      </c>
      <c r="B31" s="95" t="s">
        <v>31</v>
      </c>
      <c r="C31" s="137">
        <v>41.892933776472269</v>
      </c>
      <c r="D31" s="137">
        <v>3.7193170735697159</v>
      </c>
      <c r="E31" s="137">
        <v>54.387749149958019</v>
      </c>
      <c r="F31" s="137">
        <v>0</v>
      </c>
      <c r="G31" s="163">
        <v>1.0663522553431179</v>
      </c>
      <c r="H31" s="105">
        <v>0.19900000000000001</v>
      </c>
      <c r="I31" s="104">
        <f t="shared" si="5"/>
        <v>0.63786275841933004</v>
      </c>
      <c r="J31" s="163">
        <f t="shared" si="6"/>
        <v>1.404254862660155</v>
      </c>
      <c r="K31" s="105">
        <f t="shared" si="4"/>
        <v>6.4250000000000002E-2</v>
      </c>
      <c r="L31" s="105">
        <f t="shared" si="7"/>
        <v>2.1710242520119629E-2</v>
      </c>
      <c r="M31" s="141"/>
      <c r="N31" s="141"/>
      <c r="O31" s="135"/>
      <c r="P31" s="135"/>
    </row>
    <row r="32" spans="1:16">
      <c r="A32" s="140" t="s">
        <v>2445</v>
      </c>
      <c r="B32" s="95" t="s">
        <v>2446</v>
      </c>
      <c r="C32" s="137">
        <v>53.560996989944556</v>
      </c>
      <c r="D32" s="137">
        <v>1.9531805171947958</v>
      </c>
      <c r="E32" s="137">
        <v>44.485822492860642</v>
      </c>
      <c r="F32" s="137">
        <v>0</v>
      </c>
      <c r="G32" s="163">
        <v>0.87885600974494305</v>
      </c>
      <c r="H32" s="105">
        <v>0.16800000000000001</v>
      </c>
      <c r="I32" s="104">
        <f t="shared" si="5"/>
        <v>0.4311797988385348</v>
      </c>
      <c r="J32" s="163">
        <f t="shared" si="6"/>
        <v>0.96929218778902615</v>
      </c>
      <c r="K32" s="105">
        <f t="shared" si="4"/>
        <v>6.4250000000000002E-2</v>
      </c>
      <c r="L32" s="105">
        <f t="shared" si="7"/>
        <v>5.8105244393323397E-3</v>
      </c>
      <c r="M32" s="141"/>
      <c r="N32" s="141"/>
      <c r="O32" s="135"/>
      <c r="P32" s="135"/>
    </row>
    <row r="33" spans="1:16">
      <c r="A33" s="140" t="s">
        <v>2450</v>
      </c>
      <c r="B33" s="95" t="s">
        <v>768</v>
      </c>
      <c r="C33" s="137">
        <v>44.253102338740064</v>
      </c>
      <c r="D33" s="137">
        <v>2.0601591204408196</v>
      </c>
      <c r="E33" s="137">
        <v>53.686738540819114</v>
      </c>
      <c r="F33" s="137">
        <v>0</v>
      </c>
      <c r="G33" s="163">
        <v>0.89737403966762719</v>
      </c>
      <c r="H33" s="105">
        <v>0.114</v>
      </c>
      <c r="I33" s="104">
        <f t="shared" si="5"/>
        <v>0.50862477680027351</v>
      </c>
      <c r="J33" s="163">
        <f t="shared" si="6"/>
        <v>1.1845871051678369</v>
      </c>
      <c r="K33" s="105">
        <f t="shared" si="4"/>
        <v>6.4250000000000002E-2</v>
      </c>
      <c r="L33" s="105">
        <f t="shared" si="7"/>
        <v>1.8453439458388479E-2</v>
      </c>
      <c r="M33" s="141"/>
      <c r="N33" s="141"/>
      <c r="O33" s="135"/>
      <c r="P33" s="135"/>
    </row>
    <row r="34" spans="1:16">
      <c r="A34" s="140" t="s">
        <v>2458</v>
      </c>
      <c r="B34" s="95" t="s">
        <v>2053</v>
      </c>
      <c r="C34" s="137">
        <v>44.796038316387978</v>
      </c>
      <c r="D34" s="137">
        <v>1.6055483333994263</v>
      </c>
      <c r="E34" s="137">
        <v>53.598413350212603</v>
      </c>
      <c r="F34" s="137">
        <v>0</v>
      </c>
      <c r="G34" s="164">
        <v>0.82948435931460662</v>
      </c>
      <c r="H34" s="119" t="s">
        <v>2440</v>
      </c>
      <c r="I34" s="118" t="str">
        <f t="shared" si="5"/>
        <v>n/a</v>
      </c>
      <c r="J34" s="164" t="str">
        <f t="shared" si="6"/>
        <v>n/a</v>
      </c>
      <c r="K34" s="119">
        <f t="shared" si="4"/>
        <v>6.4250000000000002E-2</v>
      </c>
      <c r="L34" s="119" t="str">
        <f t="shared" si="7"/>
        <v>n/a</v>
      </c>
      <c r="M34" s="141"/>
      <c r="N34" s="141"/>
      <c r="O34" s="135"/>
      <c r="P34" s="135"/>
    </row>
    <row r="35" spans="1:16" ht="14" thickBot="1">
      <c r="A35" s="151" t="s">
        <v>2575</v>
      </c>
      <c r="B35" s="106"/>
      <c r="C35" s="107"/>
      <c r="D35" s="107"/>
      <c r="E35" s="107">
        <f>AVERAGE(E20:E34)</f>
        <v>51.960332047176898</v>
      </c>
      <c r="F35" s="107"/>
      <c r="G35" s="107">
        <f>AVERAGE(G20:G34)</f>
        <v>0.9114082611044122</v>
      </c>
      <c r="H35" s="124"/>
      <c r="I35" s="161"/>
      <c r="J35" s="161"/>
      <c r="K35" s="127"/>
      <c r="L35" s="143">
        <f>AVERAGE(L20:L34)</f>
        <v>1.6229806899273495E-2</v>
      </c>
      <c r="M35" s="88"/>
      <c r="N35" s="88"/>
      <c r="O35" s="88"/>
      <c r="P35" s="88"/>
    </row>
    <row r="36" spans="1:16">
      <c r="A36" s="103"/>
      <c r="B36" s="95"/>
      <c r="C36" s="104"/>
      <c r="D36" s="104"/>
      <c r="E36" s="104"/>
      <c r="F36" s="104"/>
      <c r="G36" s="120"/>
      <c r="H36" s="88"/>
      <c r="I36" s="120"/>
      <c r="J36" s="120"/>
      <c r="K36" s="130"/>
      <c r="L36" s="132"/>
      <c r="M36" s="88"/>
      <c r="N36" s="88"/>
      <c r="O36" s="88"/>
      <c r="P36" s="88"/>
    </row>
    <row r="37" spans="1:16">
      <c r="A37" s="103"/>
      <c r="B37" s="95"/>
      <c r="C37" s="104"/>
      <c r="D37" s="104"/>
      <c r="E37" s="104"/>
      <c r="F37" s="104"/>
      <c r="G37" s="120"/>
      <c r="H37" s="88"/>
      <c r="I37" s="120"/>
      <c r="J37" s="120"/>
      <c r="K37" s="130"/>
      <c r="L37" s="132"/>
      <c r="M37" s="88"/>
      <c r="N37" s="88"/>
      <c r="O37" s="88"/>
      <c r="P37" s="88"/>
    </row>
    <row r="38" spans="1:16" ht="14" thickBot="1">
      <c r="A38" s="103"/>
      <c r="B38" s="88"/>
      <c r="C38" s="88"/>
      <c r="D38" s="88"/>
      <c r="E38" s="120"/>
      <c r="F38" s="120"/>
      <c r="G38" s="120"/>
      <c r="H38" s="88"/>
      <c r="I38" s="120"/>
      <c r="J38" s="120"/>
      <c r="K38" s="88"/>
      <c r="L38" s="132"/>
      <c r="M38" s="88"/>
      <c r="N38" s="88"/>
      <c r="O38" s="88"/>
      <c r="P38" s="88"/>
    </row>
    <row r="39" spans="1:16" ht="14.25" customHeight="1">
      <c r="A39" s="206" t="s">
        <v>2578</v>
      </c>
      <c r="B39" s="209" t="s">
        <v>1</v>
      </c>
      <c r="C39" s="200" t="s">
        <v>2560</v>
      </c>
      <c r="D39" s="200"/>
      <c r="E39" s="200"/>
      <c r="F39" s="200"/>
      <c r="G39" s="202" t="s">
        <v>2561</v>
      </c>
      <c r="H39" s="200" t="s">
        <v>2562</v>
      </c>
      <c r="I39" s="202" t="s">
        <v>2563</v>
      </c>
      <c r="J39" s="202" t="s">
        <v>2564</v>
      </c>
      <c r="K39" s="200" t="str">
        <f>K17</f>
        <v>Historical Equity Risk Premium</v>
      </c>
      <c r="L39" s="212" t="s">
        <v>2566</v>
      </c>
      <c r="M39" s="88"/>
      <c r="N39" s="88"/>
      <c r="O39" s="88"/>
      <c r="P39" s="88"/>
    </row>
    <row r="40" spans="1:16" ht="14.25" customHeight="1">
      <c r="A40" s="207"/>
      <c r="B40" s="210"/>
      <c r="C40" s="201" t="s">
        <v>2567</v>
      </c>
      <c r="D40" s="201"/>
      <c r="E40" s="201"/>
      <c r="F40" s="201"/>
      <c r="G40" s="203"/>
      <c r="H40" s="201"/>
      <c r="I40" s="203"/>
      <c r="J40" s="203"/>
      <c r="K40" s="201"/>
      <c r="L40" s="213"/>
      <c r="M40" s="88"/>
      <c r="N40" s="88"/>
      <c r="O40" s="88"/>
      <c r="P40" s="88"/>
    </row>
    <row r="41" spans="1:16">
      <c r="A41" s="208"/>
      <c r="B41" s="211"/>
      <c r="C41" s="148" t="s">
        <v>2568</v>
      </c>
      <c r="D41" s="148" t="s">
        <v>2569</v>
      </c>
      <c r="E41" s="139" t="s">
        <v>2570</v>
      </c>
      <c r="F41" s="139" t="s">
        <v>2571</v>
      </c>
      <c r="G41" s="204"/>
      <c r="H41" s="205"/>
      <c r="I41" s="204"/>
      <c r="J41" s="173">
        <v>0.38</v>
      </c>
      <c r="K41" s="205"/>
      <c r="L41" s="149">
        <f>J41</f>
        <v>0.38</v>
      </c>
      <c r="M41" s="88"/>
      <c r="N41" s="88"/>
      <c r="O41" s="88"/>
      <c r="P41" s="88"/>
    </row>
    <row r="42" spans="1:16">
      <c r="A42" s="152" t="s">
        <v>2579</v>
      </c>
      <c r="B42" s="128" t="s">
        <v>2380</v>
      </c>
      <c r="C42" s="137">
        <v>39.79750803770947</v>
      </c>
      <c r="D42" s="137">
        <v>0</v>
      </c>
      <c r="E42" s="137">
        <v>60.202491962290537</v>
      </c>
      <c r="F42" s="104">
        <v>0</v>
      </c>
      <c r="G42" s="163">
        <v>0.82918805364407167</v>
      </c>
      <c r="H42" s="105">
        <v>0.114</v>
      </c>
      <c r="I42" s="104">
        <f t="shared" ref="I42:I45" si="8">IFERROR(G42/(1+(1-H42)*((C42+D42+F42)/E42)),"n/a")</f>
        <v>0.52291613678608884</v>
      </c>
      <c r="J42" s="163">
        <f>IFERROR(I42*(1+(1-H42)*((1-J$41)/(J$41))),"n/a")</f>
        <v>1.2788326953632845</v>
      </c>
      <c r="K42" s="105">
        <f t="shared" ref="K42:K45" si="9">$K$7</f>
        <v>6.4250000000000002E-2</v>
      </c>
      <c r="L42" s="105">
        <f t="shared" ref="L42:L45" si="10">IFERROR(K42*(J42-G42),"n/a")</f>
        <v>2.8889668230459423E-2</v>
      </c>
      <c r="M42" s="88"/>
      <c r="N42" s="88"/>
      <c r="O42" s="88"/>
      <c r="P42" s="88"/>
    </row>
    <row r="43" spans="1:16">
      <c r="A43" s="152" t="s">
        <v>2387</v>
      </c>
      <c r="B43" s="128" t="s">
        <v>2388</v>
      </c>
      <c r="C43" s="137">
        <v>52.398287974465219</v>
      </c>
      <c r="D43" s="137">
        <v>0.63958919925185598</v>
      </c>
      <c r="E43" s="137">
        <v>46.962122826282929</v>
      </c>
      <c r="F43" s="104">
        <v>0</v>
      </c>
      <c r="G43" s="163">
        <v>0.74464980030632322</v>
      </c>
      <c r="H43" s="105">
        <v>0.25700000000000001</v>
      </c>
      <c r="I43" s="163">
        <f t="shared" si="8"/>
        <v>0.40489328183167222</v>
      </c>
      <c r="J43" s="163">
        <f t="shared" ref="J43:J45" si="11">IFERROR(I43*(1+(1-H43)*((1-J$41)/(J$41))),"n/a")</f>
        <v>0.89573049027529872</v>
      </c>
      <c r="K43" s="105">
        <f t="shared" si="9"/>
        <v>6.4250000000000002E-2</v>
      </c>
      <c r="L43" s="105">
        <f t="shared" si="10"/>
        <v>9.7069343305066762E-3</v>
      </c>
      <c r="M43" s="88"/>
      <c r="N43" s="88"/>
      <c r="O43" s="88"/>
      <c r="P43" s="88"/>
    </row>
    <row r="44" spans="1:16">
      <c r="A44" s="140" t="s">
        <v>2538</v>
      </c>
      <c r="B44" s="95" t="s">
        <v>2539</v>
      </c>
      <c r="C44" s="137">
        <v>39.54935552780416</v>
      </c>
      <c r="D44" s="137">
        <v>4.0505407783519159E-4</v>
      </c>
      <c r="E44" s="137">
        <v>60.450239418118002</v>
      </c>
      <c r="F44" s="104">
        <v>0</v>
      </c>
      <c r="G44" s="163">
        <v>0.83247976724837924</v>
      </c>
      <c r="H44" s="105">
        <v>0.14899999999999999</v>
      </c>
      <c r="I44" s="163">
        <f t="shared" si="8"/>
        <v>0.53474826981260637</v>
      </c>
      <c r="J44" s="163">
        <f t="shared" si="11"/>
        <v>1.2772321701245204</v>
      </c>
      <c r="K44" s="105">
        <f t="shared" si="9"/>
        <v>6.4250000000000002E-2</v>
      </c>
      <c r="L44" s="105">
        <f t="shared" si="10"/>
        <v>2.857534188479207E-2</v>
      </c>
      <c r="M44" s="88"/>
      <c r="N44" s="88"/>
      <c r="O44" s="88"/>
      <c r="P44" s="88"/>
    </row>
    <row r="45" spans="1:16">
      <c r="A45" s="153" t="s">
        <v>2540</v>
      </c>
      <c r="B45" s="131" t="s">
        <v>2541</v>
      </c>
      <c r="C45" s="138">
        <v>42.863774092268784</v>
      </c>
      <c r="D45" s="138">
        <v>10.86671947546769</v>
      </c>
      <c r="E45" s="138">
        <v>46.269506432263526</v>
      </c>
      <c r="F45" s="118">
        <v>0</v>
      </c>
      <c r="G45" s="164">
        <v>0.86346076191264043</v>
      </c>
      <c r="H45" s="119">
        <v>0.151</v>
      </c>
      <c r="I45" s="164">
        <f t="shared" si="8"/>
        <v>0.43479529949811913</v>
      </c>
      <c r="J45" s="164">
        <f t="shared" si="11"/>
        <v>1.03707832515554</v>
      </c>
      <c r="K45" s="119">
        <f t="shared" si="9"/>
        <v>6.4250000000000002E-2</v>
      </c>
      <c r="L45" s="119">
        <f t="shared" si="10"/>
        <v>1.1154928438356297E-2</v>
      </c>
      <c r="M45" s="88"/>
      <c r="N45" s="88"/>
      <c r="O45" s="88"/>
      <c r="P45" s="88"/>
    </row>
    <row r="46" spans="1:16" ht="14" thickBot="1">
      <c r="A46" s="154" t="s">
        <v>2575</v>
      </c>
      <c r="B46" s="125"/>
      <c r="C46" s="123"/>
      <c r="D46" s="123"/>
      <c r="E46" s="123">
        <f>AVERAGE(E42:E45)</f>
        <v>53.47109015973875</v>
      </c>
      <c r="F46" s="123"/>
      <c r="G46" s="123">
        <f>AVERAGE(G42:G45)</f>
        <v>0.81744459577785367</v>
      </c>
      <c r="H46" s="124"/>
      <c r="I46" s="161"/>
      <c r="J46" s="161"/>
      <c r="K46" s="127"/>
      <c r="L46" s="178">
        <f>AVERAGE(L42:L45)</f>
        <v>1.9581718221028617E-2</v>
      </c>
      <c r="M46" s="88"/>
      <c r="N46" s="88"/>
      <c r="O46" s="88"/>
      <c r="P46" s="88"/>
    </row>
    <row r="47" spans="1:16">
      <c r="A47" s="103"/>
      <c r="B47" s="95"/>
      <c r="C47" s="104"/>
      <c r="D47" s="104"/>
      <c r="E47" s="104"/>
      <c r="F47" s="104"/>
      <c r="G47" s="120"/>
      <c r="H47" s="88"/>
      <c r="I47" s="120"/>
      <c r="J47" s="120"/>
      <c r="K47" s="130"/>
      <c r="L47" s="132"/>
      <c r="M47" s="88"/>
      <c r="N47" s="88"/>
      <c r="O47" s="88"/>
      <c r="P47" s="88"/>
    </row>
    <row r="48" spans="1:16">
      <c r="A48" s="140"/>
      <c r="B48" s="95"/>
      <c r="C48" s="95"/>
      <c r="D48" s="95"/>
      <c r="E48" s="120"/>
      <c r="F48" s="120"/>
      <c r="G48" s="120"/>
      <c r="H48" s="105"/>
      <c r="I48" s="120"/>
      <c r="J48" s="120"/>
      <c r="K48" s="88"/>
      <c r="L48" s="132"/>
      <c r="M48" s="88"/>
      <c r="N48" s="88"/>
      <c r="O48" s="88"/>
      <c r="P48" s="88"/>
    </row>
    <row r="49" spans="1:16" ht="14" thickBot="1">
      <c r="A49" s="140"/>
      <c r="B49" s="95"/>
      <c r="C49" s="95"/>
      <c r="D49" s="95"/>
      <c r="E49" s="120"/>
      <c r="F49" s="120"/>
      <c r="G49" s="120"/>
      <c r="H49" s="105"/>
      <c r="I49" s="120"/>
      <c r="J49" s="120"/>
      <c r="K49" s="88"/>
      <c r="L49" s="132"/>
      <c r="M49" s="88"/>
      <c r="N49" s="88"/>
      <c r="O49" s="88"/>
      <c r="P49" s="88"/>
    </row>
    <row r="50" spans="1:16" ht="14.25" customHeight="1">
      <c r="A50" s="206" t="s">
        <v>2580</v>
      </c>
      <c r="B50" s="209" t="s">
        <v>1</v>
      </c>
      <c r="C50" s="200" t="s">
        <v>2560</v>
      </c>
      <c r="D50" s="200"/>
      <c r="E50" s="200"/>
      <c r="F50" s="200"/>
      <c r="G50" s="202" t="s">
        <v>2561</v>
      </c>
      <c r="H50" s="200" t="s">
        <v>2562</v>
      </c>
      <c r="I50" s="202" t="s">
        <v>2563</v>
      </c>
      <c r="J50" s="202" t="s">
        <v>2564</v>
      </c>
      <c r="K50" s="200" t="str">
        <f>K39</f>
        <v>Historical Equity Risk Premium</v>
      </c>
      <c r="L50" s="212" t="s">
        <v>2566</v>
      </c>
      <c r="M50" s="88"/>
      <c r="N50" s="88"/>
      <c r="O50" s="88"/>
      <c r="P50" s="88"/>
    </row>
    <row r="51" spans="1:16" ht="14.25" customHeight="1">
      <c r="A51" s="207"/>
      <c r="B51" s="210"/>
      <c r="C51" s="201" t="s">
        <v>2567</v>
      </c>
      <c r="D51" s="201"/>
      <c r="E51" s="201"/>
      <c r="F51" s="201"/>
      <c r="G51" s="203"/>
      <c r="H51" s="201"/>
      <c r="I51" s="203"/>
      <c r="J51" s="203"/>
      <c r="K51" s="201"/>
      <c r="L51" s="213"/>
      <c r="M51" s="88"/>
      <c r="N51" s="88"/>
      <c r="O51" s="88"/>
      <c r="P51" s="88"/>
    </row>
    <row r="52" spans="1:16">
      <c r="A52" s="208"/>
      <c r="B52" s="211"/>
      <c r="C52" s="148" t="s">
        <v>2568</v>
      </c>
      <c r="D52" s="148" t="s">
        <v>2569</v>
      </c>
      <c r="E52" s="139" t="s">
        <v>2570</v>
      </c>
      <c r="F52" s="139" t="s">
        <v>2571</v>
      </c>
      <c r="G52" s="204"/>
      <c r="H52" s="205"/>
      <c r="I52" s="204"/>
      <c r="J52" s="172">
        <v>0.4</v>
      </c>
      <c r="K52" s="205"/>
      <c r="L52" s="149">
        <f>J52</f>
        <v>0.4</v>
      </c>
      <c r="M52" s="88"/>
      <c r="N52" s="88"/>
      <c r="O52" s="88"/>
      <c r="P52" s="88"/>
    </row>
    <row r="53" spans="1:16">
      <c r="A53" s="103" t="s">
        <v>2459</v>
      </c>
      <c r="B53" s="88" t="s">
        <v>610</v>
      </c>
      <c r="C53" s="120">
        <f>_xlfn.XLOOKUP($B53, $B$4:$B$45, C$4:C$45)</f>
        <v>62.448371719759479</v>
      </c>
      <c r="D53" s="120">
        <f>_xlfn.XLOOKUP($B53, $B$4:$B$45, D$4:D$45)</f>
        <v>0</v>
      </c>
      <c r="E53" s="120">
        <f t="shared" ref="E53:I68" si="12">_xlfn.XLOOKUP($B53, $B$4:$B$45, E$4:E$45)</f>
        <v>35.916692549130055</v>
      </c>
      <c r="F53" s="120">
        <f t="shared" si="12"/>
        <v>1.6349357311104638</v>
      </c>
      <c r="G53" s="163">
        <f t="shared" si="12"/>
        <v>0.85877409999999998</v>
      </c>
      <c r="H53" s="105">
        <f>_xlfn.XLOOKUP($B53, $B$4:$B$45, H$4:H$45)</f>
        <v>0.21639344262295082</v>
      </c>
      <c r="I53" s="163">
        <f t="shared" si="12"/>
        <v>0.35810200074326537</v>
      </c>
      <c r="J53" s="104">
        <f>IFERROR(I53*(1+(1-H53)*((1-J$52)/(J$52))),"n/a")</f>
        <v>0.77901861473166079</v>
      </c>
      <c r="K53" s="136">
        <f t="shared" ref="K53:K71" si="13">_xlfn.XLOOKUP($B53, $B$4:$B$45, K$4:K$45)</f>
        <v>6.4250000000000002E-2</v>
      </c>
      <c r="L53" s="105">
        <f t="shared" ref="L53:L71" si="14">IFERROR(K53*(J53-G53),"n/a")</f>
        <v>-5.1242899284907936E-3</v>
      </c>
      <c r="M53" s="141"/>
      <c r="N53" s="141"/>
      <c r="O53" s="135"/>
      <c r="P53" s="135"/>
    </row>
    <row r="54" spans="1:16">
      <c r="A54" s="103" t="s">
        <v>2460</v>
      </c>
      <c r="B54" s="88" t="s">
        <v>445</v>
      </c>
      <c r="C54" s="120">
        <f t="shared" ref="C54:I71" si="15">_xlfn.XLOOKUP($B54, $B$4:$B$45, C$4:C$45)</f>
        <v>48.728250475051112</v>
      </c>
      <c r="D54" s="120">
        <f t="shared" si="15"/>
        <v>4.8737641917640868</v>
      </c>
      <c r="E54" s="120">
        <f t="shared" si="15"/>
        <v>46.397985333184806</v>
      </c>
      <c r="F54" s="120">
        <f t="shared" si="15"/>
        <v>0</v>
      </c>
      <c r="G54" s="163">
        <f t="shared" si="15"/>
        <v>0.71881010000000001</v>
      </c>
      <c r="H54" s="105">
        <f t="shared" si="15"/>
        <v>0.11</v>
      </c>
      <c r="I54" s="165">
        <f t="shared" si="12"/>
        <v>0.3544102165601925</v>
      </c>
      <c r="J54" s="165">
        <f t="shared" ref="J54:J71" si="16">IFERROR(I54*(1+(1-H54)*((1-J$52)/(J$52))),"n/a")</f>
        <v>0.82754785566804945</v>
      </c>
      <c r="K54" s="136">
        <f t="shared" si="13"/>
        <v>6.4250000000000002E-2</v>
      </c>
      <c r="L54" s="136">
        <f t="shared" si="14"/>
        <v>6.9864008016721768E-3</v>
      </c>
      <c r="M54" s="141"/>
      <c r="N54" s="141"/>
      <c r="O54" s="135"/>
      <c r="P54" s="135"/>
    </row>
    <row r="55" spans="1:16">
      <c r="A55" s="103" t="s">
        <v>2573</v>
      </c>
      <c r="B55" s="88" t="s">
        <v>637</v>
      </c>
      <c r="C55" s="120">
        <f t="shared" si="15"/>
        <v>47.355037157675632</v>
      </c>
      <c r="D55" s="120">
        <f t="shared" si="15"/>
        <v>0.31757233184007161</v>
      </c>
      <c r="E55" s="120">
        <f t="shared" si="15"/>
        <v>52.327390510484292</v>
      </c>
      <c r="F55" s="120">
        <f t="shared" si="15"/>
        <v>0</v>
      </c>
      <c r="G55" s="163">
        <f t="shared" si="15"/>
        <v>0.72239589999999998</v>
      </c>
      <c r="H55" s="105">
        <f t="shared" si="15"/>
        <v>0.14599999999999999</v>
      </c>
      <c r="I55" s="165">
        <f t="shared" si="12"/>
        <v>0.40628948861517949</v>
      </c>
      <c r="J55" s="165">
        <f t="shared" si="16"/>
        <v>0.92674632353122433</v>
      </c>
      <c r="K55" s="136">
        <f t="shared" si="13"/>
        <v>6.4250000000000002E-2</v>
      </c>
      <c r="L55" s="136">
        <f t="shared" si="14"/>
        <v>1.3129514711881165E-2</v>
      </c>
      <c r="M55" s="141"/>
      <c r="N55" s="141"/>
      <c r="O55" s="135"/>
      <c r="P55" s="135"/>
    </row>
    <row r="56" spans="1:16">
      <c r="A56" s="103" t="s">
        <v>2574</v>
      </c>
      <c r="B56" s="88" t="s">
        <v>2504</v>
      </c>
      <c r="C56" s="120">
        <f t="shared" si="15"/>
        <v>53.684566532636879</v>
      </c>
      <c r="D56" s="120">
        <f t="shared" si="15"/>
        <v>1.048438615610086</v>
      </c>
      <c r="E56" s="120">
        <f t="shared" si="15"/>
        <v>45.266994851753033</v>
      </c>
      <c r="F56" s="120">
        <f t="shared" si="15"/>
        <v>0</v>
      </c>
      <c r="G56" s="163">
        <f t="shared" si="15"/>
        <v>0.69190260000000003</v>
      </c>
      <c r="H56" s="105">
        <f t="shared" si="15"/>
        <v>0.13993710691823899</v>
      </c>
      <c r="I56" s="165">
        <f t="shared" si="12"/>
        <v>0.33918207448428689</v>
      </c>
      <c r="J56" s="165">
        <f t="shared" si="16"/>
        <v>0.7767589488779304</v>
      </c>
      <c r="K56" s="136">
        <f t="shared" si="13"/>
        <v>6.4250000000000002E-2</v>
      </c>
      <c r="L56" s="136">
        <f t="shared" si="14"/>
        <v>5.4520204154070257E-3</v>
      </c>
      <c r="M56" s="141"/>
      <c r="N56" s="141"/>
      <c r="O56" s="135"/>
      <c r="P56" s="135"/>
    </row>
    <row r="57" spans="1:16">
      <c r="A57" s="103" t="s">
        <v>2400</v>
      </c>
      <c r="B57" s="88" t="s">
        <v>2401</v>
      </c>
      <c r="C57" s="120">
        <f t="shared" si="15"/>
        <v>46.885162988888972</v>
      </c>
      <c r="D57" s="120">
        <f t="shared" si="15"/>
        <v>2.1180154043814552</v>
      </c>
      <c r="E57" s="120">
        <f t="shared" si="15"/>
        <v>50.996821606729569</v>
      </c>
      <c r="F57" s="120">
        <f t="shared" si="15"/>
        <v>0</v>
      </c>
      <c r="G57" s="163">
        <f t="shared" si="15"/>
        <v>0.87370040181842501</v>
      </c>
      <c r="H57" s="105">
        <f t="shared" si="15"/>
        <v>6.0000000000000001E-3</v>
      </c>
      <c r="I57" s="165">
        <f t="shared" si="12"/>
        <v>0.44687332809757929</v>
      </c>
      <c r="J57" s="165">
        <f t="shared" si="16"/>
        <v>1.1131614602910698</v>
      </c>
      <c r="K57" s="136">
        <f t="shared" si="13"/>
        <v>6.4250000000000002E-2</v>
      </c>
      <c r="L57" s="136">
        <f t="shared" si="14"/>
        <v>1.5385373006867426E-2</v>
      </c>
      <c r="M57" s="141"/>
      <c r="N57" s="141"/>
      <c r="O57" s="135"/>
      <c r="P57" s="135"/>
    </row>
    <row r="58" spans="1:16">
      <c r="A58" s="103" t="s">
        <v>2402</v>
      </c>
      <c r="B58" s="88" t="s">
        <v>1930</v>
      </c>
      <c r="C58" s="120">
        <f t="shared" si="15"/>
        <v>44.137938601801629</v>
      </c>
      <c r="D58" s="120">
        <f t="shared" si="15"/>
        <v>3.6925678334463385</v>
      </c>
      <c r="E58" s="120">
        <f t="shared" si="15"/>
        <v>51.679468047752806</v>
      </c>
      <c r="F58" s="120">
        <f t="shared" si="15"/>
        <v>0.49002551699922514</v>
      </c>
      <c r="G58" s="163">
        <f t="shared" si="15"/>
        <v>0.83927651394938352</v>
      </c>
      <c r="H58" s="105">
        <f t="shared" si="15"/>
        <v>0.12</v>
      </c>
      <c r="I58" s="165">
        <f t="shared" si="12"/>
        <v>0.46043159752266721</v>
      </c>
      <c r="J58" s="165">
        <f t="shared" si="16"/>
        <v>1.0682013062525879</v>
      </c>
      <c r="K58" s="136">
        <f t="shared" si="13"/>
        <v>6.4250000000000002E-2</v>
      </c>
      <c r="L58" s="136">
        <f t="shared" si="14"/>
        <v>1.4708417905480883E-2</v>
      </c>
      <c r="M58" s="141"/>
      <c r="N58" s="141"/>
      <c r="O58" s="135"/>
      <c r="P58" s="135"/>
    </row>
    <row r="59" spans="1:16">
      <c r="A59" s="103" t="s">
        <v>2403</v>
      </c>
      <c r="B59" s="88" t="s">
        <v>946</v>
      </c>
      <c r="C59" s="120">
        <f t="shared" si="15"/>
        <v>50.695105118023719</v>
      </c>
      <c r="D59" s="120">
        <f t="shared" si="15"/>
        <v>1.6546185080761218</v>
      </c>
      <c r="E59" s="120">
        <f t="shared" si="15"/>
        <v>47.650276373900155</v>
      </c>
      <c r="F59" s="120">
        <f t="shared" si="15"/>
        <v>0</v>
      </c>
      <c r="G59" s="163">
        <f t="shared" si="15"/>
        <v>0.84497239355831155</v>
      </c>
      <c r="H59" s="105">
        <f t="shared" si="15"/>
        <v>0.21</v>
      </c>
      <c r="I59" s="165">
        <f t="shared" si="12"/>
        <v>0.45236181432771438</v>
      </c>
      <c r="J59" s="165">
        <f t="shared" si="16"/>
        <v>0.98841056430605578</v>
      </c>
      <c r="K59" s="136">
        <f t="shared" si="13"/>
        <v>6.4250000000000002E-2</v>
      </c>
      <c r="L59" s="136">
        <f t="shared" si="14"/>
        <v>9.2159024705425665E-3</v>
      </c>
      <c r="M59" s="141"/>
      <c r="N59" s="141"/>
      <c r="O59" s="135"/>
      <c r="P59" s="135"/>
    </row>
    <row r="60" spans="1:16">
      <c r="A60" s="103" t="s">
        <v>2415</v>
      </c>
      <c r="B60" s="88" t="s">
        <v>763</v>
      </c>
      <c r="C60" s="120">
        <f t="shared" si="15"/>
        <v>45.855890300126745</v>
      </c>
      <c r="D60" s="120">
        <f t="shared" si="15"/>
        <v>2.708600944757023</v>
      </c>
      <c r="E60" s="120">
        <f t="shared" si="15"/>
        <v>51.435508755116231</v>
      </c>
      <c r="F60" s="120">
        <f t="shared" si="15"/>
        <v>0</v>
      </c>
      <c r="G60" s="163">
        <f t="shared" si="15"/>
        <v>0.82378961834926434</v>
      </c>
      <c r="H60" s="105">
        <f t="shared" si="15"/>
        <v>9.1999999999999998E-2</v>
      </c>
      <c r="I60" s="165">
        <f t="shared" si="12"/>
        <v>0.4435373330010588</v>
      </c>
      <c r="J60" s="165">
        <f t="shared" si="16"/>
        <v>1.0476351805485009</v>
      </c>
      <c r="K60" s="136">
        <f t="shared" si="13"/>
        <v>6.4250000000000002E-2</v>
      </c>
      <c r="L60" s="136">
        <f t="shared" si="14"/>
        <v>1.438207737130095E-2</v>
      </c>
      <c r="M60" s="141"/>
      <c r="N60" s="141"/>
      <c r="O60" s="135"/>
      <c r="P60" s="135"/>
    </row>
    <row r="61" spans="1:16">
      <c r="A61" s="103" t="s">
        <v>2420</v>
      </c>
      <c r="B61" s="88" t="s">
        <v>1115</v>
      </c>
      <c r="C61" s="120">
        <f t="shared" si="15"/>
        <v>47.990985455774066</v>
      </c>
      <c r="D61" s="120">
        <f t="shared" si="15"/>
        <v>3.1016018350390078E-3</v>
      </c>
      <c r="E61" s="120">
        <f t="shared" si="15"/>
        <v>51.911648572894606</v>
      </c>
      <c r="F61" s="120">
        <f t="shared" si="15"/>
        <v>9.4264369496283557E-2</v>
      </c>
      <c r="G61" s="163">
        <f t="shared" si="15"/>
        <v>0.97465009387607859</v>
      </c>
      <c r="H61" s="105">
        <f t="shared" si="15"/>
        <v>0.161</v>
      </c>
      <c r="I61" s="165">
        <f t="shared" si="12"/>
        <v>0.54841657436860292</v>
      </c>
      <c r="J61" s="165">
        <f t="shared" si="16"/>
        <v>1.2385988332114894</v>
      </c>
      <c r="K61" s="136">
        <f t="shared" si="13"/>
        <v>6.4250000000000002E-2</v>
      </c>
      <c r="L61" s="136">
        <f t="shared" si="14"/>
        <v>1.6958706502300146E-2</v>
      </c>
      <c r="M61" s="141"/>
      <c r="N61" s="141"/>
      <c r="O61" s="135"/>
      <c r="P61" s="135"/>
    </row>
    <row r="62" spans="1:16">
      <c r="A62" s="103" t="s">
        <v>1328</v>
      </c>
      <c r="B62" s="88" t="s">
        <v>764</v>
      </c>
      <c r="C62" s="120">
        <f t="shared" si="15"/>
        <v>41.03249822202735</v>
      </c>
      <c r="D62" s="120">
        <f t="shared" si="15"/>
        <v>3.9376742073792692</v>
      </c>
      <c r="E62" s="120">
        <f t="shared" si="15"/>
        <v>54.436051094018232</v>
      </c>
      <c r="F62" s="120">
        <f t="shared" si="15"/>
        <v>0.59377647657514498</v>
      </c>
      <c r="G62" s="163">
        <f t="shared" si="15"/>
        <v>0.90169525929291461</v>
      </c>
      <c r="H62" s="105">
        <f t="shared" si="15"/>
        <v>0.19800000000000001</v>
      </c>
      <c r="I62" s="165">
        <f t="shared" si="12"/>
        <v>0.53952105767404257</v>
      </c>
      <c r="J62" s="165">
        <f t="shared" si="16"/>
        <v>1.1885648900559156</v>
      </c>
      <c r="K62" s="136">
        <f t="shared" si="13"/>
        <v>6.4250000000000002E-2</v>
      </c>
      <c r="L62" s="136">
        <f t="shared" si="14"/>
        <v>1.8431373776522812E-2</v>
      </c>
      <c r="M62" s="141"/>
      <c r="N62" s="141"/>
      <c r="O62" s="135"/>
      <c r="P62" s="135"/>
    </row>
    <row r="63" spans="1:16">
      <c r="A63" s="103" t="s">
        <v>2421</v>
      </c>
      <c r="B63" s="88" t="s">
        <v>1366</v>
      </c>
      <c r="C63" s="120">
        <f t="shared" si="15"/>
        <v>45.657238909721279</v>
      </c>
      <c r="D63" s="120">
        <f t="shared" si="15"/>
        <v>2.292903089536579</v>
      </c>
      <c r="E63" s="120">
        <f t="shared" si="15"/>
        <v>52.049858000742141</v>
      </c>
      <c r="F63" s="120">
        <f t="shared" si="15"/>
        <v>0</v>
      </c>
      <c r="G63" s="163">
        <f t="shared" si="15"/>
        <v>0.98249693606702992</v>
      </c>
      <c r="H63" s="105">
        <f t="shared" si="15"/>
        <v>0.13800000000000001</v>
      </c>
      <c r="I63" s="165">
        <f t="shared" si="12"/>
        <v>0.54762527978529307</v>
      </c>
      <c r="J63" s="165">
        <f t="shared" si="16"/>
        <v>1.2557047665476768</v>
      </c>
      <c r="K63" s="136">
        <f t="shared" si="13"/>
        <v>6.4250000000000002E-2</v>
      </c>
      <c r="L63" s="136">
        <f t="shared" si="14"/>
        <v>1.7553603108381565E-2</v>
      </c>
      <c r="M63" s="141"/>
      <c r="N63" s="141"/>
      <c r="O63" s="135"/>
      <c r="P63" s="135"/>
    </row>
    <row r="64" spans="1:16">
      <c r="A64" s="103" t="s">
        <v>2526</v>
      </c>
      <c r="B64" s="88" t="s">
        <v>2527</v>
      </c>
      <c r="C64" s="120">
        <f t="shared" si="15"/>
        <v>37.11398538865344</v>
      </c>
      <c r="D64" s="120">
        <f t="shared" si="15"/>
        <v>6.9546894248985778</v>
      </c>
      <c r="E64" s="120">
        <f t="shared" si="15"/>
        <v>55.931325186447992</v>
      </c>
      <c r="F64" s="120">
        <f t="shared" si="15"/>
        <v>0</v>
      </c>
      <c r="G64" s="163">
        <f t="shared" si="15"/>
        <v>0.8927250421094256</v>
      </c>
      <c r="H64" s="105">
        <f t="shared" si="15"/>
        <v>0.09</v>
      </c>
      <c r="I64" s="165">
        <f t="shared" si="12"/>
        <v>0.51993448780371287</v>
      </c>
      <c r="J64" s="165">
        <f t="shared" si="16"/>
        <v>1.2296450636557807</v>
      </c>
      <c r="K64" s="136">
        <f t="shared" si="13"/>
        <v>6.4250000000000002E-2</v>
      </c>
      <c r="L64" s="136">
        <f t="shared" si="14"/>
        <v>2.1647111384353317E-2</v>
      </c>
      <c r="M64" s="141"/>
      <c r="N64" s="141"/>
      <c r="O64" s="135"/>
      <c r="P64" s="135"/>
    </row>
    <row r="65" spans="1:16">
      <c r="A65" s="103" t="s">
        <v>2432</v>
      </c>
      <c r="B65" s="88" t="s">
        <v>1138</v>
      </c>
      <c r="C65" s="120">
        <f t="shared" si="15"/>
        <v>39.63717632338421</v>
      </c>
      <c r="D65" s="120">
        <f t="shared" si="15"/>
        <v>4.092051939106395</v>
      </c>
      <c r="E65" s="120">
        <f t="shared" si="15"/>
        <v>56.270771737509392</v>
      </c>
      <c r="F65" s="120">
        <f t="shared" si="15"/>
        <v>0</v>
      </c>
      <c r="G65" s="163">
        <f t="shared" si="15"/>
        <v>0.91219232010489681</v>
      </c>
      <c r="H65" s="105">
        <f t="shared" si="15"/>
        <v>0.125</v>
      </c>
      <c r="I65" s="165">
        <f t="shared" si="12"/>
        <v>0.54297765026569156</v>
      </c>
      <c r="J65" s="165">
        <f t="shared" si="16"/>
        <v>1.2556358162394117</v>
      </c>
      <c r="K65" s="136">
        <f t="shared" si="13"/>
        <v>6.4250000000000002E-2</v>
      </c>
      <c r="L65" s="136">
        <f t="shared" si="14"/>
        <v>2.206624462664258E-2</v>
      </c>
      <c r="M65" s="141"/>
      <c r="N65" s="141"/>
      <c r="O65" s="135"/>
      <c r="P65" s="135"/>
    </row>
    <row r="66" spans="1:16">
      <c r="A66" s="103" t="s">
        <v>2435</v>
      </c>
      <c r="B66" s="88" t="s">
        <v>766</v>
      </c>
      <c r="C66" s="120">
        <f t="shared" si="15"/>
        <v>46.068948359780592</v>
      </c>
      <c r="D66" s="120">
        <f t="shared" si="15"/>
        <v>0.85899541095311693</v>
      </c>
      <c r="E66" s="120">
        <f t="shared" si="15"/>
        <v>53.072056229266295</v>
      </c>
      <c r="F66" s="120">
        <f t="shared" si="15"/>
        <v>0</v>
      </c>
      <c r="G66" s="163">
        <f t="shared" si="15"/>
        <v>1.0177614823084606</v>
      </c>
      <c r="H66" s="105">
        <f t="shared" si="15"/>
        <v>0.12</v>
      </c>
      <c r="I66" s="165">
        <f t="shared" si="12"/>
        <v>0.57237966717457611</v>
      </c>
      <c r="J66" s="165">
        <f t="shared" si="16"/>
        <v>1.3279208278450165</v>
      </c>
      <c r="K66" s="136">
        <f t="shared" si="13"/>
        <v>6.4250000000000002E-2</v>
      </c>
      <c r="L66" s="136">
        <f t="shared" si="14"/>
        <v>1.9927737950723716E-2</v>
      </c>
      <c r="M66" s="141"/>
      <c r="N66" s="141"/>
      <c r="O66" s="135"/>
      <c r="P66" s="135"/>
    </row>
    <row r="67" spans="1:16">
      <c r="A67" s="103" t="s">
        <v>2442</v>
      </c>
      <c r="B67" s="88" t="s">
        <v>767</v>
      </c>
      <c r="C67" s="120">
        <f t="shared" si="15"/>
        <v>48.669564665105824</v>
      </c>
      <c r="D67" s="120">
        <f t="shared" si="15"/>
        <v>3.517963765468378</v>
      </c>
      <c r="E67" s="120">
        <f t="shared" si="15"/>
        <v>47.812471569425796</v>
      </c>
      <c r="F67" s="120">
        <f t="shared" si="15"/>
        <v>0</v>
      </c>
      <c r="G67" s="163">
        <f t="shared" si="15"/>
        <v>0.93579719106169845</v>
      </c>
      <c r="H67" s="105">
        <f t="shared" si="15"/>
        <v>0.129</v>
      </c>
      <c r="I67" s="165">
        <f t="shared" si="12"/>
        <v>0.47972368121953884</v>
      </c>
      <c r="J67" s="165">
        <f t="shared" si="16"/>
        <v>1.1064826707328663</v>
      </c>
      <c r="K67" s="136">
        <f t="shared" si="13"/>
        <v>6.4250000000000002E-2</v>
      </c>
      <c r="L67" s="136">
        <f t="shared" si="14"/>
        <v>1.0966542068872535E-2</v>
      </c>
      <c r="M67" s="141"/>
      <c r="N67" s="141"/>
      <c r="O67" s="135"/>
      <c r="P67" s="135"/>
    </row>
    <row r="68" spans="1:16">
      <c r="A68" s="103" t="s">
        <v>2447</v>
      </c>
      <c r="B68" s="95" t="s">
        <v>31</v>
      </c>
      <c r="C68" s="120">
        <f t="shared" si="15"/>
        <v>41.892933776472269</v>
      </c>
      <c r="D68" s="120">
        <f t="shared" si="15"/>
        <v>3.7193170735697159</v>
      </c>
      <c r="E68" s="120">
        <f t="shared" si="15"/>
        <v>54.387749149958019</v>
      </c>
      <c r="F68" s="120">
        <f t="shared" si="15"/>
        <v>0</v>
      </c>
      <c r="G68" s="163">
        <f t="shared" si="15"/>
        <v>1.0663522553431179</v>
      </c>
      <c r="H68" s="105">
        <f t="shared" si="15"/>
        <v>0.19900000000000001</v>
      </c>
      <c r="I68" s="165">
        <f t="shared" si="12"/>
        <v>0.63786275841933004</v>
      </c>
      <c r="J68" s="165">
        <f t="shared" si="16"/>
        <v>1.404254862660155</v>
      </c>
      <c r="K68" s="136">
        <f t="shared" si="13"/>
        <v>6.4250000000000002E-2</v>
      </c>
      <c r="L68" s="136">
        <f t="shared" si="14"/>
        <v>2.1710242520119629E-2</v>
      </c>
      <c r="M68" s="141"/>
      <c r="N68" s="141"/>
      <c r="O68" s="135"/>
      <c r="P68" s="135"/>
    </row>
    <row r="69" spans="1:16">
      <c r="A69" s="103" t="s">
        <v>2445</v>
      </c>
      <c r="B69" s="88" t="s">
        <v>2446</v>
      </c>
      <c r="C69" s="120">
        <f t="shared" si="15"/>
        <v>53.560996989944556</v>
      </c>
      <c r="D69" s="120">
        <f t="shared" si="15"/>
        <v>1.9531805171947958</v>
      </c>
      <c r="E69" s="120">
        <f t="shared" si="15"/>
        <v>44.485822492860642</v>
      </c>
      <c r="F69" s="120">
        <f t="shared" si="15"/>
        <v>0</v>
      </c>
      <c r="G69" s="163">
        <f t="shared" si="15"/>
        <v>0.87885600974494305</v>
      </c>
      <c r="H69" s="105">
        <f t="shared" si="15"/>
        <v>0.16800000000000001</v>
      </c>
      <c r="I69" s="165">
        <f t="shared" si="15"/>
        <v>0.4311797988385348</v>
      </c>
      <c r="J69" s="165">
        <f t="shared" si="16"/>
        <v>0.96929218778902615</v>
      </c>
      <c r="K69" s="136">
        <f t="shared" si="13"/>
        <v>6.4250000000000002E-2</v>
      </c>
      <c r="L69" s="136">
        <f t="shared" si="14"/>
        <v>5.8105244393323397E-3</v>
      </c>
      <c r="M69" s="141"/>
      <c r="N69" s="141"/>
      <c r="O69" s="135"/>
      <c r="P69" s="135"/>
    </row>
    <row r="70" spans="1:16">
      <c r="A70" s="103" t="s">
        <v>2450</v>
      </c>
      <c r="B70" s="88" t="s">
        <v>768</v>
      </c>
      <c r="C70" s="120">
        <f t="shared" si="15"/>
        <v>44.253102338740064</v>
      </c>
      <c r="D70" s="120">
        <f t="shared" si="15"/>
        <v>2.0601591204408196</v>
      </c>
      <c r="E70" s="120">
        <f t="shared" si="15"/>
        <v>53.686738540819114</v>
      </c>
      <c r="F70" s="120">
        <f t="shared" si="15"/>
        <v>0</v>
      </c>
      <c r="G70" s="163">
        <f t="shared" si="15"/>
        <v>0.89737403966762719</v>
      </c>
      <c r="H70" s="105">
        <f t="shared" si="15"/>
        <v>0.114</v>
      </c>
      <c r="I70" s="165">
        <f t="shared" si="15"/>
        <v>0.50862477680027351</v>
      </c>
      <c r="J70" s="165">
        <f t="shared" si="16"/>
        <v>1.1845871051678369</v>
      </c>
      <c r="K70" s="136">
        <f t="shared" si="13"/>
        <v>6.4250000000000002E-2</v>
      </c>
      <c r="L70" s="136">
        <f t="shared" si="14"/>
        <v>1.8453439458388479E-2</v>
      </c>
      <c r="M70" s="141"/>
      <c r="N70" s="141"/>
      <c r="O70" s="135"/>
      <c r="P70" s="135"/>
    </row>
    <row r="71" spans="1:16">
      <c r="A71" s="155" t="s">
        <v>2458</v>
      </c>
      <c r="B71" s="88" t="s">
        <v>2053</v>
      </c>
      <c r="C71" s="120">
        <f t="shared" si="15"/>
        <v>44.796038316387978</v>
      </c>
      <c r="D71" s="120">
        <f t="shared" si="15"/>
        <v>1.6055483333994263</v>
      </c>
      <c r="E71" s="120">
        <f t="shared" si="15"/>
        <v>53.598413350212603</v>
      </c>
      <c r="F71" s="120">
        <f t="shared" si="15"/>
        <v>0</v>
      </c>
      <c r="G71" s="163">
        <f t="shared" si="15"/>
        <v>0.82948435931460662</v>
      </c>
      <c r="H71" s="105" t="str">
        <f t="shared" si="15"/>
        <v>NMF</v>
      </c>
      <c r="I71" s="165" t="str">
        <f t="shared" si="15"/>
        <v>n/a</v>
      </c>
      <c r="J71" s="165" t="str">
        <f t="shared" si="16"/>
        <v>n/a</v>
      </c>
      <c r="K71" s="136">
        <f t="shared" si="13"/>
        <v>6.4250000000000002E-2</v>
      </c>
      <c r="L71" s="136" t="str">
        <f t="shared" si="14"/>
        <v>n/a</v>
      </c>
      <c r="M71" s="141"/>
      <c r="N71" s="141"/>
      <c r="O71" s="135"/>
      <c r="P71" s="135"/>
    </row>
    <row r="72" spans="1:16" ht="14" thickBot="1">
      <c r="A72" s="154" t="s">
        <v>2575</v>
      </c>
      <c r="B72" s="106"/>
      <c r="C72" s="107"/>
      <c r="D72" s="107"/>
      <c r="E72" s="107">
        <f>AVERAGE(E53:E71)</f>
        <v>50.49021283958978</v>
      </c>
      <c r="F72" s="107"/>
      <c r="G72" s="166">
        <f>AVERAGE(G53:G71)</f>
        <v>0.87700034824032536</v>
      </c>
      <c r="H72" s="108"/>
      <c r="I72" s="169"/>
      <c r="J72" s="166"/>
      <c r="K72" s="109"/>
      <c r="L72" s="183">
        <f>AVERAGE(L53:L71)</f>
        <v>1.3758941255016584E-2</v>
      </c>
      <c r="M72" s="88"/>
      <c r="N72" s="88"/>
      <c r="O72" s="88"/>
      <c r="P72" s="88"/>
    </row>
    <row r="73" spans="1:16">
      <c r="A73" s="103"/>
      <c r="B73" s="95"/>
      <c r="C73" s="104"/>
      <c r="D73" s="104"/>
      <c r="E73" s="104"/>
      <c r="F73" s="104"/>
      <c r="G73" s="120"/>
      <c r="H73" s="88"/>
      <c r="I73" s="157"/>
      <c r="J73" s="120"/>
      <c r="K73" s="98"/>
      <c r="L73" s="98"/>
      <c r="M73" s="88"/>
      <c r="N73" s="88"/>
      <c r="O73" s="88"/>
      <c r="P73" s="88"/>
    </row>
    <row r="74" spans="1:16">
      <c r="A74" s="103"/>
      <c r="B74" s="95"/>
      <c r="C74" s="104"/>
      <c r="D74" s="104"/>
      <c r="E74" s="104"/>
      <c r="F74" s="104"/>
      <c r="G74" s="120"/>
      <c r="H74" s="88"/>
      <c r="I74" s="157"/>
      <c r="J74" s="120"/>
      <c r="K74" s="98"/>
      <c r="L74" s="98"/>
      <c r="M74" s="88"/>
      <c r="N74" s="88"/>
      <c r="O74" s="88"/>
      <c r="P74" s="88"/>
    </row>
    <row r="75" spans="1:16" ht="14" thickBot="1">
      <c r="A75" s="140"/>
      <c r="B75" s="88"/>
      <c r="C75" s="95"/>
      <c r="D75" s="95"/>
      <c r="E75" s="120"/>
      <c r="F75" s="120"/>
      <c r="G75" s="120"/>
      <c r="H75" s="88"/>
      <c r="I75" s="120"/>
      <c r="J75" s="120"/>
      <c r="K75" s="88"/>
      <c r="L75" s="132"/>
      <c r="M75" s="88"/>
      <c r="N75" s="88"/>
      <c r="O75" s="88"/>
      <c r="P75" s="88"/>
    </row>
    <row r="76" spans="1:16">
      <c r="A76" s="206" t="s">
        <v>2581</v>
      </c>
      <c r="B76" s="209" t="s">
        <v>1</v>
      </c>
      <c r="C76" s="200" t="s">
        <v>2560</v>
      </c>
      <c r="D76" s="200"/>
      <c r="E76" s="200"/>
      <c r="F76" s="200"/>
      <c r="G76" s="202" t="s">
        <v>2561</v>
      </c>
      <c r="H76" s="200" t="s">
        <v>2562</v>
      </c>
      <c r="I76" s="202" t="s">
        <v>2563</v>
      </c>
      <c r="J76" s="202" t="s">
        <v>2564</v>
      </c>
      <c r="K76" s="200" t="str">
        <f>K50</f>
        <v>Historical Equity Risk Premium</v>
      </c>
      <c r="L76" s="212" t="s">
        <v>2566</v>
      </c>
      <c r="M76" s="88"/>
      <c r="N76" s="88"/>
      <c r="O76" s="88"/>
      <c r="P76" s="88"/>
    </row>
    <row r="77" spans="1:16" ht="14.25" customHeight="1">
      <c r="A77" s="207"/>
      <c r="B77" s="210"/>
      <c r="C77" s="201" t="s">
        <v>2567</v>
      </c>
      <c r="D77" s="201"/>
      <c r="E77" s="201"/>
      <c r="F77" s="201"/>
      <c r="G77" s="203"/>
      <c r="H77" s="201"/>
      <c r="I77" s="203"/>
      <c r="J77" s="203"/>
      <c r="K77" s="201"/>
      <c r="L77" s="213"/>
      <c r="M77" s="88"/>
      <c r="N77" s="88"/>
      <c r="O77" s="88"/>
      <c r="P77" s="88"/>
    </row>
    <row r="78" spans="1:16" ht="14.25" customHeight="1">
      <c r="A78" s="208"/>
      <c r="B78" s="211"/>
      <c r="C78" s="148" t="s">
        <v>2568</v>
      </c>
      <c r="D78" s="148" t="s">
        <v>2569</v>
      </c>
      <c r="E78" s="139" t="s">
        <v>2570</v>
      </c>
      <c r="F78" s="139" t="s">
        <v>2571</v>
      </c>
      <c r="G78" s="204"/>
      <c r="H78" s="205"/>
      <c r="I78" s="204"/>
      <c r="J78" s="172">
        <v>0.38</v>
      </c>
      <c r="K78" s="205"/>
      <c r="L78" s="149">
        <f>J78</f>
        <v>0.38</v>
      </c>
      <c r="M78" s="88"/>
      <c r="N78" s="88"/>
      <c r="O78" s="88"/>
      <c r="P78" s="88"/>
    </row>
    <row r="79" spans="1:16" ht="14.25" customHeight="1">
      <c r="A79" s="103" t="s">
        <v>2572</v>
      </c>
      <c r="B79" s="88" t="s">
        <v>430</v>
      </c>
      <c r="C79" s="120">
        <f>_xlfn.XLOOKUP($B79, $B$4:$B$45, C$4:C$45)</f>
        <v>44.306914735654445</v>
      </c>
      <c r="D79" s="120">
        <f>_xlfn.XLOOKUP($B79, $B$4:$B$45, D$4:D$45)</f>
        <v>5.3392152668460762</v>
      </c>
      <c r="E79" s="120">
        <f t="shared" ref="E79:H86" si="17">_xlfn.XLOOKUP($B79, $B$4:$B$45, E$4:E$45)</f>
        <v>50.35386999749948</v>
      </c>
      <c r="F79" s="120">
        <f t="shared" si="17"/>
        <v>0</v>
      </c>
      <c r="G79" s="163">
        <f t="shared" si="17"/>
        <v>1.15571</v>
      </c>
      <c r="H79" s="105">
        <f>_xlfn.XLOOKUP($B79, $B$4:$B$45, H$4:H$45)</f>
        <v>0.245</v>
      </c>
      <c r="I79" s="165">
        <f t="shared" ref="I79:I86" si="18">_xlfn.XLOOKUP($B79, $B$4:$B$45, I$4:I$45)</f>
        <v>0.66253026719921182</v>
      </c>
      <c r="J79" s="165">
        <f>IFERROR(I79*(1+(1-H79)*((1-J$78)/(J$78))),"n/a")</f>
        <v>1.4786629463464513</v>
      </c>
      <c r="K79" s="136">
        <f t="shared" ref="K79:K86" si="19">_xlfn.XLOOKUP($B79, $B$4:$B$45, K$4:K$45)</f>
        <v>6.4250000000000002E-2</v>
      </c>
      <c r="L79" s="105">
        <f t="shared" ref="L79:L86" si="20">IFERROR(K79*(J79-G79),"n/a")</f>
        <v>2.0749726802759497E-2</v>
      </c>
      <c r="M79" s="134"/>
      <c r="N79" s="134"/>
      <c r="O79" s="135"/>
      <c r="P79" s="135"/>
    </row>
    <row r="80" spans="1:16">
      <c r="A80" s="103" t="s">
        <v>2459</v>
      </c>
      <c r="B80" s="88" t="s">
        <v>610</v>
      </c>
      <c r="C80" s="120">
        <f t="shared" ref="C80:D86" si="21">_xlfn.XLOOKUP($B80, $B$4:$B$45, C$4:C$45)</f>
        <v>62.448371719759479</v>
      </c>
      <c r="D80" s="120">
        <f t="shared" si="21"/>
        <v>0</v>
      </c>
      <c r="E80" s="120">
        <f t="shared" si="17"/>
        <v>35.916692549130055</v>
      </c>
      <c r="F80" s="120">
        <f t="shared" si="17"/>
        <v>1.6349357311104638</v>
      </c>
      <c r="G80" s="167">
        <f t="shared" si="17"/>
        <v>0.85877409999999998</v>
      </c>
      <c r="H80" s="132">
        <f t="shared" si="17"/>
        <v>0.21639344262295082</v>
      </c>
      <c r="I80" s="167">
        <f t="shared" si="18"/>
        <v>0.35810200074326537</v>
      </c>
      <c r="J80" s="167">
        <f t="shared" ref="J80:J86" si="22">IFERROR(I80*(1+(1-H80)*((1-J$78)/(J$78))),"n/a")</f>
        <v>0.81594112473064284</v>
      </c>
      <c r="K80" s="132">
        <f t="shared" si="19"/>
        <v>6.4250000000000002E-2</v>
      </c>
      <c r="L80" s="132">
        <f t="shared" si="20"/>
        <v>-2.7520186610561965E-3</v>
      </c>
      <c r="M80" s="134"/>
      <c r="N80" s="134"/>
      <c r="O80" s="135"/>
      <c r="P80" s="135"/>
    </row>
    <row r="81" spans="1:16">
      <c r="A81" s="103" t="s">
        <v>2461</v>
      </c>
      <c r="B81" s="88" t="s">
        <v>652</v>
      </c>
      <c r="C81" s="120">
        <f t="shared" si="21"/>
        <v>46.71986217527315</v>
      </c>
      <c r="D81" s="120">
        <f t="shared" si="21"/>
        <v>1.813483247948497</v>
      </c>
      <c r="E81" s="120">
        <f t="shared" si="17"/>
        <v>51.466654576778346</v>
      </c>
      <c r="F81" s="120">
        <f t="shared" si="17"/>
        <v>0</v>
      </c>
      <c r="G81" s="167">
        <f t="shared" si="17"/>
        <v>0.93412499999999998</v>
      </c>
      <c r="H81" s="132">
        <f t="shared" si="17"/>
        <v>0.23400000000000001</v>
      </c>
      <c r="I81" s="167">
        <f t="shared" si="18"/>
        <v>0.54235734090015209</v>
      </c>
      <c r="J81" s="167">
        <f t="shared" si="22"/>
        <v>1.2201898365325212</v>
      </c>
      <c r="K81" s="132">
        <f t="shared" si="19"/>
        <v>6.4250000000000002E-2</v>
      </c>
      <c r="L81" s="132">
        <f t="shared" si="20"/>
        <v>1.8379665747214492E-2</v>
      </c>
      <c r="M81" s="134"/>
      <c r="N81" s="134"/>
      <c r="O81" s="135"/>
      <c r="P81" s="135"/>
    </row>
    <row r="82" spans="1:16">
      <c r="A82" s="103" t="s">
        <v>2573</v>
      </c>
      <c r="B82" s="88" t="s">
        <v>637</v>
      </c>
      <c r="C82" s="120">
        <f t="shared" si="21"/>
        <v>47.355037157675632</v>
      </c>
      <c r="D82" s="120">
        <f t="shared" si="21"/>
        <v>0.31757233184007161</v>
      </c>
      <c r="E82" s="120">
        <f t="shared" si="17"/>
        <v>52.327390510484292</v>
      </c>
      <c r="F82" s="120">
        <f t="shared" si="17"/>
        <v>0</v>
      </c>
      <c r="G82" s="167">
        <f t="shared" si="17"/>
        <v>0.72239589999999998</v>
      </c>
      <c r="H82" s="132">
        <f t="shared" si="17"/>
        <v>0.14599999999999999</v>
      </c>
      <c r="I82" s="167">
        <f t="shared" si="18"/>
        <v>0.40628948861517949</v>
      </c>
      <c r="J82" s="167">
        <f t="shared" si="22"/>
        <v>0.97240043185719327</v>
      </c>
      <c r="K82" s="132">
        <f t="shared" si="19"/>
        <v>6.4250000000000002E-2</v>
      </c>
      <c r="L82" s="132">
        <f t="shared" si="20"/>
        <v>1.6062791171824669E-2</v>
      </c>
      <c r="M82" s="134"/>
      <c r="N82" s="134"/>
      <c r="O82" s="135"/>
      <c r="P82" s="135"/>
    </row>
    <row r="83" spans="1:16">
      <c r="A83" s="103" t="s">
        <v>2579</v>
      </c>
      <c r="B83" s="88" t="s">
        <v>2380</v>
      </c>
      <c r="C83" s="120">
        <f t="shared" si="21"/>
        <v>39.79750803770947</v>
      </c>
      <c r="D83" s="120">
        <f t="shared" si="21"/>
        <v>0</v>
      </c>
      <c r="E83" s="120">
        <f t="shared" si="17"/>
        <v>60.202491962290537</v>
      </c>
      <c r="F83" s="120">
        <f t="shared" si="17"/>
        <v>0</v>
      </c>
      <c r="G83" s="167">
        <f t="shared" si="17"/>
        <v>0.82918805364407167</v>
      </c>
      <c r="H83" s="132">
        <f t="shared" si="17"/>
        <v>0.114</v>
      </c>
      <c r="I83" s="167">
        <f t="shared" si="18"/>
        <v>0.52291613678608884</v>
      </c>
      <c r="J83" s="167">
        <f t="shared" si="22"/>
        <v>1.2788326953632845</v>
      </c>
      <c r="K83" s="132">
        <f t="shared" si="19"/>
        <v>6.4250000000000002E-2</v>
      </c>
      <c r="L83" s="132">
        <f t="shared" si="20"/>
        <v>2.8889668230459423E-2</v>
      </c>
      <c r="M83" s="134"/>
      <c r="N83" s="134"/>
      <c r="O83" s="135"/>
      <c r="P83" s="135"/>
    </row>
    <row r="84" spans="1:16">
      <c r="A84" s="103" t="s">
        <v>2387</v>
      </c>
      <c r="B84" s="88" t="s">
        <v>2388</v>
      </c>
      <c r="C84" s="120">
        <f t="shared" si="21"/>
        <v>52.398287974465219</v>
      </c>
      <c r="D84" s="120">
        <f t="shared" si="21"/>
        <v>0.63958919925185598</v>
      </c>
      <c r="E84" s="120">
        <f t="shared" si="17"/>
        <v>46.962122826282929</v>
      </c>
      <c r="F84" s="120">
        <f t="shared" si="17"/>
        <v>0</v>
      </c>
      <c r="G84" s="167">
        <f t="shared" si="17"/>
        <v>0.74464980030632322</v>
      </c>
      <c r="H84" s="132">
        <f t="shared" si="17"/>
        <v>0.25700000000000001</v>
      </c>
      <c r="I84" s="167">
        <f t="shared" si="18"/>
        <v>0.40489328183167222</v>
      </c>
      <c r="J84" s="167">
        <f t="shared" si="22"/>
        <v>0.89573049027529872</v>
      </c>
      <c r="K84" s="132">
        <f t="shared" si="19"/>
        <v>6.4250000000000002E-2</v>
      </c>
      <c r="L84" s="132">
        <f t="shared" si="20"/>
        <v>9.7069343305066762E-3</v>
      </c>
      <c r="M84" s="134"/>
      <c r="N84" s="134"/>
      <c r="O84" s="135"/>
      <c r="P84" s="135"/>
    </row>
    <row r="85" spans="1:16">
      <c r="A85" s="103" t="s">
        <v>2538</v>
      </c>
      <c r="B85" s="88" t="s">
        <v>2539</v>
      </c>
      <c r="C85" s="120">
        <f t="shared" si="21"/>
        <v>39.54935552780416</v>
      </c>
      <c r="D85" s="120">
        <f t="shared" si="21"/>
        <v>4.0505407783519159E-4</v>
      </c>
      <c r="E85" s="120">
        <f t="shared" si="17"/>
        <v>60.450239418118002</v>
      </c>
      <c r="F85" s="120">
        <f t="shared" si="17"/>
        <v>0</v>
      </c>
      <c r="G85" s="167">
        <f t="shared" si="17"/>
        <v>0.83247976724837924</v>
      </c>
      <c r="H85" s="132">
        <f t="shared" si="17"/>
        <v>0.14899999999999999</v>
      </c>
      <c r="I85" s="167">
        <f t="shared" si="18"/>
        <v>0.53474826981260637</v>
      </c>
      <c r="J85" s="167">
        <f t="shared" si="22"/>
        <v>1.2772321701245204</v>
      </c>
      <c r="K85" s="132">
        <f t="shared" si="19"/>
        <v>6.4250000000000002E-2</v>
      </c>
      <c r="L85" s="132">
        <f t="shared" si="20"/>
        <v>2.857534188479207E-2</v>
      </c>
      <c r="M85" s="134"/>
      <c r="N85" s="134"/>
      <c r="O85" s="135"/>
      <c r="P85" s="135"/>
    </row>
    <row r="86" spans="1:16">
      <c r="A86" s="155" t="s">
        <v>2540</v>
      </c>
      <c r="B86" s="88" t="s">
        <v>2541</v>
      </c>
      <c r="C86" s="120">
        <f t="shared" si="21"/>
        <v>42.863774092268784</v>
      </c>
      <c r="D86" s="120">
        <f t="shared" si="21"/>
        <v>10.86671947546769</v>
      </c>
      <c r="E86" s="120">
        <f t="shared" si="17"/>
        <v>46.269506432263526</v>
      </c>
      <c r="F86" s="120">
        <f t="shared" si="17"/>
        <v>0</v>
      </c>
      <c r="G86" s="167">
        <f t="shared" si="17"/>
        <v>0.86346076191264043</v>
      </c>
      <c r="H86" s="132">
        <f t="shared" si="17"/>
        <v>0.151</v>
      </c>
      <c r="I86" s="167">
        <f t="shared" si="18"/>
        <v>0.43479529949811913</v>
      </c>
      <c r="J86" s="167">
        <f t="shared" si="22"/>
        <v>1.03707832515554</v>
      </c>
      <c r="K86" s="132">
        <f t="shared" si="19"/>
        <v>6.4250000000000002E-2</v>
      </c>
      <c r="L86" s="132">
        <f t="shared" si="20"/>
        <v>1.1154928438356297E-2</v>
      </c>
      <c r="M86" s="134"/>
      <c r="N86" s="134"/>
      <c r="O86" s="135"/>
      <c r="P86" s="135"/>
    </row>
    <row r="87" spans="1:16" ht="14" thickBot="1">
      <c r="A87" s="154" t="s">
        <v>2575</v>
      </c>
      <c r="B87" s="106"/>
      <c r="C87" s="107"/>
      <c r="D87" s="107"/>
      <c r="E87" s="107">
        <f>AVERAGE(E79:E86)</f>
        <v>50.493621034105892</v>
      </c>
      <c r="F87" s="107"/>
      <c r="G87" s="107">
        <f>AVERAGE(G79:G86)</f>
        <v>0.8675979228889269</v>
      </c>
      <c r="H87" s="108"/>
      <c r="I87" s="170"/>
      <c r="J87" s="166"/>
      <c r="K87" s="143"/>
      <c r="L87" s="184">
        <f>AVERAGE(L79:L86)</f>
        <v>1.6345879743107118E-2</v>
      </c>
      <c r="M87" s="88"/>
      <c r="N87" s="88"/>
      <c r="O87" s="88"/>
      <c r="P87" s="88"/>
    </row>
    <row r="88" spans="1:16">
      <c r="A88" s="103"/>
      <c r="B88" s="95"/>
      <c r="C88" s="104"/>
      <c r="D88" s="104"/>
      <c r="E88" s="104"/>
      <c r="F88" s="104"/>
      <c r="G88" s="120"/>
      <c r="H88" s="88"/>
      <c r="I88" s="171"/>
      <c r="J88" s="120"/>
      <c r="K88" s="144"/>
      <c r="L88" s="144"/>
      <c r="M88" s="88"/>
      <c r="N88" s="88"/>
      <c r="O88" s="88"/>
      <c r="P88" s="88"/>
    </row>
    <row r="89" spans="1:16">
      <c r="A89" s="103"/>
      <c r="B89" s="95"/>
      <c r="C89" s="104"/>
      <c r="D89" s="104"/>
      <c r="E89" s="104"/>
      <c r="F89" s="104"/>
      <c r="G89" s="120"/>
      <c r="H89" s="88"/>
      <c r="I89" s="171"/>
      <c r="J89" s="120"/>
      <c r="K89" s="144"/>
      <c r="L89" s="144"/>
      <c r="M89" s="88"/>
      <c r="N89" s="88"/>
      <c r="O89" s="88"/>
      <c r="P89" s="88"/>
    </row>
    <row r="90" spans="1:16">
      <c r="A90" s="103"/>
      <c r="B90" s="88"/>
      <c r="C90" s="88"/>
      <c r="D90" s="88"/>
      <c r="E90" s="120"/>
      <c r="F90" s="120"/>
      <c r="G90" s="120"/>
      <c r="H90" s="88"/>
      <c r="I90" s="120"/>
      <c r="J90" s="120"/>
      <c r="K90" s="88"/>
      <c r="L90" s="132"/>
      <c r="M90" s="87"/>
      <c r="N90" s="87"/>
      <c r="O90" s="87"/>
      <c r="P90" s="87"/>
    </row>
    <row r="91" spans="1:16">
      <c r="A91" s="103"/>
      <c r="B91" s="88"/>
      <c r="C91" s="88"/>
      <c r="D91" s="88"/>
      <c r="E91" s="120"/>
      <c r="F91" s="120"/>
      <c r="G91" s="120"/>
      <c r="H91" s="88"/>
      <c r="I91" s="120"/>
      <c r="J91" s="120"/>
      <c r="K91" s="88"/>
      <c r="L91" s="132"/>
      <c r="M91" s="87"/>
      <c r="N91" s="87"/>
      <c r="O91" s="87"/>
      <c r="P91" s="87"/>
    </row>
    <row r="92" spans="1:16" ht="14" thickBot="1">
      <c r="A92" s="103"/>
      <c r="B92" s="88"/>
      <c r="C92" s="88"/>
      <c r="D92" s="88"/>
      <c r="E92" s="120"/>
      <c r="F92" s="120"/>
      <c r="G92" s="120"/>
      <c r="H92" s="88"/>
      <c r="I92" s="120"/>
      <c r="J92" s="120"/>
      <c r="K92" s="88"/>
      <c r="L92" s="132"/>
      <c r="M92" s="87"/>
      <c r="N92" s="87"/>
      <c r="O92" s="87"/>
      <c r="P92" s="87"/>
    </row>
    <row r="93" spans="1:16">
      <c r="A93" s="206" t="s">
        <v>2582</v>
      </c>
      <c r="B93" s="209" t="s">
        <v>1</v>
      </c>
      <c r="C93" s="200" t="s">
        <v>2560</v>
      </c>
      <c r="D93" s="200"/>
      <c r="E93" s="200"/>
      <c r="F93" s="200"/>
      <c r="G93" s="202" t="s">
        <v>2561</v>
      </c>
      <c r="H93" s="200" t="s">
        <v>2562</v>
      </c>
      <c r="I93" s="202" t="s">
        <v>2563</v>
      </c>
      <c r="J93" s="202" t="s">
        <v>2564</v>
      </c>
      <c r="K93" s="200" t="s">
        <v>2583</v>
      </c>
      <c r="L93" s="212" t="s">
        <v>2566</v>
      </c>
      <c r="M93" s="87"/>
      <c r="N93" s="87"/>
      <c r="O93" s="87"/>
      <c r="P93" s="87"/>
    </row>
    <row r="94" spans="1:16" ht="14.25" customHeight="1">
      <c r="A94" s="207"/>
      <c r="B94" s="210"/>
      <c r="C94" s="201" t="s">
        <v>2567</v>
      </c>
      <c r="D94" s="201"/>
      <c r="E94" s="201"/>
      <c r="F94" s="201"/>
      <c r="G94" s="203"/>
      <c r="H94" s="201"/>
      <c r="I94" s="203"/>
      <c r="J94" s="203"/>
      <c r="K94" s="201"/>
      <c r="L94" s="213"/>
      <c r="M94" s="87"/>
      <c r="N94" s="87"/>
      <c r="O94" s="87"/>
      <c r="P94" s="87"/>
    </row>
    <row r="95" spans="1:16">
      <c r="A95" s="208"/>
      <c r="B95" s="211"/>
      <c r="C95" s="148" t="s">
        <v>2568</v>
      </c>
      <c r="D95" s="148" t="s">
        <v>2569</v>
      </c>
      <c r="E95" s="139" t="s">
        <v>2570</v>
      </c>
      <c r="F95" s="139" t="s">
        <v>2571</v>
      </c>
      <c r="G95" s="204"/>
      <c r="H95" s="205"/>
      <c r="I95" s="204"/>
      <c r="J95" s="173" t="s">
        <v>2584</v>
      </c>
      <c r="K95" s="205"/>
      <c r="L95" s="149" t="str">
        <f>J95</f>
        <v>40% or 38%</v>
      </c>
      <c r="M95" s="87"/>
      <c r="N95" s="87"/>
      <c r="O95" s="87"/>
      <c r="P95" s="87"/>
    </row>
    <row r="96" spans="1:16">
      <c r="A96" s="192" t="s">
        <v>2572</v>
      </c>
      <c r="B96" s="193" t="s">
        <v>430</v>
      </c>
      <c r="C96" s="120">
        <f>_xlfn.XLOOKUP($B96, $B$4:$B$45, C$4:C$45)</f>
        <v>44.306914735654445</v>
      </c>
      <c r="D96" s="120">
        <f>_xlfn.XLOOKUP($B96, $B$4:$B$45, D$4:D$45)</f>
        <v>5.3392152668460762</v>
      </c>
      <c r="E96" s="120">
        <f t="shared" ref="E96:K111" si="23">_xlfn.XLOOKUP($B96, $B$4:$B$45, E$4:E$45)</f>
        <v>50.35386999749948</v>
      </c>
      <c r="F96" s="120">
        <f t="shared" si="23"/>
        <v>0</v>
      </c>
      <c r="G96" s="163">
        <f t="shared" si="23"/>
        <v>1.15571</v>
      </c>
      <c r="H96" s="105">
        <f>_xlfn.XLOOKUP($B96, $B$4:$B$45, H$4:H$45)</f>
        <v>0.245</v>
      </c>
      <c r="I96" s="167">
        <f t="shared" ref="I96:K120" si="24">_xlfn.XLOOKUP($B96, $B$4:$B$45, I$4:I$45)</f>
        <v>0.66253026719921182</v>
      </c>
      <c r="J96" s="163">
        <f t="shared" si="23"/>
        <v>1.4128457948023192</v>
      </c>
      <c r="K96" s="136">
        <f t="shared" si="23"/>
        <v>6.4250000000000002E-2</v>
      </c>
      <c r="L96" s="105">
        <f t="shared" ref="L96:L120" si="25">IFERROR(K96*(J96-G96),"n/a")</f>
        <v>1.6520974816049007E-2</v>
      </c>
      <c r="M96" s="87"/>
      <c r="N96" s="87"/>
      <c r="O96" s="87"/>
      <c r="P96" s="87"/>
    </row>
    <row r="97" spans="1:16">
      <c r="A97" s="192" t="s">
        <v>2459</v>
      </c>
      <c r="B97" s="193" t="s">
        <v>610</v>
      </c>
      <c r="C97" s="137">
        <f t="shared" ref="C97:H120" si="26">_xlfn.XLOOKUP($B97, $B$4:$B$45, C$4:C$45)</f>
        <v>62.448371719759479</v>
      </c>
      <c r="D97" s="137">
        <f t="shared" si="26"/>
        <v>0</v>
      </c>
      <c r="E97" s="137">
        <f t="shared" si="23"/>
        <v>35.916692549130055</v>
      </c>
      <c r="F97" s="137">
        <f t="shared" si="23"/>
        <v>1.6349357311104638</v>
      </c>
      <c r="G97" s="120">
        <f t="shared" si="23"/>
        <v>0.85877409999999998</v>
      </c>
      <c r="H97" s="132">
        <f t="shared" si="23"/>
        <v>0.21639344262295082</v>
      </c>
      <c r="I97" s="120">
        <f t="shared" si="24"/>
        <v>0.35810200074326537</v>
      </c>
      <c r="J97" s="120">
        <f t="shared" si="23"/>
        <v>0.77901861473166079</v>
      </c>
      <c r="K97" s="145">
        <f t="shared" si="23"/>
        <v>6.4250000000000002E-2</v>
      </c>
      <c r="L97" s="180">
        <f t="shared" si="25"/>
        <v>-5.1242899284907936E-3</v>
      </c>
      <c r="M97" s="87"/>
      <c r="N97" s="87"/>
      <c r="O97" s="87"/>
      <c r="P97" s="87"/>
    </row>
    <row r="98" spans="1:16">
      <c r="A98" s="192" t="s">
        <v>2460</v>
      </c>
      <c r="B98" s="193" t="s">
        <v>445</v>
      </c>
      <c r="C98" s="137">
        <f t="shared" si="26"/>
        <v>48.728250475051112</v>
      </c>
      <c r="D98" s="137">
        <f t="shared" si="26"/>
        <v>4.8737641917640868</v>
      </c>
      <c r="E98" s="137">
        <f t="shared" si="23"/>
        <v>46.397985333184806</v>
      </c>
      <c r="F98" s="137">
        <f t="shared" si="23"/>
        <v>0</v>
      </c>
      <c r="G98" s="120">
        <f t="shared" si="23"/>
        <v>0.71881010000000001</v>
      </c>
      <c r="H98" s="132">
        <f t="shared" si="23"/>
        <v>0.11</v>
      </c>
      <c r="I98" s="120">
        <f t="shared" si="24"/>
        <v>0.3544102165601925</v>
      </c>
      <c r="J98" s="120">
        <f t="shared" si="23"/>
        <v>0.82754785566804945</v>
      </c>
      <c r="K98" s="145">
        <f t="shared" si="23"/>
        <v>6.4250000000000002E-2</v>
      </c>
      <c r="L98" s="180">
        <f t="shared" si="25"/>
        <v>6.9864008016721768E-3</v>
      </c>
      <c r="M98" s="87"/>
      <c r="N98" s="87"/>
      <c r="O98" s="87"/>
      <c r="P98" s="87"/>
    </row>
    <row r="99" spans="1:16">
      <c r="A99" s="192" t="s">
        <v>2461</v>
      </c>
      <c r="B99" s="193" t="s">
        <v>652</v>
      </c>
      <c r="C99" s="137">
        <f t="shared" si="26"/>
        <v>46.71986217527315</v>
      </c>
      <c r="D99" s="137">
        <f t="shared" si="26"/>
        <v>1.813483247948497</v>
      </c>
      <c r="E99" s="137">
        <f t="shared" si="23"/>
        <v>51.466654576778346</v>
      </c>
      <c r="F99" s="137">
        <f t="shared" si="23"/>
        <v>0</v>
      </c>
      <c r="G99" s="120">
        <f t="shared" si="23"/>
        <v>0.93412499999999998</v>
      </c>
      <c r="H99" s="132">
        <f t="shared" si="23"/>
        <v>0.23400000000000001</v>
      </c>
      <c r="I99" s="120">
        <f t="shared" si="24"/>
        <v>0.54235734090015209</v>
      </c>
      <c r="J99" s="120">
        <f t="shared" si="23"/>
        <v>1.1655259255944268</v>
      </c>
      <c r="K99" s="145">
        <f t="shared" si="23"/>
        <v>6.4250000000000002E-2</v>
      </c>
      <c r="L99" s="180">
        <f t="shared" si="25"/>
        <v>1.4867509469441924E-2</v>
      </c>
      <c r="M99" s="87"/>
      <c r="N99" s="87"/>
      <c r="O99" s="87"/>
      <c r="P99" s="87"/>
    </row>
    <row r="100" spans="1:16">
      <c r="A100" s="103" t="s">
        <v>2573</v>
      </c>
      <c r="B100" s="88" t="s">
        <v>637</v>
      </c>
      <c r="C100" s="120">
        <f t="shared" si="26"/>
        <v>47.355037157675632</v>
      </c>
      <c r="D100" s="120">
        <f t="shared" si="26"/>
        <v>0.31757233184007161</v>
      </c>
      <c r="E100" s="120">
        <f t="shared" si="23"/>
        <v>52.327390510484292</v>
      </c>
      <c r="F100" s="120">
        <f t="shared" si="23"/>
        <v>0</v>
      </c>
      <c r="G100" s="120">
        <f t="shared" si="23"/>
        <v>0.72239589999999998</v>
      </c>
      <c r="H100" s="132">
        <f t="shared" si="23"/>
        <v>0.14599999999999999</v>
      </c>
      <c r="I100" s="120">
        <f t="shared" si="24"/>
        <v>0.40628948861517949</v>
      </c>
      <c r="J100" s="120">
        <f>_xlfn.XLOOKUP($B100, $B$4:$B$45, J$4:J$45)</f>
        <v>0.92674632353122433</v>
      </c>
      <c r="K100" s="130">
        <f t="shared" si="23"/>
        <v>6.4250000000000002E-2</v>
      </c>
      <c r="L100" s="132">
        <f t="shared" si="25"/>
        <v>1.3129514711881165E-2</v>
      </c>
      <c r="M100" s="87"/>
      <c r="N100" s="87"/>
      <c r="O100" s="87"/>
      <c r="P100" s="87"/>
    </row>
    <row r="101" spans="1:16">
      <c r="A101" s="103" t="s">
        <v>2574</v>
      </c>
      <c r="B101" s="88" t="s">
        <v>2504</v>
      </c>
      <c r="C101" s="120">
        <f t="shared" si="26"/>
        <v>53.684566532636879</v>
      </c>
      <c r="D101" s="120">
        <f t="shared" si="26"/>
        <v>1.048438615610086</v>
      </c>
      <c r="E101" s="120">
        <f t="shared" si="23"/>
        <v>45.266994851753033</v>
      </c>
      <c r="F101" s="120">
        <f t="shared" si="23"/>
        <v>0</v>
      </c>
      <c r="G101" s="120">
        <f t="shared" si="23"/>
        <v>0.69190260000000003</v>
      </c>
      <c r="H101" s="132">
        <f t="shared" si="23"/>
        <v>0.13993710691823899</v>
      </c>
      <c r="I101" s="120">
        <f t="shared" si="24"/>
        <v>0.33918207448428689</v>
      </c>
      <c r="J101" s="120">
        <f t="shared" si="23"/>
        <v>0.7767589488779304</v>
      </c>
      <c r="K101" s="130">
        <f t="shared" si="23"/>
        <v>6.4250000000000002E-2</v>
      </c>
      <c r="L101" s="132">
        <f t="shared" si="25"/>
        <v>5.4520204154070257E-3</v>
      </c>
      <c r="M101" s="87"/>
      <c r="N101" s="87"/>
      <c r="O101" s="87"/>
      <c r="P101" s="87"/>
    </row>
    <row r="102" spans="1:16">
      <c r="A102" s="103" t="s">
        <v>2400</v>
      </c>
      <c r="B102" s="88" t="s">
        <v>2401</v>
      </c>
      <c r="C102" s="120">
        <f t="shared" si="26"/>
        <v>46.885162988888972</v>
      </c>
      <c r="D102" s="120">
        <f t="shared" si="26"/>
        <v>2.1180154043814552</v>
      </c>
      <c r="E102" s="120">
        <f t="shared" si="23"/>
        <v>50.996821606729569</v>
      </c>
      <c r="F102" s="120">
        <f t="shared" si="23"/>
        <v>0</v>
      </c>
      <c r="G102" s="120">
        <f t="shared" si="23"/>
        <v>0.87370040181842501</v>
      </c>
      <c r="H102" s="132">
        <f t="shared" si="23"/>
        <v>6.0000000000000001E-3</v>
      </c>
      <c r="I102" s="120">
        <f t="shared" si="24"/>
        <v>0.44687332809757929</v>
      </c>
      <c r="J102" s="120">
        <f t="shared" si="23"/>
        <v>1.1131614602910698</v>
      </c>
      <c r="K102" s="130">
        <f t="shared" si="23"/>
        <v>6.4250000000000002E-2</v>
      </c>
      <c r="L102" s="132">
        <f t="shared" si="25"/>
        <v>1.5385373006867426E-2</v>
      </c>
      <c r="M102" s="87"/>
      <c r="N102" s="87"/>
      <c r="O102" s="87"/>
      <c r="P102" s="87"/>
    </row>
    <row r="103" spans="1:16">
      <c r="A103" s="103" t="s">
        <v>2402</v>
      </c>
      <c r="B103" s="88" t="s">
        <v>1930</v>
      </c>
      <c r="C103" s="120">
        <f t="shared" si="26"/>
        <v>44.137938601801629</v>
      </c>
      <c r="D103" s="120">
        <f t="shared" si="26"/>
        <v>3.6925678334463385</v>
      </c>
      <c r="E103" s="120">
        <f t="shared" si="23"/>
        <v>51.679468047752806</v>
      </c>
      <c r="F103" s="120">
        <f t="shared" si="23"/>
        <v>0.49002551699922514</v>
      </c>
      <c r="G103" s="120">
        <f t="shared" si="23"/>
        <v>0.83927651394938352</v>
      </c>
      <c r="H103" s="132">
        <f t="shared" si="23"/>
        <v>0.12</v>
      </c>
      <c r="I103" s="120">
        <f t="shared" si="24"/>
        <v>0.46043159752266721</v>
      </c>
      <c r="J103" s="120">
        <f t="shared" si="23"/>
        <v>1.0682013062525879</v>
      </c>
      <c r="K103" s="130">
        <f t="shared" si="23"/>
        <v>6.4250000000000002E-2</v>
      </c>
      <c r="L103" s="132">
        <f t="shared" si="25"/>
        <v>1.4708417905480883E-2</v>
      </c>
      <c r="M103" s="87"/>
      <c r="N103" s="87"/>
      <c r="O103" s="87"/>
      <c r="P103" s="87"/>
    </row>
    <row r="104" spans="1:16">
      <c r="A104" s="103" t="s">
        <v>2403</v>
      </c>
      <c r="B104" s="88" t="s">
        <v>946</v>
      </c>
      <c r="C104" s="120">
        <f t="shared" si="26"/>
        <v>50.695105118023719</v>
      </c>
      <c r="D104" s="120">
        <f t="shared" si="26"/>
        <v>1.6546185080761218</v>
      </c>
      <c r="E104" s="120">
        <f t="shared" si="23"/>
        <v>47.650276373900155</v>
      </c>
      <c r="F104" s="120">
        <f t="shared" si="23"/>
        <v>0</v>
      </c>
      <c r="G104" s="120">
        <f t="shared" si="23"/>
        <v>0.84497239355831155</v>
      </c>
      <c r="H104" s="132">
        <f t="shared" si="23"/>
        <v>0.21</v>
      </c>
      <c r="I104" s="120">
        <f t="shared" si="24"/>
        <v>0.45236181432771438</v>
      </c>
      <c r="J104" s="120">
        <f t="shared" si="23"/>
        <v>0.98841056430605578</v>
      </c>
      <c r="K104" s="130">
        <f t="shared" si="23"/>
        <v>6.4250000000000002E-2</v>
      </c>
      <c r="L104" s="132">
        <f t="shared" si="25"/>
        <v>9.2159024705425665E-3</v>
      </c>
      <c r="M104" s="87"/>
      <c r="N104" s="87"/>
      <c r="O104" s="87"/>
      <c r="P104" s="87"/>
    </row>
    <row r="105" spans="1:16">
      <c r="A105" s="103" t="s">
        <v>2415</v>
      </c>
      <c r="B105" s="88" t="s">
        <v>763</v>
      </c>
      <c r="C105" s="120">
        <f t="shared" si="26"/>
        <v>45.855890300126745</v>
      </c>
      <c r="D105" s="120">
        <f t="shared" si="26"/>
        <v>2.708600944757023</v>
      </c>
      <c r="E105" s="120">
        <f t="shared" si="23"/>
        <v>51.435508755116231</v>
      </c>
      <c r="F105" s="120">
        <f t="shared" si="23"/>
        <v>0</v>
      </c>
      <c r="G105" s="120">
        <f t="shared" si="23"/>
        <v>0.82378961834926434</v>
      </c>
      <c r="H105" s="132">
        <f t="shared" si="23"/>
        <v>9.1999999999999998E-2</v>
      </c>
      <c r="I105" s="120">
        <f t="shared" si="24"/>
        <v>0.4435373330010588</v>
      </c>
      <c r="J105" s="120">
        <f t="shared" si="23"/>
        <v>1.0476351805485009</v>
      </c>
      <c r="K105" s="130">
        <f t="shared" si="23"/>
        <v>6.4250000000000002E-2</v>
      </c>
      <c r="L105" s="132">
        <f t="shared" si="25"/>
        <v>1.438207737130095E-2</v>
      </c>
      <c r="M105" s="87"/>
      <c r="N105" s="87"/>
      <c r="O105" s="87"/>
      <c r="P105" s="87"/>
    </row>
    <row r="106" spans="1:16">
      <c r="A106" s="103" t="s">
        <v>2420</v>
      </c>
      <c r="B106" s="88" t="s">
        <v>1115</v>
      </c>
      <c r="C106" s="120">
        <f t="shared" si="26"/>
        <v>47.990985455774066</v>
      </c>
      <c r="D106" s="120">
        <f t="shared" si="26"/>
        <v>3.1016018350390078E-3</v>
      </c>
      <c r="E106" s="120">
        <f t="shared" si="23"/>
        <v>51.911648572894606</v>
      </c>
      <c r="F106" s="120">
        <f t="shared" si="23"/>
        <v>9.4264369496283557E-2</v>
      </c>
      <c r="G106" s="120">
        <f t="shared" si="23"/>
        <v>0.97465009387607859</v>
      </c>
      <c r="H106" s="132">
        <f t="shared" si="23"/>
        <v>0.161</v>
      </c>
      <c r="I106" s="120">
        <f t="shared" si="24"/>
        <v>0.54841657436860292</v>
      </c>
      <c r="J106" s="120">
        <f t="shared" si="23"/>
        <v>1.2385988332114894</v>
      </c>
      <c r="K106" s="130">
        <f t="shared" si="23"/>
        <v>6.4250000000000002E-2</v>
      </c>
      <c r="L106" s="132">
        <f t="shared" si="25"/>
        <v>1.6958706502300146E-2</v>
      </c>
      <c r="M106" s="87"/>
      <c r="N106" s="87"/>
      <c r="O106" s="87"/>
      <c r="P106" s="87"/>
    </row>
    <row r="107" spans="1:16">
      <c r="A107" s="103" t="s">
        <v>1328</v>
      </c>
      <c r="B107" s="88" t="s">
        <v>764</v>
      </c>
      <c r="C107" s="120">
        <f t="shared" si="26"/>
        <v>41.03249822202735</v>
      </c>
      <c r="D107" s="120">
        <f t="shared" si="26"/>
        <v>3.9376742073792692</v>
      </c>
      <c r="E107" s="120">
        <f t="shared" si="23"/>
        <v>54.436051094018232</v>
      </c>
      <c r="F107" s="120">
        <f t="shared" si="23"/>
        <v>0.59377647657514498</v>
      </c>
      <c r="G107" s="120">
        <f t="shared" si="23"/>
        <v>0.90169525929291461</v>
      </c>
      <c r="H107" s="132">
        <f t="shared" si="23"/>
        <v>0.19800000000000001</v>
      </c>
      <c r="I107" s="120">
        <f t="shared" si="24"/>
        <v>0.53952105767404257</v>
      </c>
      <c r="J107" s="120">
        <f t="shared" si="23"/>
        <v>1.1885648900559156</v>
      </c>
      <c r="K107" s="130">
        <f t="shared" si="23"/>
        <v>6.4250000000000002E-2</v>
      </c>
      <c r="L107" s="132">
        <f t="shared" si="25"/>
        <v>1.8431373776522812E-2</v>
      </c>
      <c r="M107" s="87"/>
      <c r="N107" s="87"/>
      <c r="O107" s="87"/>
      <c r="P107" s="87"/>
    </row>
    <row r="108" spans="1:16">
      <c r="A108" s="103" t="s">
        <v>2421</v>
      </c>
      <c r="B108" s="88" t="s">
        <v>1366</v>
      </c>
      <c r="C108" s="120">
        <f t="shared" si="26"/>
        <v>45.657238909721279</v>
      </c>
      <c r="D108" s="120">
        <f t="shared" si="26"/>
        <v>2.292903089536579</v>
      </c>
      <c r="E108" s="120">
        <f t="shared" si="23"/>
        <v>52.049858000742141</v>
      </c>
      <c r="F108" s="120">
        <f t="shared" si="23"/>
        <v>0</v>
      </c>
      <c r="G108" s="120">
        <f t="shared" si="23"/>
        <v>0.98249693606702992</v>
      </c>
      <c r="H108" s="132">
        <f t="shared" si="23"/>
        <v>0.13800000000000001</v>
      </c>
      <c r="I108" s="120">
        <f t="shared" si="24"/>
        <v>0.54762527978529307</v>
      </c>
      <c r="J108" s="120">
        <f t="shared" si="23"/>
        <v>1.2557047665476768</v>
      </c>
      <c r="K108" s="130">
        <f t="shared" si="23"/>
        <v>6.4250000000000002E-2</v>
      </c>
      <c r="L108" s="132">
        <f t="shared" si="25"/>
        <v>1.7553603108381565E-2</v>
      </c>
      <c r="M108" s="87"/>
      <c r="N108" s="87"/>
      <c r="O108" s="87"/>
      <c r="P108" s="87"/>
    </row>
    <row r="109" spans="1:16">
      <c r="A109" s="103" t="s">
        <v>2526</v>
      </c>
      <c r="B109" s="88" t="s">
        <v>2527</v>
      </c>
      <c r="C109" s="120">
        <f t="shared" si="26"/>
        <v>37.11398538865344</v>
      </c>
      <c r="D109" s="120">
        <f t="shared" si="26"/>
        <v>6.9546894248985778</v>
      </c>
      <c r="E109" s="120">
        <f t="shared" si="23"/>
        <v>55.931325186447992</v>
      </c>
      <c r="F109" s="120">
        <f t="shared" si="23"/>
        <v>0</v>
      </c>
      <c r="G109" s="120">
        <f t="shared" si="23"/>
        <v>0.8927250421094256</v>
      </c>
      <c r="H109" s="132">
        <f t="shared" si="23"/>
        <v>0.09</v>
      </c>
      <c r="I109" s="120">
        <f t="shared" si="24"/>
        <v>0.51993448780371287</v>
      </c>
      <c r="J109" s="120">
        <f>_xlfn.XLOOKUP($B109, $B$4:$B$45, J$4:J$45)</f>
        <v>1.2296450636557807</v>
      </c>
      <c r="K109" s="130">
        <f t="shared" si="23"/>
        <v>6.4250000000000002E-2</v>
      </c>
      <c r="L109" s="132">
        <f t="shared" si="25"/>
        <v>2.1647111384353317E-2</v>
      </c>
      <c r="M109" s="87"/>
      <c r="N109" s="87"/>
      <c r="O109" s="87"/>
      <c r="P109" s="87"/>
    </row>
    <row r="110" spans="1:16">
      <c r="A110" s="103" t="s">
        <v>2432</v>
      </c>
      <c r="B110" s="88" t="s">
        <v>1138</v>
      </c>
      <c r="C110" s="120">
        <f t="shared" si="26"/>
        <v>39.63717632338421</v>
      </c>
      <c r="D110" s="120">
        <f t="shared" si="26"/>
        <v>4.092051939106395</v>
      </c>
      <c r="E110" s="120">
        <f t="shared" si="23"/>
        <v>56.270771737509392</v>
      </c>
      <c r="F110" s="120">
        <f t="shared" si="23"/>
        <v>0</v>
      </c>
      <c r="G110" s="120">
        <f t="shared" si="23"/>
        <v>0.91219232010489681</v>
      </c>
      <c r="H110" s="132">
        <f t="shared" si="23"/>
        <v>0.125</v>
      </c>
      <c r="I110" s="120">
        <f t="shared" si="24"/>
        <v>0.54297765026569156</v>
      </c>
      <c r="J110" s="120">
        <f t="shared" si="23"/>
        <v>1.2556358162394117</v>
      </c>
      <c r="K110" s="130">
        <f t="shared" si="23"/>
        <v>6.4250000000000002E-2</v>
      </c>
      <c r="L110" s="132">
        <f t="shared" si="25"/>
        <v>2.206624462664258E-2</v>
      </c>
      <c r="M110" s="87"/>
      <c r="N110" s="87"/>
      <c r="O110" s="87"/>
      <c r="P110" s="87"/>
    </row>
    <row r="111" spans="1:16">
      <c r="A111" s="103" t="s">
        <v>2435</v>
      </c>
      <c r="B111" s="88" t="s">
        <v>766</v>
      </c>
      <c r="C111" s="120">
        <f t="shared" si="26"/>
        <v>46.068948359780592</v>
      </c>
      <c r="D111" s="120">
        <f t="shared" si="26"/>
        <v>0.85899541095311693</v>
      </c>
      <c r="E111" s="120">
        <f t="shared" si="23"/>
        <v>53.072056229266295</v>
      </c>
      <c r="F111" s="120">
        <f t="shared" si="23"/>
        <v>0</v>
      </c>
      <c r="G111" s="120">
        <f t="shared" si="23"/>
        <v>1.0177614823084606</v>
      </c>
      <c r="H111" s="132">
        <f t="shared" si="23"/>
        <v>0.12</v>
      </c>
      <c r="I111" s="120">
        <f t="shared" si="24"/>
        <v>0.57237966717457611</v>
      </c>
      <c r="J111" s="120">
        <f t="shared" si="23"/>
        <v>1.3279208278450165</v>
      </c>
      <c r="K111" s="130">
        <f t="shared" si="23"/>
        <v>6.4250000000000002E-2</v>
      </c>
      <c r="L111" s="132">
        <f t="shared" si="25"/>
        <v>1.9927737950723716E-2</v>
      </c>
      <c r="M111" s="87"/>
      <c r="N111" s="87"/>
      <c r="O111" s="87"/>
      <c r="P111" s="87"/>
    </row>
    <row r="112" spans="1:16">
      <c r="A112" s="103" t="s">
        <v>2442</v>
      </c>
      <c r="B112" s="88" t="s">
        <v>767</v>
      </c>
      <c r="C112" s="120">
        <f t="shared" si="26"/>
        <v>48.669564665105824</v>
      </c>
      <c r="D112" s="120">
        <f t="shared" si="26"/>
        <v>3.517963765468378</v>
      </c>
      <c r="E112" s="120">
        <f t="shared" si="26"/>
        <v>47.812471569425796</v>
      </c>
      <c r="F112" s="120">
        <f t="shared" si="26"/>
        <v>0</v>
      </c>
      <c r="G112" s="120">
        <f t="shared" si="26"/>
        <v>0.93579719106169845</v>
      </c>
      <c r="H112" s="132">
        <f t="shared" si="26"/>
        <v>0.129</v>
      </c>
      <c r="I112" s="120">
        <f t="shared" si="24"/>
        <v>0.47972368121953884</v>
      </c>
      <c r="J112" s="120">
        <f t="shared" si="24"/>
        <v>1.1064826707328663</v>
      </c>
      <c r="K112" s="130">
        <f t="shared" si="24"/>
        <v>6.4250000000000002E-2</v>
      </c>
      <c r="L112" s="132">
        <f t="shared" si="25"/>
        <v>1.0966542068872535E-2</v>
      </c>
      <c r="M112" s="87"/>
      <c r="N112" s="87"/>
      <c r="O112" s="87"/>
      <c r="P112" s="87"/>
    </row>
    <row r="113" spans="1:16">
      <c r="A113" s="103" t="s">
        <v>2447</v>
      </c>
      <c r="B113" s="88" t="s">
        <v>31</v>
      </c>
      <c r="C113" s="120">
        <f t="shared" si="26"/>
        <v>41.892933776472269</v>
      </c>
      <c r="D113" s="120">
        <f t="shared" si="26"/>
        <v>3.7193170735697159</v>
      </c>
      <c r="E113" s="120">
        <f t="shared" si="26"/>
        <v>54.387749149958019</v>
      </c>
      <c r="F113" s="120">
        <f t="shared" si="26"/>
        <v>0</v>
      </c>
      <c r="G113" s="120">
        <f t="shared" si="26"/>
        <v>1.0663522553431179</v>
      </c>
      <c r="H113" s="132">
        <f t="shared" si="26"/>
        <v>0.19900000000000001</v>
      </c>
      <c r="I113" s="120">
        <f t="shared" si="24"/>
        <v>0.63786275841933004</v>
      </c>
      <c r="J113" s="120">
        <f t="shared" si="24"/>
        <v>1.404254862660155</v>
      </c>
      <c r="K113" s="130">
        <f t="shared" si="24"/>
        <v>6.4250000000000002E-2</v>
      </c>
      <c r="L113" s="132">
        <f t="shared" si="25"/>
        <v>2.1710242520119629E-2</v>
      </c>
      <c r="M113" s="87"/>
      <c r="N113" s="87"/>
      <c r="O113" s="87"/>
      <c r="P113" s="87"/>
    </row>
    <row r="114" spans="1:16">
      <c r="A114" s="103" t="s">
        <v>2445</v>
      </c>
      <c r="B114" s="88" t="s">
        <v>2446</v>
      </c>
      <c r="C114" s="120">
        <f t="shared" si="26"/>
        <v>53.560996989944556</v>
      </c>
      <c r="D114" s="120">
        <f t="shared" si="26"/>
        <v>1.9531805171947958</v>
      </c>
      <c r="E114" s="120">
        <f t="shared" si="26"/>
        <v>44.485822492860642</v>
      </c>
      <c r="F114" s="120">
        <f t="shared" si="26"/>
        <v>0</v>
      </c>
      <c r="G114" s="120">
        <f t="shared" si="26"/>
        <v>0.87885600974494305</v>
      </c>
      <c r="H114" s="132">
        <f t="shared" si="26"/>
        <v>0.16800000000000001</v>
      </c>
      <c r="I114" s="120">
        <f t="shared" si="24"/>
        <v>0.4311797988385348</v>
      </c>
      <c r="J114" s="120">
        <f t="shared" si="24"/>
        <v>0.96929218778902615</v>
      </c>
      <c r="K114" s="130">
        <f t="shared" si="24"/>
        <v>6.4250000000000002E-2</v>
      </c>
      <c r="L114" s="132">
        <f t="shared" si="25"/>
        <v>5.8105244393323397E-3</v>
      </c>
      <c r="M114" s="87"/>
      <c r="N114" s="87"/>
      <c r="O114" s="87"/>
      <c r="P114" s="87"/>
    </row>
    <row r="115" spans="1:16">
      <c r="A115" s="103" t="s">
        <v>2450</v>
      </c>
      <c r="B115" s="88" t="s">
        <v>768</v>
      </c>
      <c r="C115" s="120">
        <f t="shared" si="26"/>
        <v>44.253102338740064</v>
      </c>
      <c r="D115" s="120">
        <f t="shared" si="26"/>
        <v>2.0601591204408196</v>
      </c>
      <c r="E115" s="120">
        <f t="shared" si="26"/>
        <v>53.686738540819114</v>
      </c>
      <c r="F115" s="120">
        <f t="shared" si="26"/>
        <v>0</v>
      </c>
      <c r="G115" s="120">
        <f t="shared" si="26"/>
        <v>0.89737403966762719</v>
      </c>
      <c r="H115" s="132">
        <f t="shared" si="26"/>
        <v>0.114</v>
      </c>
      <c r="I115" s="120">
        <f t="shared" si="24"/>
        <v>0.50862477680027351</v>
      </c>
      <c r="J115" s="120">
        <f t="shared" si="24"/>
        <v>1.1845871051678369</v>
      </c>
      <c r="K115" s="130">
        <f t="shared" si="24"/>
        <v>6.4250000000000002E-2</v>
      </c>
      <c r="L115" s="132">
        <f t="shared" si="25"/>
        <v>1.8453439458388479E-2</v>
      </c>
      <c r="M115" s="87"/>
      <c r="N115" s="87"/>
      <c r="O115" s="87"/>
      <c r="P115" s="87"/>
    </row>
    <row r="116" spans="1:16">
      <c r="A116" s="103" t="s">
        <v>2458</v>
      </c>
      <c r="B116" s="88" t="s">
        <v>2053</v>
      </c>
      <c r="C116" s="120">
        <f t="shared" si="26"/>
        <v>44.796038316387978</v>
      </c>
      <c r="D116" s="120">
        <f t="shared" si="26"/>
        <v>1.6055483333994263</v>
      </c>
      <c r="E116" s="120">
        <f t="shared" si="26"/>
        <v>53.598413350212603</v>
      </c>
      <c r="F116" s="120">
        <f t="shared" si="26"/>
        <v>0</v>
      </c>
      <c r="G116" s="120">
        <f t="shared" si="26"/>
        <v>0.82948435931460662</v>
      </c>
      <c r="H116" s="132" t="str">
        <f t="shared" si="26"/>
        <v>NMF</v>
      </c>
      <c r="I116" s="120" t="str">
        <f t="shared" si="24"/>
        <v>n/a</v>
      </c>
      <c r="J116" s="120" t="str">
        <f t="shared" si="24"/>
        <v>n/a</v>
      </c>
      <c r="K116" s="130">
        <f t="shared" si="24"/>
        <v>6.4250000000000002E-2</v>
      </c>
      <c r="L116" s="132" t="str">
        <f t="shared" si="25"/>
        <v>n/a</v>
      </c>
      <c r="M116" s="87"/>
      <c r="N116" s="87"/>
      <c r="O116" s="87"/>
      <c r="P116" s="87"/>
    </row>
    <row r="117" spans="1:16">
      <c r="A117" s="103" t="s">
        <v>2579</v>
      </c>
      <c r="B117" s="88" t="s">
        <v>2380</v>
      </c>
      <c r="C117" s="120">
        <f t="shared" si="26"/>
        <v>39.79750803770947</v>
      </c>
      <c r="D117" s="120">
        <f t="shared" si="26"/>
        <v>0</v>
      </c>
      <c r="E117" s="120">
        <f t="shared" si="26"/>
        <v>60.202491962290537</v>
      </c>
      <c r="F117" s="120">
        <f t="shared" si="26"/>
        <v>0</v>
      </c>
      <c r="G117" s="120">
        <f t="shared" si="26"/>
        <v>0.82918805364407167</v>
      </c>
      <c r="H117" s="132">
        <f t="shared" si="26"/>
        <v>0.114</v>
      </c>
      <c r="I117" s="120">
        <f t="shared" si="24"/>
        <v>0.52291613678608884</v>
      </c>
      <c r="J117" s="120">
        <f t="shared" si="24"/>
        <v>1.2788326953632845</v>
      </c>
      <c r="K117" s="130">
        <f t="shared" si="24"/>
        <v>6.4250000000000002E-2</v>
      </c>
      <c r="L117" s="194">
        <f t="shared" si="25"/>
        <v>2.8889668230459423E-2</v>
      </c>
      <c r="M117" s="87"/>
      <c r="N117" s="87"/>
      <c r="O117" s="87"/>
      <c r="P117" s="87"/>
    </row>
    <row r="118" spans="1:16">
      <c r="A118" s="103" t="s">
        <v>2387</v>
      </c>
      <c r="B118" s="88" t="s">
        <v>2388</v>
      </c>
      <c r="C118" s="120">
        <f t="shared" si="26"/>
        <v>52.398287974465219</v>
      </c>
      <c r="D118" s="120">
        <f t="shared" si="26"/>
        <v>0.63958919925185598</v>
      </c>
      <c r="E118" s="120">
        <f t="shared" si="26"/>
        <v>46.962122826282929</v>
      </c>
      <c r="F118" s="120">
        <f t="shared" si="26"/>
        <v>0</v>
      </c>
      <c r="G118" s="120">
        <f t="shared" si="26"/>
        <v>0.74464980030632322</v>
      </c>
      <c r="H118" s="132">
        <f t="shared" si="26"/>
        <v>0.25700000000000001</v>
      </c>
      <c r="I118" s="120">
        <f t="shared" si="24"/>
        <v>0.40489328183167222</v>
      </c>
      <c r="J118" s="120">
        <f t="shared" si="24"/>
        <v>0.89573049027529872</v>
      </c>
      <c r="K118" s="130">
        <f t="shared" si="24"/>
        <v>6.4250000000000002E-2</v>
      </c>
      <c r="L118" s="194">
        <f t="shared" si="25"/>
        <v>9.7069343305066762E-3</v>
      </c>
      <c r="M118" s="87"/>
      <c r="N118" s="87"/>
      <c r="O118" s="87"/>
      <c r="P118" s="87"/>
    </row>
    <row r="119" spans="1:16">
      <c r="A119" s="103" t="s">
        <v>2538</v>
      </c>
      <c r="B119" s="88" t="s">
        <v>2539</v>
      </c>
      <c r="C119" s="120">
        <f t="shared" si="26"/>
        <v>39.54935552780416</v>
      </c>
      <c r="D119" s="120">
        <f t="shared" si="26"/>
        <v>4.0505407783519159E-4</v>
      </c>
      <c r="E119" s="120">
        <f t="shared" si="26"/>
        <v>60.450239418118002</v>
      </c>
      <c r="F119" s="120">
        <f t="shared" si="26"/>
        <v>0</v>
      </c>
      <c r="G119" s="120">
        <f t="shared" si="26"/>
        <v>0.83247976724837924</v>
      </c>
      <c r="H119" s="132">
        <f t="shared" si="26"/>
        <v>0.14899999999999999</v>
      </c>
      <c r="I119" s="120">
        <f t="shared" si="24"/>
        <v>0.53474826981260637</v>
      </c>
      <c r="J119" s="120">
        <f t="shared" si="24"/>
        <v>1.2772321701245204</v>
      </c>
      <c r="K119" s="130">
        <f t="shared" si="24"/>
        <v>6.4250000000000002E-2</v>
      </c>
      <c r="L119" s="194">
        <f t="shared" si="25"/>
        <v>2.857534188479207E-2</v>
      </c>
      <c r="M119" s="87"/>
      <c r="N119" s="87"/>
      <c r="O119" s="87"/>
      <c r="P119" s="87"/>
    </row>
    <row r="120" spans="1:16">
      <c r="A120" s="103" t="s">
        <v>2540</v>
      </c>
      <c r="B120" s="88" t="s">
        <v>2541</v>
      </c>
      <c r="C120" s="120">
        <f t="shared" si="26"/>
        <v>42.863774092268784</v>
      </c>
      <c r="D120" s="120">
        <f t="shared" si="26"/>
        <v>10.86671947546769</v>
      </c>
      <c r="E120" s="120">
        <f t="shared" si="26"/>
        <v>46.269506432263526</v>
      </c>
      <c r="F120" s="120">
        <f t="shared" si="26"/>
        <v>0</v>
      </c>
      <c r="G120" s="120">
        <f t="shared" si="26"/>
        <v>0.86346076191264043</v>
      </c>
      <c r="H120" s="132">
        <f t="shared" si="26"/>
        <v>0.151</v>
      </c>
      <c r="I120" s="120">
        <f t="shared" si="24"/>
        <v>0.43479529949811913</v>
      </c>
      <c r="J120" s="120">
        <f t="shared" si="24"/>
        <v>1.03707832515554</v>
      </c>
      <c r="K120" s="130">
        <f t="shared" si="24"/>
        <v>6.4250000000000002E-2</v>
      </c>
      <c r="L120" s="194">
        <f t="shared" si="25"/>
        <v>1.1154928438356297E-2</v>
      </c>
      <c r="M120" s="87"/>
      <c r="N120" s="87"/>
      <c r="O120" s="87"/>
      <c r="P120" s="87"/>
    </row>
    <row r="121" spans="1:16" ht="14" thickBot="1">
      <c r="A121" s="151" t="s">
        <v>2575</v>
      </c>
      <c r="B121" s="108"/>
      <c r="C121" s="166"/>
      <c r="D121" s="166"/>
      <c r="E121" s="166">
        <f>AVERAGE(E96:E120)</f>
        <v>51.000757166617539</v>
      </c>
      <c r="F121" s="166"/>
      <c r="G121" s="166">
        <f>AVERAGE(G96:G120)</f>
        <v>0.88090479998710391</v>
      </c>
      <c r="H121" s="108"/>
      <c r="I121" s="166"/>
      <c r="J121" s="166"/>
      <c r="K121" s="195"/>
      <c r="L121" s="196">
        <f>AVERAGE(L96:L120)</f>
        <v>1.4890679156662661E-2</v>
      </c>
      <c r="M121" s="87"/>
      <c r="N121" s="87"/>
      <c r="O121" s="87"/>
      <c r="P121" s="87"/>
    </row>
    <row r="123" spans="1:16" s="94" customFormat="1">
      <c r="A123" s="92" t="s">
        <v>2505</v>
      </c>
      <c r="B123" s="174"/>
      <c r="E123" s="175"/>
      <c r="F123" s="104"/>
      <c r="G123" s="168"/>
      <c r="H123" s="96"/>
      <c r="I123" s="168"/>
      <c r="J123" s="168"/>
      <c r="K123" s="96"/>
      <c r="L123" s="181"/>
      <c r="M123" s="96"/>
    </row>
    <row r="124" spans="1:16" s="94" customFormat="1">
      <c r="A124" s="83" t="s">
        <v>2585</v>
      </c>
      <c r="B124" s="174"/>
      <c r="E124" s="175"/>
      <c r="F124" s="104"/>
      <c r="G124" s="168"/>
      <c r="H124" s="96"/>
      <c r="I124" s="168"/>
      <c r="J124" s="168"/>
      <c r="K124" s="96"/>
      <c r="L124" s="181"/>
      <c r="M124" s="96"/>
    </row>
    <row r="125" spans="1:16" s="94" customFormat="1">
      <c r="A125" s="83" t="s">
        <v>2586</v>
      </c>
      <c r="B125" s="174"/>
      <c r="E125" s="175"/>
      <c r="F125" s="104"/>
      <c r="G125" s="168"/>
      <c r="H125" s="96"/>
      <c r="I125" s="168"/>
      <c r="J125" s="168"/>
      <c r="K125" s="96"/>
      <c r="L125" s="181"/>
      <c r="M125" s="96"/>
    </row>
    <row r="126" spans="1:16" s="94" customFormat="1">
      <c r="A126" s="83" t="s">
        <v>2587</v>
      </c>
      <c r="B126" s="174"/>
      <c r="E126" s="175"/>
      <c r="F126" s="168"/>
      <c r="G126" s="168"/>
      <c r="H126" s="96"/>
      <c r="I126" s="168"/>
      <c r="J126" s="168"/>
      <c r="K126" s="96"/>
      <c r="L126" s="181"/>
      <c r="M126" s="96"/>
    </row>
    <row r="127" spans="1:16" s="94" customFormat="1">
      <c r="A127" s="83" t="s">
        <v>2588</v>
      </c>
      <c r="B127" s="95"/>
      <c r="E127" s="175"/>
      <c r="F127" s="168"/>
      <c r="G127" s="168"/>
      <c r="H127" s="96"/>
      <c r="I127" s="168"/>
      <c r="J127" s="168"/>
      <c r="K127" s="96"/>
      <c r="L127" s="181"/>
      <c r="M127" s="96"/>
    </row>
    <row r="128" spans="1:16" s="94" customFormat="1">
      <c r="A128" s="83" t="s">
        <v>2589</v>
      </c>
      <c r="B128" s="174"/>
      <c r="E128" s="175"/>
      <c r="F128" s="168"/>
      <c r="G128" s="168"/>
      <c r="H128" s="96"/>
      <c r="I128" s="168"/>
      <c r="J128" s="168"/>
      <c r="K128" s="96"/>
      <c r="L128" s="181"/>
    </row>
    <row r="129" spans="1:12" s="94" customFormat="1">
      <c r="A129" s="83" t="s">
        <v>2590</v>
      </c>
      <c r="B129" s="174"/>
      <c r="E129" s="175"/>
      <c r="F129" s="168"/>
      <c r="G129" s="168"/>
      <c r="H129" s="96"/>
      <c r="I129" s="168"/>
      <c r="J129" s="168"/>
      <c r="K129" s="96"/>
      <c r="L129" s="181"/>
    </row>
    <row r="130" spans="1:12" s="94" customFormat="1">
      <c r="A130" s="83" t="s">
        <v>2591</v>
      </c>
      <c r="B130" s="174"/>
      <c r="E130" s="175"/>
      <c r="F130" s="168"/>
      <c r="G130" s="168"/>
      <c r="H130" s="96"/>
      <c r="I130" s="168"/>
      <c r="J130" s="168"/>
      <c r="K130" s="96"/>
      <c r="L130" s="181"/>
    </row>
    <row r="131" spans="1:12" s="94" customFormat="1">
      <c r="A131" s="83" t="s">
        <v>2592</v>
      </c>
      <c r="B131" s="174"/>
      <c r="E131" s="175"/>
      <c r="F131" s="168"/>
      <c r="G131" s="168"/>
      <c r="H131" s="96"/>
      <c r="I131" s="168"/>
      <c r="J131" s="168"/>
      <c r="K131" s="96"/>
      <c r="L131" s="181"/>
    </row>
    <row r="132" spans="1:12" s="94" customFormat="1">
      <c r="A132" s="83" t="s">
        <v>2593</v>
      </c>
      <c r="B132" s="174"/>
      <c r="E132" s="175"/>
      <c r="F132" s="168"/>
      <c r="G132" s="168"/>
      <c r="H132" s="96"/>
      <c r="I132" s="168"/>
      <c r="J132" s="168"/>
      <c r="K132" s="96"/>
      <c r="L132" s="181"/>
    </row>
  </sheetData>
  <mergeCells count="61">
    <mergeCell ref="A93:A95"/>
    <mergeCell ref="B93:B95"/>
    <mergeCell ref="C93:F93"/>
    <mergeCell ref="G93:G95"/>
    <mergeCell ref="H93:H95"/>
    <mergeCell ref="I76:I78"/>
    <mergeCell ref="J76:J77"/>
    <mergeCell ref="K76:K78"/>
    <mergeCell ref="L93:L94"/>
    <mergeCell ref="C94:F94"/>
    <mergeCell ref="L76:L77"/>
    <mergeCell ref="C77:F77"/>
    <mergeCell ref="I93:I95"/>
    <mergeCell ref="J93:J94"/>
    <mergeCell ref="K93:K95"/>
    <mergeCell ref="A76:A78"/>
    <mergeCell ref="B76:B78"/>
    <mergeCell ref="C76:F76"/>
    <mergeCell ref="G76:G78"/>
    <mergeCell ref="H76:H78"/>
    <mergeCell ref="I50:I52"/>
    <mergeCell ref="J50:J51"/>
    <mergeCell ref="K50:K52"/>
    <mergeCell ref="L50:L51"/>
    <mergeCell ref="C51:F51"/>
    <mergeCell ref="A50:A52"/>
    <mergeCell ref="B50:B52"/>
    <mergeCell ref="C50:F50"/>
    <mergeCell ref="G50:G52"/>
    <mergeCell ref="H50:H52"/>
    <mergeCell ref="I39:I41"/>
    <mergeCell ref="J39:J40"/>
    <mergeCell ref="K39:K41"/>
    <mergeCell ref="L39:L40"/>
    <mergeCell ref="C40:F40"/>
    <mergeCell ref="A39:A41"/>
    <mergeCell ref="B39:B41"/>
    <mergeCell ref="C39:F39"/>
    <mergeCell ref="G39:G41"/>
    <mergeCell ref="H39:H41"/>
    <mergeCell ref="L4:L5"/>
    <mergeCell ref="C5:F5"/>
    <mergeCell ref="A17:A19"/>
    <mergeCell ref="B17:B19"/>
    <mergeCell ref="C17:F17"/>
    <mergeCell ref="G17:G19"/>
    <mergeCell ref="H17:H19"/>
    <mergeCell ref="I17:I19"/>
    <mergeCell ref="J17:J18"/>
    <mergeCell ref="K17:K19"/>
    <mergeCell ref="L17:L18"/>
    <mergeCell ref="C18:F18"/>
    <mergeCell ref="A1:K1"/>
    <mergeCell ref="A4:A6"/>
    <mergeCell ref="B4:B6"/>
    <mergeCell ref="C4:F4"/>
    <mergeCell ref="G4:G6"/>
    <mergeCell ref="H4:H6"/>
    <mergeCell ref="I4:I6"/>
    <mergeCell ref="J4:J5"/>
    <mergeCell ref="K4:K6"/>
  </mergeCells>
  <hyperlinks>
    <hyperlink ref="J124" r:id="rId1" display="https://corporatefinanceinstitute.com/resources/knowledge/valuation/unlevered-beta-asset-beta/" xr:uid="{75936E8D-65D5-4A66-94FD-C2F5754930BA}"/>
  </hyperlinks>
  <printOptions horizontalCentered="1"/>
  <pageMargins left="0.27" right="0.27" top="0.86755952380952395" bottom="0.75" header="0.3" footer="0.3"/>
  <pageSetup scale="55" fitToWidth="0" fitToHeight="0" orientation="landscape" useFirstPageNumber="1" r:id="rId2"/>
  <headerFooter>
    <oddHeader>&amp;R&amp;"Century Gothic,Regular"&amp;11Ontario Energy Assn.
Exhibit CEA-7.1
Page &amp;P of 3</oddHeader>
  </headerFooter>
  <rowBreaks count="1" manualBreakCount="1">
    <brk id="37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47EF-0978-4CF3-B502-AC6F5E6978A4}">
  <dimension ref="A1:P132"/>
  <sheetViews>
    <sheetView zoomScale="90" zoomScaleNormal="90" zoomScaleSheetLayoutView="85" workbookViewId="0">
      <selection activeCell="P32" sqref="P32"/>
    </sheetView>
  </sheetViews>
  <sheetFormatPr defaultColWidth="9" defaultRowHeight="13.5"/>
  <cols>
    <col min="1" max="1" width="40.5" style="156" customWidth="1"/>
    <col min="2" max="4" width="14.5" style="122" customWidth="1"/>
    <col min="5" max="5" width="16.25" style="147" customWidth="1"/>
    <col min="6" max="7" width="14.5" style="147" customWidth="1"/>
    <col min="8" max="8" width="14.5" style="122" customWidth="1"/>
    <col min="9" max="10" width="14.5" style="147" customWidth="1"/>
    <col min="11" max="11" width="14.5" style="122" customWidth="1"/>
    <col min="12" max="12" width="22.75" style="179" customWidth="1"/>
    <col min="13" max="16" width="9" style="122"/>
    <col min="17" max="16384" width="9" style="102"/>
  </cols>
  <sheetData>
    <row r="1" spans="1:16" ht="17.5">
      <c r="A1" s="199" t="s">
        <v>2597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32"/>
      <c r="M1" s="88"/>
      <c r="N1" s="88"/>
      <c r="O1" s="88"/>
      <c r="P1" s="88"/>
    </row>
    <row r="2" spans="1:16" ht="14">
      <c r="A2" s="150"/>
      <c r="B2" s="121"/>
      <c r="C2" s="121"/>
      <c r="D2" s="121"/>
      <c r="E2" s="162"/>
      <c r="F2" s="162"/>
      <c r="G2" s="162"/>
      <c r="H2" s="121"/>
      <c r="I2" s="162"/>
      <c r="J2" s="162"/>
      <c r="K2" s="121"/>
      <c r="L2" s="176"/>
      <c r="M2" s="88"/>
      <c r="N2" s="88"/>
      <c r="O2" s="88"/>
      <c r="P2" s="88"/>
    </row>
    <row r="3" spans="1:16" ht="14" thickBot="1">
      <c r="A3" s="103"/>
      <c r="B3" s="88"/>
      <c r="C3" s="88" t="s">
        <v>2466</v>
      </c>
      <c r="D3" s="88"/>
      <c r="E3" s="120" t="s">
        <v>2467</v>
      </c>
      <c r="F3" s="120" t="s">
        <v>2468</v>
      </c>
      <c r="G3" s="120" t="s">
        <v>2469</v>
      </c>
      <c r="H3" s="88" t="s">
        <v>2470</v>
      </c>
      <c r="I3" s="120" t="s">
        <v>2471</v>
      </c>
      <c r="J3" s="120" t="s">
        <v>2472</v>
      </c>
      <c r="K3" s="88" t="s">
        <v>2473</v>
      </c>
      <c r="L3" s="132" t="s">
        <v>2474</v>
      </c>
      <c r="M3" s="88"/>
      <c r="N3" s="88"/>
      <c r="O3" s="88"/>
      <c r="P3" s="88"/>
    </row>
    <row r="4" spans="1:16" ht="15.4" customHeight="1">
      <c r="A4" s="206" t="s">
        <v>2559</v>
      </c>
      <c r="B4" s="209" t="s">
        <v>1</v>
      </c>
      <c r="C4" s="200" t="s">
        <v>2560</v>
      </c>
      <c r="D4" s="200"/>
      <c r="E4" s="200"/>
      <c r="F4" s="200"/>
      <c r="G4" s="202" t="s">
        <v>2561</v>
      </c>
      <c r="H4" s="200" t="s">
        <v>2562</v>
      </c>
      <c r="I4" s="202" t="s">
        <v>2563</v>
      </c>
      <c r="J4" s="202" t="s">
        <v>2564</v>
      </c>
      <c r="K4" s="200" t="s">
        <v>2598</v>
      </c>
      <c r="L4" s="212" t="s">
        <v>2566</v>
      </c>
      <c r="M4" s="88"/>
      <c r="N4" s="88"/>
      <c r="O4" s="88"/>
      <c r="P4" s="88"/>
    </row>
    <row r="5" spans="1:16">
      <c r="A5" s="207"/>
      <c r="B5" s="210"/>
      <c r="C5" s="201" t="s">
        <v>2567</v>
      </c>
      <c r="D5" s="201"/>
      <c r="E5" s="201"/>
      <c r="F5" s="201"/>
      <c r="G5" s="203"/>
      <c r="H5" s="201"/>
      <c r="I5" s="203"/>
      <c r="J5" s="203"/>
      <c r="K5" s="201"/>
      <c r="L5" s="213"/>
      <c r="M5" s="88"/>
      <c r="N5" s="88"/>
      <c r="O5" s="88"/>
      <c r="P5" s="88"/>
    </row>
    <row r="6" spans="1:16">
      <c r="A6" s="208"/>
      <c r="B6" s="211"/>
      <c r="C6" s="148" t="s">
        <v>2568</v>
      </c>
      <c r="D6" s="148" t="s">
        <v>2569</v>
      </c>
      <c r="E6" s="139" t="s">
        <v>2570</v>
      </c>
      <c r="F6" s="139" t="s">
        <v>2571</v>
      </c>
      <c r="G6" s="204"/>
      <c r="H6" s="205"/>
      <c r="I6" s="204"/>
      <c r="J6" s="173">
        <v>0.45</v>
      </c>
      <c r="K6" s="205"/>
      <c r="L6" s="149">
        <f>J6</f>
        <v>0.45</v>
      </c>
      <c r="M6" s="88"/>
      <c r="N6" s="88"/>
      <c r="O6" s="88"/>
      <c r="P6" s="88"/>
    </row>
    <row r="7" spans="1:16">
      <c r="A7" s="99" t="s">
        <v>2572</v>
      </c>
      <c r="B7" s="89" t="s">
        <v>430</v>
      </c>
      <c r="C7" s="157">
        <v>44.306914735654445</v>
      </c>
      <c r="D7" s="157">
        <v>5.3392152668460762</v>
      </c>
      <c r="E7" s="157">
        <v>50.35386999749948</v>
      </c>
      <c r="F7" s="104">
        <v>0</v>
      </c>
      <c r="G7" s="104">
        <v>1.15571</v>
      </c>
      <c r="H7" s="98">
        <v>0.245</v>
      </c>
      <c r="I7" s="104">
        <f>IFERROR(G7/(1+(1-H7)*((C7+D7+F7)/E7)),"n/a")</f>
        <v>0.66253026719921182</v>
      </c>
      <c r="J7" s="104">
        <f>IFERROR(I7*(1+(1-H7)*((1-J$6)/(J$6))),"n/a")</f>
        <v>1.2738984748758178</v>
      </c>
      <c r="K7" s="126">
        <f>AVERAGE(5.68%,7.17%)</f>
        <v>6.4250000000000002E-2</v>
      </c>
      <c r="L7" s="133">
        <f>IFERROR(K7*(J7-G7),"n/a")</f>
        <v>7.5936095107712901E-3</v>
      </c>
      <c r="M7" s="141"/>
      <c r="N7" s="141"/>
      <c r="O7" s="135"/>
      <c r="P7" s="135"/>
    </row>
    <row r="8" spans="1:16">
      <c r="A8" s="99" t="s">
        <v>2459</v>
      </c>
      <c r="B8" s="89" t="s">
        <v>610</v>
      </c>
      <c r="C8" s="157">
        <v>62.448371719759479</v>
      </c>
      <c r="D8" s="157">
        <v>0</v>
      </c>
      <c r="E8" s="157">
        <v>35.916692549130055</v>
      </c>
      <c r="F8" s="104">
        <v>1.6349357311104638</v>
      </c>
      <c r="G8" s="104">
        <v>0.85877409999999998</v>
      </c>
      <c r="H8" s="98">
        <f>198/915</f>
        <v>0.21639344262295082</v>
      </c>
      <c r="I8" s="104">
        <f t="shared" ref="I8:I12" si="0">IFERROR(G8/(1+(1-H8)*((C8+D8+F8)/E8)),"n/a")</f>
        <v>0.35810200074326537</v>
      </c>
      <c r="J8" s="104">
        <f t="shared" ref="J8:J12" si="1">IFERROR(I8*(1+(1-H8)*((1-J$6)/(J$6))),"n/a")</f>
        <v>0.7010710936226987</v>
      </c>
      <c r="K8" s="126">
        <f>$K$7</f>
        <v>6.4250000000000002E-2</v>
      </c>
      <c r="L8" s="133">
        <f t="shared" ref="L8:L12" si="2">IFERROR(K8*(J8-G8),"n/a")</f>
        <v>-1.0132418159741608E-2</v>
      </c>
      <c r="M8" s="141"/>
      <c r="N8" s="141"/>
      <c r="O8" s="135"/>
      <c r="P8" s="135"/>
    </row>
    <row r="9" spans="1:16">
      <c r="A9" s="99" t="s">
        <v>2460</v>
      </c>
      <c r="B9" s="89" t="s">
        <v>445</v>
      </c>
      <c r="C9" s="157">
        <v>48.728250475051112</v>
      </c>
      <c r="D9" s="157">
        <v>4.8737641917640868</v>
      </c>
      <c r="E9" s="157">
        <v>46.397985333184806</v>
      </c>
      <c r="F9" s="104">
        <v>0</v>
      </c>
      <c r="G9" s="104">
        <v>0.71881010000000001</v>
      </c>
      <c r="H9" s="98">
        <v>0.11</v>
      </c>
      <c r="I9" s="104">
        <f t="shared" si="0"/>
        <v>0.3544102165601925</v>
      </c>
      <c r="J9" s="104">
        <f t="shared" si="1"/>
        <v>0.73992977435177987</v>
      </c>
      <c r="K9" s="126">
        <f t="shared" ref="K9:K12" si="3">$K$7</f>
        <v>6.4250000000000002E-2</v>
      </c>
      <c r="L9" s="133">
        <f t="shared" si="2"/>
        <v>1.3569390771018561E-3</v>
      </c>
      <c r="M9" s="141"/>
      <c r="N9" s="141"/>
      <c r="O9" s="135"/>
      <c r="P9" s="135"/>
    </row>
    <row r="10" spans="1:16">
      <c r="A10" s="99" t="s">
        <v>2461</v>
      </c>
      <c r="B10" s="89" t="s">
        <v>652</v>
      </c>
      <c r="C10" s="157">
        <v>46.71986217527315</v>
      </c>
      <c r="D10" s="157">
        <v>1.813483247948497</v>
      </c>
      <c r="E10" s="157">
        <v>51.466654576778346</v>
      </c>
      <c r="F10" s="104">
        <v>0</v>
      </c>
      <c r="G10" s="104">
        <v>0.93412499999999998</v>
      </c>
      <c r="H10" s="98">
        <v>0.23400000000000001</v>
      </c>
      <c r="I10" s="104">
        <f t="shared" si="0"/>
        <v>0.54235734090015209</v>
      </c>
      <c r="J10" s="104">
        <f t="shared" si="1"/>
        <v>1.0501243358362278</v>
      </c>
      <c r="K10" s="126">
        <f t="shared" si="3"/>
        <v>6.4250000000000002E-2</v>
      </c>
      <c r="L10" s="133">
        <f t="shared" si="2"/>
        <v>7.4529573274776358E-3</v>
      </c>
      <c r="M10" s="141"/>
      <c r="N10" s="141"/>
      <c r="O10" s="135"/>
      <c r="P10" s="135"/>
    </row>
    <row r="11" spans="1:16">
      <c r="A11" s="103" t="s">
        <v>2573</v>
      </c>
      <c r="B11" s="88" t="s">
        <v>637</v>
      </c>
      <c r="C11" s="157">
        <v>47.355037157675632</v>
      </c>
      <c r="D11" s="157">
        <v>0.31757233184007161</v>
      </c>
      <c r="E11" s="157">
        <v>52.327390510484292</v>
      </c>
      <c r="F11" s="104">
        <v>0</v>
      </c>
      <c r="G11" s="104">
        <v>0.72239589999999998</v>
      </c>
      <c r="H11" s="98">
        <v>0.14599999999999999</v>
      </c>
      <c r="I11" s="104">
        <f t="shared" si="0"/>
        <v>0.40628948861517949</v>
      </c>
      <c r="J11" s="104">
        <f t="shared" si="1"/>
        <v>0.83036542817640124</v>
      </c>
      <c r="K11" s="126">
        <f t="shared" si="3"/>
        <v>6.4250000000000002E-2</v>
      </c>
      <c r="L11" s="133">
        <f t="shared" si="2"/>
        <v>6.9370421853337813E-3</v>
      </c>
      <c r="M11" s="142"/>
      <c r="N11" s="141"/>
      <c r="O11" s="135"/>
      <c r="P11" s="135"/>
    </row>
    <row r="12" spans="1:16">
      <c r="A12" s="158" t="s">
        <v>2574</v>
      </c>
      <c r="B12" s="129" t="s">
        <v>2504</v>
      </c>
      <c r="C12" s="159">
        <v>53.684566532636879</v>
      </c>
      <c r="D12" s="159">
        <v>1.048438615610086</v>
      </c>
      <c r="E12" s="159">
        <v>45.266994851753033</v>
      </c>
      <c r="F12" s="118">
        <v>0</v>
      </c>
      <c r="G12" s="118">
        <v>0.69190260000000003</v>
      </c>
      <c r="H12" s="182">
        <f>178/1272</f>
        <v>0.13993710691823899</v>
      </c>
      <c r="I12" s="118">
        <f t="shared" si="0"/>
        <v>0.33918207448428689</v>
      </c>
      <c r="J12" s="118">
        <f t="shared" si="1"/>
        <v>0.69572619436058925</v>
      </c>
      <c r="K12" s="160">
        <f t="shared" si="3"/>
        <v>6.4250000000000002E-2</v>
      </c>
      <c r="L12" s="146">
        <f t="shared" si="2"/>
        <v>2.4566593766785683E-4</v>
      </c>
      <c r="M12" s="141"/>
      <c r="N12" s="141"/>
      <c r="O12" s="135"/>
      <c r="P12" s="135"/>
    </row>
    <row r="13" spans="1:16" ht="14" thickBot="1">
      <c r="A13" s="154" t="s">
        <v>2575</v>
      </c>
      <c r="B13" s="125"/>
      <c r="C13" s="123"/>
      <c r="D13" s="123"/>
      <c r="E13" s="161">
        <f>AVERAGE(E7:E12)</f>
        <v>46.954931303138345</v>
      </c>
      <c r="F13" s="123"/>
      <c r="G13" s="161">
        <f>AVERAGE(G7:G12)</f>
        <v>0.84695294999999993</v>
      </c>
      <c r="H13" s="124"/>
      <c r="I13" s="161"/>
      <c r="J13" s="161"/>
      <c r="K13" s="127"/>
      <c r="L13" s="177">
        <f>AVERAGE(L7:L12)</f>
        <v>2.242299313101802E-3</v>
      </c>
      <c r="M13" s="88"/>
      <c r="N13" s="88"/>
      <c r="O13" s="88"/>
      <c r="P13" s="88"/>
    </row>
    <row r="14" spans="1:16">
      <c r="A14" s="140"/>
      <c r="B14" s="88"/>
      <c r="C14" s="95"/>
      <c r="D14" s="95"/>
      <c r="E14" s="120"/>
      <c r="F14" s="120"/>
      <c r="G14" s="120"/>
      <c r="H14" s="88"/>
      <c r="I14" s="120"/>
      <c r="J14" s="120"/>
      <c r="K14" s="88"/>
      <c r="L14" s="132"/>
      <c r="M14" s="88"/>
      <c r="N14" s="88"/>
      <c r="O14" s="88"/>
      <c r="P14" s="88"/>
    </row>
    <row r="15" spans="1:16">
      <c r="A15" s="140"/>
      <c r="B15" s="88"/>
      <c r="C15" s="95"/>
      <c r="D15" s="95"/>
      <c r="E15" s="120"/>
      <c r="F15" s="120"/>
      <c r="G15" s="120"/>
      <c r="H15" s="88"/>
      <c r="I15" s="120"/>
      <c r="J15" s="120"/>
      <c r="K15" s="88"/>
      <c r="L15" s="132"/>
      <c r="M15" s="88"/>
      <c r="N15" s="88"/>
      <c r="O15" s="88"/>
      <c r="P15" s="88"/>
    </row>
    <row r="16" spans="1:16" ht="14" thickBot="1">
      <c r="A16" s="103"/>
      <c r="B16" s="88"/>
      <c r="C16" s="88"/>
      <c r="D16" s="88"/>
      <c r="E16" s="120"/>
      <c r="F16" s="120"/>
      <c r="G16" s="120"/>
      <c r="H16" s="88"/>
      <c r="I16" s="120"/>
      <c r="J16" s="120"/>
      <c r="K16" s="88"/>
      <c r="L16" s="132"/>
      <c r="M16" s="88"/>
      <c r="N16" s="88"/>
      <c r="O16" s="88"/>
      <c r="P16" s="88"/>
    </row>
    <row r="17" spans="1:16" ht="14.25" customHeight="1">
      <c r="A17" s="206" t="s">
        <v>2576</v>
      </c>
      <c r="B17" s="209" t="s">
        <v>1</v>
      </c>
      <c r="C17" s="200" t="s">
        <v>2560</v>
      </c>
      <c r="D17" s="200"/>
      <c r="E17" s="200"/>
      <c r="F17" s="200"/>
      <c r="G17" s="202" t="s">
        <v>2561</v>
      </c>
      <c r="H17" s="200" t="s">
        <v>2562</v>
      </c>
      <c r="I17" s="202" t="s">
        <v>2563</v>
      </c>
      <c r="J17" s="202" t="s">
        <v>2564</v>
      </c>
      <c r="K17" s="200" t="str">
        <f>K4</f>
        <v>Historical Equity Risk Premium</v>
      </c>
      <c r="L17" s="212" t="s">
        <v>2566</v>
      </c>
      <c r="M17" s="88"/>
      <c r="N17" s="88"/>
      <c r="O17" s="88"/>
      <c r="P17" s="88"/>
    </row>
    <row r="18" spans="1:16" ht="14.25" customHeight="1">
      <c r="A18" s="207"/>
      <c r="B18" s="210"/>
      <c r="C18" s="201" t="s">
        <v>2577</v>
      </c>
      <c r="D18" s="201"/>
      <c r="E18" s="201"/>
      <c r="F18" s="201"/>
      <c r="G18" s="203"/>
      <c r="H18" s="201"/>
      <c r="I18" s="203"/>
      <c r="J18" s="203"/>
      <c r="K18" s="201"/>
      <c r="L18" s="213"/>
      <c r="M18" s="88"/>
      <c r="N18" s="88"/>
      <c r="O18" s="88"/>
      <c r="P18" s="88"/>
    </row>
    <row r="19" spans="1:16">
      <c r="A19" s="208"/>
      <c r="B19" s="211"/>
      <c r="C19" s="148" t="s">
        <v>2568</v>
      </c>
      <c r="D19" s="148" t="s">
        <v>2569</v>
      </c>
      <c r="E19" s="139" t="s">
        <v>2570</v>
      </c>
      <c r="F19" s="139" t="s">
        <v>2571</v>
      </c>
      <c r="G19" s="204"/>
      <c r="H19" s="205"/>
      <c r="I19" s="204"/>
      <c r="J19" s="173">
        <v>0.45</v>
      </c>
      <c r="K19" s="205"/>
      <c r="L19" s="149">
        <f>J19</f>
        <v>0.45</v>
      </c>
      <c r="M19" s="88"/>
      <c r="N19" s="88"/>
      <c r="O19" s="88"/>
      <c r="P19" s="88"/>
    </row>
    <row r="20" spans="1:16">
      <c r="A20" s="152" t="s">
        <v>2400</v>
      </c>
      <c r="B20" s="128" t="s">
        <v>2401</v>
      </c>
      <c r="C20" s="137">
        <v>46.885162988888972</v>
      </c>
      <c r="D20" s="137">
        <v>2.1180154043814552</v>
      </c>
      <c r="E20" s="137">
        <v>50.996821606729569</v>
      </c>
      <c r="F20" s="137">
        <v>0</v>
      </c>
      <c r="G20" s="104">
        <v>0.87370040181842501</v>
      </c>
      <c r="H20" s="98">
        <v>6.0000000000000001E-3</v>
      </c>
      <c r="I20" s="104">
        <f>IFERROR(G20/(1+(1-H20)*((C20+D20+F20)/E20)),"n/a")</f>
        <v>0.44687332809757929</v>
      </c>
      <c r="J20" s="104">
        <f>IFERROR(I20*(1+(1-H20)*((1-J$19)/(J$19))),"n/a")</f>
        <v>0.98977476914412732</v>
      </c>
      <c r="K20" s="105">
        <f t="shared" ref="K20:K34" si="4">$K$7</f>
        <v>6.4250000000000002E-2</v>
      </c>
      <c r="L20" s="133">
        <f>IFERROR(K20*(J20-G20),"n/a")</f>
        <v>7.4577781006763735E-3</v>
      </c>
      <c r="M20" s="88"/>
      <c r="N20" s="88"/>
      <c r="O20" s="88"/>
      <c r="P20" s="88"/>
    </row>
    <row r="21" spans="1:16">
      <c r="A21" s="140" t="s">
        <v>2402</v>
      </c>
      <c r="B21" s="95" t="s">
        <v>1930</v>
      </c>
      <c r="C21" s="137">
        <v>44.137938601801629</v>
      </c>
      <c r="D21" s="137">
        <v>3.6925678334463385</v>
      </c>
      <c r="E21" s="137">
        <v>51.679468047752806</v>
      </c>
      <c r="F21" s="137">
        <v>0.49002551699922514</v>
      </c>
      <c r="G21" s="163">
        <v>0.83927651394938352</v>
      </c>
      <c r="H21" s="105">
        <v>0.12</v>
      </c>
      <c r="I21" s="104">
        <f t="shared" ref="I21:I34" si="5">IFERROR(G21/(1+(1-H21)*((C21+D21+F21)/E21)),"n/a")</f>
        <v>0.46043159752266721</v>
      </c>
      <c r="J21" s="163">
        <f t="shared" ref="J21:J34" si="6">IFERROR(I21*(1+(1-H21)*((1-J$19)/(J$19))),"n/a")</f>
        <v>0.95565136019149166</v>
      </c>
      <c r="K21" s="105">
        <f t="shared" si="4"/>
        <v>6.4250000000000002E-2</v>
      </c>
      <c r="L21" s="105">
        <f t="shared" ref="L21:L34" si="7">IFERROR(K21*(J21-G21),"n/a")</f>
        <v>7.4770838710554481E-3</v>
      </c>
      <c r="M21" s="141"/>
      <c r="N21" s="141"/>
      <c r="O21" s="135"/>
      <c r="P21" s="135"/>
    </row>
    <row r="22" spans="1:16">
      <c r="A22" s="140" t="s">
        <v>2403</v>
      </c>
      <c r="B22" s="95" t="s">
        <v>946</v>
      </c>
      <c r="C22" s="137">
        <v>50.695105118023719</v>
      </c>
      <c r="D22" s="137">
        <v>1.6546185080761218</v>
      </c>
      <c r="E22" s="137">
        <v>47.650276373900155</v>
      </c>
      <c r="F22" s="137">
        <v>0</v>
      </c>
      <c r="G22" s="163">
        <v>0.84497239355831155</v>
      </c>
      <c r="H22" s="105">
        <v>0.21</v>
      </c>
      <c r="I22" s="104">
        <f t="shared" si="5"/>
        <v>0.45236181432771438</v>
      </c>
      <c r="J22" s="163">
        <f t="shared" si="6"/>
        <v>0.88914227727302975</v>
      </c>
      <c r="K22" s="105">
        <f t="shared" si="4"/>
        <v>6.4250000000000002E-2</v>
      </c>
      <c r="L22" s="105">
        <f t="shared" si="7"/>
        <v>2.8379150286706439E-3</v>
      </c>
      <c r="M22" s="141"/>
      <c r="N22" s="141"/>
      <c r="O22" s="135"/>
      <c r="P22" s="135"/>
    </row>
    <row r="23" spans="1:16">
      <c r="A23" s="140" t="s">
        <v>2415</v>
      </c>
      <c r="B23" s="95" t="s">
        <v>763</v>
      </c>
      <c r="C23" s="137">
        <v>45.855890300126745</v>
      </c>
      <c r="D23" s="137">
        <v>2.708600944757023</v>
      </c>
      <c r="E23" s="137">
        <v>51.435508755116231</v>
      </c>
      <c r="F23" s="137">
        <v>0</v>
      </c>
      <c r="G23" s="163">
        <v>0.82378961834926434</v>
      </c>
      <c r="H23" s="105">
        <v>9.1999999999999998E-2</v>
      </c>
      <c r="I23" s="104">
        <f t="shared" si="5"/>
        <v>0.4435373330010588</v>
      </c>
      <c r="J23" s="163">
        <f t="shared" si="6"/>
        <v>0.9357652087804561</v>
      </c>
      <c r="K23" s="105">
        <f t="shared" si="4"/>
        <v>6.4250000000000002E-2</v>
      </c>
      <c r="L23" s="105">
        <f t="shared" si="7"/>
        <v>7.1944316852040708E-3</v>
      </c>
      <c r="M23" s="141"/>
      <c r="N23" s="141"/>
      <c r="O23" s="135"/>
      <c r="P23" s="135"/>
    </row>
    <row r="24" spans="1:16">
      <c r="A24" s="140" t="s">
        <v>2420</v>
      </c>
      <c r="B24" s="95" t="s">
        <v>1115</v>
      </c>
      <c r="C24" s="137">
        <v>47.990985455774066</v>
      </c>
      <c r="D24" s="137">
        <v>3.1016018350390078E-3</v>
      </c>
      <c r="E24" s="137">
        <v>51.911648572894606</v>
      </c>
      <c r="F24" s="137">
        <v>9.4264369496283557E-2</v>
      </c>
      <c r="G24" s="163">
        <v>0.97465009387607859</v>
      </c>
      <c r="H24" s="105">
        <v>0.161</v>
      </c>
      <c r="I24" s="104">
        <f t="shared" si="5"/>
        <v>0.54841657436860292</v>
      </c>
      <c r="J24" s="163">
        <f t="shared" si="6"/>
        <v>1.1107873037961402</v>
      </c>
      <c r="K24" s="105">
        <f t="shared" si="4"/>
        <v>6.4250000000000002E-2</v>
      </c>
      <c r="L24" s="105">
        <f t="shared" si="7"/>
        <v>8.7468157373639596E-3</v>
      </c>
      <c r="M24" s="141"/>
      <c r="N24" s="141"/>
      <c r="O24" s="135"/>
      <c r="P24" s="135"/>
    </row>
    <row r="25" spans="1:16">
      <c r="A25" s="140" t="s">
        <v>1328</v>
      </c>
      <c r="B25" s="95" t="s">
        <v>764</v>
      </c>
      <c r="C25" s="137">
        <v>41.03249822202735</v>
      </c>
      <c r="D25" s="137">
        <v>3.9376742073792692</v>
      </c>
      <c r="E25" s="137">
        <v>54.436051094018232</v>
      </c>
      <c r="F25" s="137">
        <v>0.59377647657514498</v>
      </c>
      <c r="G25" s="163">
        <v>0.90169525929291461</v>
      </c>
      <c r="H25" s="105">
        <v>0.19800000000000001</v>
      </c>
      <c r="I25" s="104">
        <f t="shared" si="5"/>
        <v>0.53952105767404257</v>
      </c>
      <c r="J25" s="163">
        <f t="shared" si="6"/>
        <v>1.0683715877629762</v>
      </c>
      <c r="K25" s="105">
        <f t="shared" si="4"/>
        <v>6.4250000000000002E-2</v>
      </c>
      <c r="L25" s="105">
        <f t="shared" si="7"/>
        <v>1.0708954104201461E-2</v>
      </c>
      <c r="M25" s="141"/>
      <c r="N25" s="141"/>
      <c r="O25" s="135"/>
      <c r="P25" s="135"/>
    </row>
    <row r="26" spans="1:16">
      <c r="A26" s="140" t="s">
        <v>2421</v>
      </c>
      <c r="B26" s="95" t="s">
        <v>1366</v>
      </c>
      <c r="C26" s="137">
        <v>45.657238909721279</v>
      </c>
      <c r="D26" s="137">
        <v>2.292903089536579</v>
      </c>
      <c r="E26" s="137">
        <v>52.049858000742141</v>
      </c>
      <c r="F26" s="137">
        <v>0</v>
      </c>
      <c r="G26" s="163">
        <v>0.98249693606702992</v>
      </c>
      <c r="H26" s="105">
        <v>0.13800000000000001</v>
      </c>
      <c r="I26" s="104">
        <f t="shared" si="5"/>
        <v>0.54762527978529307</v>
      </c>
      <c r="J26" s="163">
        <f t="shared" si="6"/>
        <v>1.1245789356657541</v>
      </c>
      <c r="K26" s="105">
        <f t="shared" si="4"/>
        <v>6.4250000000000002E-2</v>
      </c>
      <c r="L26" s="105">
        <f t="shared" si="7"/>
        <v>9.1287684742180266E-3</v>
      </c>
      <c r="M26" s="141"/>
      <c r="N26" s="141"/>
      <c r="O26" s="135"/>
      <c r="P26" s="135"/>
    </row>
    <row r="27" spans="1:16">
      <c r="A27" s="140" t="s">
        <v>2526</v>
      </c>
      <c r="B27" s="95" t="s">
        <v>2527</v>
      </c>
      <c r="C27" s="137">
        <v>37.11398538865344</v>
      </c>
      <c r="D27" s="137">
        <v>6.9546894248985778</v>
      </c>
      <c r="E27" s="137">
        <v>55.931325186447992</v>
      </c>
      <c r="F27" s="137">
        <v>0</v>
      </c>
      <c r="G27" s="163">
        <v>0.8927250421094256</v>
      </c>
      <c r="H27" s="105">
        <v>0.09</v>
      </c>
      <c r="I27" s="104">
        <f t="shared" si="5"/>
        <v>0.51993448780371287</v>
      </c>
      <c r="J27" s="163">
        <f t="shared" si="6"/>
        <v>1.0982171792387314</v>
      </c>
      <c r="K27" s="105">
        <f t="shared" si="4"/>
        <v>6.4250000000000002E-2</v>
      </c>
      <c r="L27" s="105">
        <f t="shared" si="7"/>
        <v>1.3202869810557898E-2</v>
      </c>
      <c r="M27" s="141"/>
      <c r="N27" s="141"/>
      <c r="O27" s="135"/>
      <c r="P27" s="135"/>
    </row>
    <row r="28" spans="1:16">
      <c r="A28" s="140" t="s">
        <v>2432</v>
      </c>
      <c r="B28" s="95" t="s">
        <v>1138</v>
      </c>
      <c r="C28" s="137">
        <v>39.63717632338421</v>
      </c>
      <c r="D28" s="137">
        <v>4.092051939106395</v>
      </c>
      <c r="E28" s="137">
        <v>56.270771737509392</v>
      </c>
      <c r="F28" s="137">
        <v>0</v>
      </c>
      <c r="G28" s="163">
        <v>0.91219232010489681</v>
      </c>
      <c r="H28" s="105">
        <v>0.125</v>
      </c>
      <c r="I28" s="104">
        <f t="shared" si="5"/>
        <v>0.54297765026569156</v>
      </c>
      <c r="J28" s="163">
        <f t="shared" si="6"/>
        <v>1.123662081799834</v>
      </c>
      <c r="K28" s="105">
        <f t="shared" si="4"/>
        <v>6.4250000000000002E-2</v>
      </c>
      <c r="L28" s="105">
        <f t="shared" si="7"/>
        <v>1.3586932188899711E-2</v>
      </c>
      <c r="M28" s="141"/>
      <c r="N28" s="141"/>
      <c r="O28" s="135"/>
      <c r="P28" s="135"/>
    </row>
    <row r="29" spans="1:16">
      <c r="A29" s="140" t="s">
        <v>2435</v>
      </c>
      <c r="B29" s="95" t="s">
        <v>766</v>
      </c>
      <c r="C29" s="137">
        <v>46.068948359780592</v>
      </c>
      <c r="D29" s="137">
        <v>0.85899541095311693</v>
      </c>
      <c r="E29" s="137">
        <v>53.072056229266295</v>
      </c>
      <c r="F29" s="137">
        <v>0</v>
      </c>
      <c r="G29" s="163">
        <v>1.0177614823084606</v>
      </c>
      <c r="H29" s="105">
        <v>0.12</v>
      </c>
      <c r="I29" s="104">
        <f t="shared" si="5"/>
        <v>0.57237966717457611</v>
      </c>
      <c r="J29" s="163">
        <f t="shared" si="6"/>
        <v>1.1880057980912315</v>
      </c>
      <c r="K29" s="105">
        <f t="shared" si="4"/>
        <v>6.4250000000000002E-2</v>
      </c>
      <c r="L29" s="105">
        <f t="shared" si="7"/>
        <v>1.0938197289043029E-2</v>
      </c>
      <c r="M29" s="141"/>
      <c r="N29" s="141"/>
      <c r="O29" s="135"/>
      <c r="P29" s="135"/>
    </row>
    <row r="30" spans="1:16">
      <c r="A30" s="140" t="s">
        <v>2442</v>
      </c>
      <c r="B30" s="95" t="s">
        <v>767</v>
      </c>
      <c r="C30" s="137">
        <v>48.669564665105824</v>
      </c>
      <c r="D30" s="137">
        <v>3.517963765468378</v>
      </c>
      <c r="E30" s="137">
        <v>47.812471569425796</v>
      </c>
      <c r="F30" s="137">
        <v>0</v>
      </c>
      <c r="G30" s="163">
        <v>0.93579719106169845</v>
      </c>
      <c r="H30" s="105">
        <v>0.129</v>
      </c>
      <c r="I30" s="104">
        <f t="shared" si="5"/>
        <v>0.47972368121953884</v>
      </c>
      <c r="J30" s="163">
        <f t="shared" si="6"/>
        <v>0.99041619119336133</v>
      </c>
      <c r="K30" s="105">
        <f t="shared" si="4"/>
        <v>6.4250000000000002E-2</v>
      </c>
      <c r="L30" s="105">
        <f t="shared" si="7"/>
        <v>3.5092707584593397E-3</v>
      </c>
      <c r="M30" s="141"/>
      <c r="N30" s="141"/>
      <c r="O30" s="135"/>
      <c r="P30" s="135"/>
    </row>
    <row r="31" spans="1:16">
      <c r="A31" s="140" t="s">
        <v>2447</v>
      </c>
      <c r="B31" s="95" t="s">
        <v>31</v>
      </c>
      <c r="C31" s="137">
        <v>41.892933776472269</v>
      </c>
      <c r="D31" s="137">
        <v>3.7193170735697159</v>
      </c>
      <c r="E31" s="137">
        <v>54.387749149958019</v>
      </c>
      <c r="F31" s="137">
        <v>0</v>
      </c>
      <c r="G31" s="163">
        <v>1.0663522553431179</v>
      </c>
      <c r="H31" s="105">
        <v>0.19900000000000001</v>
      </c>
      <c r="I31" s="104">
        <f t="shared" si="5"/>
        <v>0.63786275841933004</v>
      </c>
      <c r="J31" s="163">
        <f t="shared" si="6"/>
        <v>1.2623303989118542</v>
      </c>
      <c r="K31" s="105">
        <f t="shared" si="4"/>
        <v>6.4250000000000002E-2</v>
      </c>
      <c r="L31" s="105">
        <f t="shared" si="7"/>
        <v>1.2591595724291303E-2</v>
      </c>
      <c r="M31" s="141"/>
      <c r="N31" s="141"/>
      <c r="O31" s="135"/>
      <c r="P31" s="135"/>
    </row>
    <row r="32" spans="1:16">
      <c r="A32" s="140" t="s">
        <v>2445</v>
      </c>
      <c r="B32" s="95" t="s">
        <v>2446</v>
      </c>
      <c r="C32" s="137">
        <v>53.560996989944556</v>
      </c>
      <c r="D32" s="137">
        <v>1.9531805171947958</v>
      </c>
      <c r="E32" s="137">
        <v>44.485822492860642</v>
      </c>
      <c r="F32" s="137">
        <v>0</v>
      </c>
      <c r="G32" s="163">
        <v>0.87885600974494305</v>
      </c>
      <c r="H32" s="105">
        <v>0.16800000000000001</v>
      </c>
      <c r="I32" s="104">
        <f t="shared" si="5"/>
        <v>0.4311797988385348</v>
      </c>
      <c r="J32" s="163">
        <f t="shared" si="6"/>
        <v>0.86964174539078709</v>
      </c>
      <c r="K32" s="105">
        <f t="shared" si="4"/>
        <v>6.4250000000000002E-2</v>
      </c>
      <c r="L32" s="105">
        <f t="shared" si="7"/>
        <v>-5.9201648475452006E-4</v>
      </c>
      <c r="M32" s="141"/>
      <c r="N32" s="141"/>
      <c r="O32" s="135"/>
      <c r="P32" s="135"/>
    </row>
    <row r="33" spans="1:16">
      <c r="A33" s="140" t="s">
        <v>2450</v>
      </c>
      <c r="B33" s="95" t="s">
        <v>768</v>
      </c>
      <c r="C33" s="137">
        <v>44.253102338740064</v>
      </c>
      <c r="D33" s="137">
        <v>2.0601591204408196</v>
      </c>
      <c r="E33" s="137">
        <v>53.686738540819114</v>
      </c>
      <c r="F33" s="137">
        <v>0</v>
      </c>
      <c r="G33" s="163">
        <v>0.89737403966762719</v>
      </c>
      <c r="H33" s="105">
        <v>0.114</v>
      </c>
      <c r="I33" s="104">
        <f t="shared" si="5"/>
        <v>0.50862477680027351</v>
      </c>
      <c r="J33" s="163">
        <f t="shared" si="6"/>
        <v>1.059408896210881</v>
      </c>
      <c r="K33" s="105">
        <f t="shared" si="4"/>
        <v>6.4250000000000002E-2</v>
      </c>
      <c r="L33" s="105">
        <f t="shared" si="7"/>
        <v>1.0410739532904056E-2</v>
      </c>
      <c r="M33" s="141"/>
      <c r="N33" s="141"/>
      <c r="O33" s="135"/>
      <c r="P33" s="135"/>
    </row>
    <row r="34" spans="1:16">
      <c r="A34" s="140" t="s">
        <v>2458</v>
      </c>
      <c r="B34" s="95" t="s">
        <v>2053</v>
      </c>
      <c r="C34" s="137">
        <v>44.796038316387978</v>
      </c>
      <c r="D34" s="137">
        <v>1.6055483333994263</v>
      </c>
      <c r="E34" s="137">
        <v>53.598413350212603</v>
      </c>
      <c r="F34" s="137">
        <v>0</v>
      </c>
      <c r="G34" s="164">
        <v>0.82948435931460662</v>
      </c>
      <c r="H34" s="119" t="s">
        <v>2440</v>
      </c>
      <c r="I34" s="118" t="str">
        <f t="shared" si="5"/>
        <v>n/a</v>
      </c>
      <c r="J34" s="164" t="str">
        <f t="shared" si="6"/>
        <v>n/a</v>
      </c>
      <c r="K34" s="119">
        <f t="shared" si="4"/>
        <v>6.4250000000000002E-2</v>
      </c>
      <c r="L34" s="119" t="str">
        <f t="shared" si="7"/>
        <v>n/a</v>
      </c>
      <c r="M34" s="141"/>
      <c r="N34" s="141"/>
      <c r="O34" s="135"/>
      <c r="P34" s="135"/>
    </row>
    <row r="35" spans="1:16" ht="14" thickBot="1">
      <c r="A35" s="151" t="s">
        <v>2575</v>
      </c>
      <c r="B35" s="106"/>
      <c r="C35" s="107"/>
      <c r="D35" s="107"/>
      <c r="E35" s="107">
        <f>AVERAGE(E20:E34)</f>
        <v>51.960332047176898</v>
      </c>
      <c r="F35" s="107"/>
      <c r="G35" s="107">
        <f>AVERAGE(G20:G34)</f>
        <v>0.9114082611044122</v>
      </c>
      <c r="H35" s="124"/>
      <c r="I35" s="161"/>
      <c r="J35" s="161"/>
      <c r="K35" s="127"/>
      <c r="L35" s="143">
        <f>AVERAGE(L20:L34)</f>
        <v>8.3713811300564871E-3</v>
      </c>
      <c r="M35" s="88"/>
      <c r="N35" s="88"/>
      <c r="O35" s="88"/>
      <c r="P35" s="88"/>
    </row>
    <row r="36" spans="1:16">
      <c r="A36" s="103"/>
      <c r="B36" s="95"/>
      <c r="C36" s="104"/>
      <c r="D36" s="104"/>
      <c r="E36" s="104"/>
      <c r="F36" s="104"/>
      <c r="G36" s="120"/>
      <c r="H36" s="88"/>
      <c r="I36" s="120"/>
      <c r="J36" s="120"/>
      <c r="K36" s="130"/>
      <c r="L36" s="132"/>
      <c r="M36" s="88"/>
      <c r="N36" s="88"/>
      <c r="O36" s="88"/>
      <c r="P36" s="88"/>
    </row>
    <row r="37" spans="1:16">
      <c r="A37" s="103"/>
      <c r="B37" s="95"/>
      <c r="C37" s="104"/>
      <c r="D37" s="104"/>
      <c r="E37" s="104"/>
      <c r="F37" s="104"/>
      <c r="G37" s="120"/>
      <c r="H37" s="88"/>
      <c r="I37" s="120"/>
      <c r="J37" s="120"/>
      <c r="K37" s="130"/>
      <c r="L37" s="132"/>
      <c r="M37" s="88"/>
      <c r="N37" s="88"/>
      <c r="O37" s="88"/>
      <c r="P37" s="88"/>
    </row>
    <row r="38" spans="1:16" ht="14" thickBot="1">
      <c r="A38" s="103"/>
      <c r="B38" s="88"/>
      <c r="C38" s="88"/>
      <c r="D38" s="88"/>
      <c r="E38" s="120"/>
      <c r="F38" s="120"/>
      <c r="G38" s="120"/>
      <c r="H38" s="88"/>
      <c r="I38" s="120"/>
      <c r="J38" s="120"/>
      <c r="K38" s="88"/>
      <c r="L38" s="132"/>
      <c r="M38" s="88"/>
      <c r="N38" s="88"/>
      <c r="O38" s="88"/>
      <c r="P38" s="88"/>
    </row>
    <row r="39" spans="1:16" ht="14.25" customHeight="1">
      <c r="A39" s="206" t="s">
        <v>2578</v>
      </c>
      <c r="B39" s="209" t="s">
        <v>1</v>
      </c>
      <c r="C39" s="200" t="s">
        <v>2560</v>
      </c>
      <c r="D39" s="200"/>
      <c r="E39" s="200"/>
      <c r="F39" s="200"/>
      <c r="G39" s="202" t="s">
        <v>2561</v>
      </c>
      <c r="H39" s="200" t="s">
        <v>2562</v>
      </c>
      <c r="I39" s="202" t="s">
        <v>2563</v>
      </c>
      <c r="J39" s="202" t="s">
        <v>2564</v>
      </c>
      <c r="K39" s="200" t="str">
        <f>K17</f>
        <v>Historical Equity Risk Premium</v>
      </c>
      <c r="L39" s="212" t="s">
        <v>2566</v>
      </c>
      <c r="M39" s="88"/>
      <c r="N39" s="88"/>
      <c r="O39" s="88"/>
      <c r="P39" s="88"/>
    </row>
    <row r="40" spans="1:16" ht="14.25" customHeight="1">
      <c r="A40" s="207"/>
      <c r="B40" s="210"/>
      <c r="C40" s="201" t="s">
        <v>2567</v>
      </c>
      <c r="D40" s="201"/>
      <c r="E40" s="201"/>
      <c r="F40" s="201"/>
      <c r="G40" s="203"/>
      <c r="H40" s="201"/>
      <c r="I40" s="203"/>
      <c r="J40" s="203"/>
      <c r="K40" s="201"/>
      <c r="L40" s="213"/>
      <c r="M40" s="88"/>
      <c r="N40" s="88"/>
      <c r="O40" s="88"/>
      <c r="P40" s="88"/>
    </row>
    <row r="41" spans="1:16">
      <c r="A41" s="208"/>
      <c r="B41" s="211"/>
      <c r="C41" s="148" t="s">
        <v>2568</v>
      </c>
      <c r="D41" s="148" t="s">
        <v>2569</v>
      </c>
      <c r="E41" s="139" t="s">
        <v>2570</v>
      </c>
      <c r="F41" s="139" t="s">
        <v>2571</v>
      </c>
      <c r="G41" s="204"/>
      <c r="H41" s="205"/>
      <c r="I41" s="204"/>
      <c r="J41" s="173">
        <v>0.38</v>
      </c>
      <c r="K41" s="205"/>
      <c r="L41" s="149">
        <f>J41</f>
        <v>0.38</v>
      </c>
      <c r="M41" s="88"/>
      <c r="N41" s="88"/>
      <c r="O41" s="88"/>
      <c r="P41" s="88"/>
    </row>
    <row r="42" spans="1:16">
      <c r="A42" s="152" t="s">
        <v>2579</v>
      </c>
      <c r="B42" s="128" t="s">
        <v>2380</v>
      </c>
      <c r="C42" s="137">
        <v>39.79750803770947</v>
      </c>
      <c r="D42" s="137">
        <v>0</v>
      </c>
      <c r="E42" s="137">
        <v>60.202491962290537</v>
      </c>
      <c r="F42" s="104">
        <v>0</v>
      </c>
      <c r="G42" s="163">
        <v>0.82918805364407167</v>
      </c>
      <c r="H42" s="105">
        <v>0.114</v>
      </c>
      <c r="I42" s="104">
        <f t="shared" ref="I42:I45" si="8">IFERROR(G42/(1+(1-H42)*((C42+D42+F42)/E42)),"n/a")</f>
        <v>0.52291613678608884</v>
      </c>
      <c r="J42" s="163">
        <f>IFERROR(I42*(1+(1-H42)*((1-J$41)/(J$41))),"n/a")</f>
        <v>1.2788326953632845</v>
      </c>
      <c r="K42" s="105">
        <f t="shared" ref="K42:K45" si="9">$K$7</f>
        <v>6.4250000000000002E-2</v>
      </c>
      <c r="L42" s="105">
        <f t="shared" ref="L42:L45" si="10">IFERROR(K42*(J42-G42),"n/a")</f>
        <v>2.8889668230459423E-2</v>
      </c>
      <c r="M42" s="88"/>
      <c r="N42" s="88"/>
      <c r="O42" s="88"/>
      <c r="P42" s="88"/>
    </row>
    <row r="43" spans="1:16">
      <c r="A43" s="152" t="s">
        <v>2387</v>
      </c>
      <c r="B43" s="128" t="s">
        <v>2388</v>
      </c>
      <c r="C43" s="137">
        <v>52.398287974465219</v>
      </c>
      <c r="D43" s="137">
        <v>0.63958919925185598</v>
      </c>
      <c r="E43" s="137">
        <v>46.962122826282929</v>
      </c>
      <c r="F43" s="104">
        <v>0</v>
      </c>
      <c r="G43" s="163">
        <v>0.74464980030632322</v>
      </c>
      <c r="H43" s="105">
        <v>0.25700000000000001</v>
      </c>
      <c r="I43" s="163">
        <f t="shared" si="8"/>
        <v>0.40489328183167222</v>
      </c>
      <c r="J43" s="163">
        <f t="shared" ref="J43:J45" si="11">IFERROR(I43*(1+(1-H43)*((1-J$41)/(J$41))),"n/a")</f>
        <v>0.89573049027529872</v>
      </c>
      <c r="K43" s="105">
        <f t="shared" si="9"/>
        <v>6.4250000000000002E-2</v>
      </c>
      <c r="L43" s="105">
        <f t="shared" si="10"/>
        <v>9.7069343305066762E-3</v>
      </c>
      <c r="M43" s="88"/>
      <c r="N43" s="88"/>
      <c r="O43" s="88"/>
      <c r="P43" s="88"/>
    </row>
    <row r="44" spans="1:16">
      <c r="A44" s="140" t="s">
        <v>2538</v>
      </c>
      <c r="B44" s="95" t="s">
        <v>2539</v>
      </c>
      <c r="C44" s="137">
        <v>39.54935552780416</v>
      </c>
      <c r="D44" s="137">
        <v>4.0505407783519159E-4</v>
      </c>
      <c r="E44" s="137">
        <v>60.450239418118002</v>
      </c>
      <c r="F44" s="104">
        <v>0</v>
      </c>
      <c r="G44" s="163">
        <v>0.83247976724837924</v>
      </c>
      <c r="H44" s="105">
        <v>0.14899999999999999</v>
      </c>
      <c r="I44" s="163">
        <f t="shared" si="8"/>
        <v>0.53474826981260637</v>
      </c>
      <c r="J44" s="163">
        <f t="shared" si="11"/>
        <v>1.2772321701245204</v>
      </c>
      <c r="K44" s="105">
        <f t="shared" si="9"/>
        <v>6.4250000000000002E-2</v>
      </c>
      <c r="L44" s="105">
        <f t="shared" si="10"/>
        <v>2.857534188479207E-2</v>
      </c>
      <c r="M44" s="88"/>
      <c r="N44" s="88"/>
      <c r="O44" s="88"/>
      <c r="P44" s="88"/>
    </row>
    <row r="45" spans="1:16">
      <c r="A45" s="153" t="s">
        <v>2540</v>
      </c>
      <c r="B45" s="131" t="s">
        <v>2541</v>
      </c>
      <c r="C45" s="138">
        <v>42.863774092268784</v>
      </c>
      <c r="D45" s="138">
        <v>10.86671947546769</v>
      </c>
      <c r="E45" s="138">
        <v>46.269506432263526</v>
      </c>
      <c r="F45" s="118">
        <v>0</v>
      </c>
      <c r="G45" s="164">
        <v>0.86346076191264043</v>
      </c>
      <c r="H45" s="119">
        <v>0.151</v>
      </c>
      <c r="I45" s="164">
        <f t="shared" si="8"/>
        <v>0.43479529949811913</v>
      </c>
      <c r="J45" s="164">
        <f t="shared" si="11"/>
        <v>1.03707832515554</v>
      </c>
      <c r="K45" s="119">
        <f t="shared" si="9"/>
        <v>6.4250000000000002E-2</v>
      </c>
      <c r="L45" s="119">
        <f t="shared" si="10"/>
        <v>1.1154928438356297E-2</v>
      </c>
      <c r="M45" s="88"/>
      <c r="N45" s="88"/>
      <c r="O45" s="88"/>
      <c r="P45" s="88"/>
    </row>
    <row r="46" spans="1:16" ht="14" thickBot="1">
      <c r="A46" s="154" t="s">
        <v>2575</v>
      </c>
      <c r="B46" s="125"/>
      <c r="C46" s="123"/>
      <c r="D46" s="123"/>
      <c r="E46" s="123">
        <f>AVERAGE(E42:E45)</f>
        <v>53.47109015973875</v>
      </c>
      <c r="F46" s="123"/>
      <c r="G46" s="123">
        <f>AVERAGE(G42:G45)</f>
        <v>0.81744459577785367</v>
      </c>
      <c r="H46" s="124"/>
      <c r="I46" s="161"/>
      <c r="J46" s="161"/>
      <c r="K46" s="127"/>
      <c r="L46" s="178">
        <f>AVERAGE(L42:L45)</f>
        <v>1.9581718221028617E-2</v>
      </c>
      <c r="M46" s="88"/>
      <c r="N46" s="88"/>
      <c r="O46" s="88"/>
      <c r="P46" s="88"/>
    </row>
    <row r="47" spans="1:16">
      <c r="A47" s="103"/>
      <c r="B47" s="95"/>
      <c r="C47" s="104"/>
      <c r="D47" s="104"/>
      <c r="E47" s="104"/>
      <c r="F47" s="104"/>
      <c r="G47" s="120"/>
      <c r="H47" s="88"/>
      <c r="I47" s="120"/>
      <c r="J47" s="120"/>
      <c r="K47" s="130"/>
      <c r="L47" s="132"/>
      <c r="M47" s="88"/>
      <c r="N47" s="88"/>
      <c r="O47" s="88"/>
      <c r="P47" s="88"/>
    </row>
    <row r="48" spans="1:16">
      <c r="A48" s="140"/>
      <c r="B48" s="95"/>
      <c r="C48" s="95"/>
      <c r="D48" s="95"/>
      <c r="E48" s="120"/>
      <c r="F48" s="120"/>
      <c r="G48" s="120"/>
      <c r="H48" s="105"/>
      <c r="I48" s="120"/>
      <c r="J48" s="120"/>
      <c r="K48" s="88"/>
      <c r="L48" s="132"/>
      <c r="M48" s="88"/>
      <c r="N48" s="88"/>
      <c r="O48" s="88"/>
      <c r="P48" s="88"/>
    </row>
    <row r="49" spans="1:16" ht="14" thickBot="1">
      <c r="A49" s="140"/>
      <c r="B49" s="95"/>
      <c r="C49" s="95"/>
      <c r="D49" s="95"/>
      <c r="E49" s="120"/>
      <c r="F49" s="120"/>
      <c r="G49" s="120"/>
      <c r="H49" s="105"/>
      <c r="I49" s="120"/>
      <c r="J49" s="120"/>
      <c r="K49" s="88"/>
      <c r="L49" s="132"/>
      <c r="M49" s="88"/>
      <c r="N49" s="88"/>
      <c r="O49" s="88"/>
      <c r="P49" s="88"/>
    </row>
    <row r="50" spans="1:16" ht="14.25" customHeight="1">
      <c r="A50" s="206" t="s">
        <v>2580</v>
      </c>
      <c r="B50" s="209" t="s">
        <v>1</v>
      </c>
      <c r="C50" s="200" t="s">
        <v>2560</v>
      </c>
      <c r="D50" s="200"/>
      <c r="E50" s="200"/>
      <c r="F50" s="200"/>
      <c r="G50" s="202" t="s">
        <v>2561</v>
      </c>
      <c r="H50" s="200" t="s">
        <v>2562</v>
      </c>
      <c r="I50" s="202" t="s">
        <v>2563</v>
      </c>
      <c r="J50" s="202" t="s">
        <v>2564</v>
      </c>
      <c r="K50" s="200" t="str">
        <f>K39</f>
        <v>Historical Equity Risk Premium</v>
      </c>
      <c r="L50" s="212" t="s">
        <v>2566</v>
      </c>
      <c r="M50" s="88"/>
      <c r="N50" s="88"/>
      <c r="O50" s="88"/>
      <c r="P50" s="88"/>
    </row>
    <row r="51" spans="1:16" ht="14.25" customHeight="1">
      <c r="A51" s="207"/>
      <c r="B51" s="210"/>
      <c r="C51" s="201" t="s">
        <v>2567</v>
      </c>
      <c r="D51" s="201"/>
      <c r="E51" s="201"/>
      <c r="F51" s="201"/>
      <c r="G51" s="203"/>
      <c r="H51" s="201"/>
      <c r="I51" s="203"/>
      <c r="J51" s="203"/>
      <c r="K51" s="201"/>
      <c r="L51" s="213"/>
      <c r="M51" s="88"/>
      <c r="N51" s="88"/>
      <c r="O51" s="88"/>
      <c r="P51" s="88"/>
    </row>
    <row r="52" spans="1:16">
      <c r="A52" s="208"/>
      <c r="B52" s="211"/>
      <c r="C52" s="148" t="s">
        <v>2568</v>
      </c>
      <c r="D52" s="148" t="s">
        <v>2569</v>
      </c>
      <c r="E52" s="139" t="s">
        <v>2570</v>
      </c>
      <c r="F52" s="139" t="s">
        <v>2571</v>
      </c>
      <c r="G52" s="204"/>
      <c r="H52" s="205"/>
      <c r="I52" s="204"/>
      <c r="J52" s="172">
        <v>0.45</v>
      </c>
      <c r="K52" s="205"/>
      <c r="L52" s="149">
        <f>J52</f>
        <v>0.45</v>
      </c>
      <c r="M52" s="88"/>
      <c r="N52" s="88"/>
      <c r="O52" s="88"/>
      <c r="P52" s="88"/>
    </row>
    <row r="53" spans="1:16">
      <c r="A53" s="103" t="s">
        <v>2459</v>
      </c>
      <c r="B53" s="88" t="s">
        <v>610</v>
      </c>
      <c r="C53" s="120">
        <f>_xlfn.XLOOKUP($B53, $B$4:$B$45, C$4:C$45)</f>
        <v>62.448371719759479</v>
      </c>
      <c r="D53" s="120">
        <f>_xlfn.XLOOKUP($B53, $B$4:$B$45, D$4:D$45)</f>
        <v>0</v>
      </c>
      <c r="E53" s="120">
        <f t="shared" ref="E53:I68" si="12">_xlfn.XLOOKUP($B53, $B$4:$B$45, E$4:E$45)</f>
        <v>35.916692549130055</v>
      </c>
      <c r="F53" s="120">
        <f t="shared" si="12"/>
        <v>1.6349357311104638</v>
      </c>
      <c r="G53" s="163">
        <f t="shared" si="12"/>
        <v>0.85877409999999998</v>
      </c>
      <c r="H53" s="105">
        <f>_xlfn.XLOOKUP($B53, $B$4:$B$45, H$4:H$45)</f>
        <v>0.21639344262295082</v>
      </c>
      <c r="I53" s="163">
        <f t="shared" si="12"/>
        <v>0.35810200074326537</v>
      </c>
      <c r="J53" s="104">
        <f>IFERROR(I53*(1+(1-H53)*((1-J$52)/(J$52))),"n/a")</f>
        <v>0.7010710936226987</v>
      </c>
      <c r="K53" s="136">
        <f t="shared" ref="K53:K71" si="13">_xlfn.XLOOKUP($B53, $B$4:$B$45, K$4:K$45)</f>
        <v>6.4250000000000002E-2</v>
      </c>
      <c r="L53" s="105">
        <f t="shared" ref="L53:L71" si="14">IFERROR(K53*(J53-G53),"n/a")</f>
        <v>-1.0132418159741608E-2</v>
      </c>
      <c r="M53" s="141"/>
      <c r="N53" s="141"/>
      <c r="O53" s="135"/>
      <c r="P53" s="135"/>
    </row>
    <row r="54" spans="1:16">
      <c r="A54" s="103" t="s">
        <v>2460</v>
      </c>
      <c r="B54" s="88" t="s">
        <v>445</v>
      </c>
      <c r="C54" s="120">
        <f t="shared" ref="C54:I71" si="15">_xlfn.XLOOKUP($B54, $B$4:$B$45, C$4:C$45)</f>
        <v>48.728250475051112</v>
      </c>
      <c r="D54" s="120">
        <f t="shared" si="15"/>
        <v>4.8737641917640868</v>
      </c>
      <c r="E54" s="120">
        <f t="shared" si="15"/>
        <v>46.397985333184806</v>
      </c>
      <c r="F54" s="120">
        <f t="shared" si="15"/>
        <v>0</v>
      </c>
      <c r="G54" s="163">
        <f t="shared" si="15"/>
        <v>0.71881010000000001</v>
      </c>
      <c r="H54" s="105">
        <f t="shared" si="15"/>
        <v>0.11</v>
      </c>
      <c r="I54" s="165">
        <f t="shared" si="12"/>
        <v>0.3544102165601925</v>
      </c>
      <c r="J54" s="165">
        <f t="shared" ref="J54:J71" si="16">IFERROR(I54*(1+(1-H54)*((1-J$52)/(J$52))),"n/a")</f>
        <v>0.73992977435177987</v>
      </c>
      <c r="K54" s="136">
        <f t="shared" si="13"/>
        <v>6.4250000000000002E-2</v>
      </c>
      <c r="L54" s="136">
        <f t="shared" si="14"/>
        <v>1.3569390771018561E-3</v>
      </c>
      <c r="M54" s="141"/>
      <c r="N54" s="141"/>
      <c r="O54" s="135"/>
      <c r="P54" s="135"/>
    </row>
    <row r="55" spans="1:16">
      <c r="A55" s="103" t="s">
        <v>2573</v>
      </c>
      <c r="B55" s="88" t="s">
        <v>637</v>
      </c>
      <c r="C55" s="120">
        <f t="shared" si="15"/>
        <v>47.355037157675632</v>
      </c>
      <c r="D55" s="120">
        <f t="shared" si="15"/>
        <v>0.31757233184007161</v>
      </c>
      <c r="E55" s="120">
        <f t="shared" si="15"/>
        <v>52.327390510484292</v>
      </c>
      <c r="F55" s="120">
        <f t="shared" si="15"/>
        <v>0</v>
      </c>
      <c r="G55" s="163">
        <f t="shared" si="15"/>
        <v>0.72239589999999998</v>
      </c>
      <c r="H55" s="105">
        <f t="shared" si="15"/>
        <v>0.14599999999999999</v>
      </c>
      <c r="I55" s="165">
        <f t="shared" si="12"/>
        <v>0.40628948861517949</v>
      </c>
      <c r="J55" s="165">
        <f t="shared" si="16"/>
        <v>0.83036542817640124</v>
      </c>
      <c r="K55" s="136">
        <f t="shared" si="13"/>
        <v>6.4250000000000002E-2</v>
      </c>
      <c r="L55" s="136">
        <f t="shared" si="14"/>
        <v>6.9370421853337813E-3</v>
      </c>
      <c r="M55" s="141"/>
      <c r="N55" s="141"/>
      <c r="O55" s="135"/>
      <c r="P55" s="135"/>
    </row>
    <row r="56" spans="1:16">
      <c r="A56" s="103" t="s">
        <v>2574</v>
      </c>
      <c r="B56" s="88" t="s">
        <v>2504</v>
      </c>
      <c r="C56" s="120">
        <f t="shared" si="15"/>
        <v>53.684566532636879</v>
      </c>
      <c r="D56" s="120">
        <f t="shared" si="15"/>
        <v>1.048438615610086</v>
      </c>
      <c r="E56" s="120">
        <f t="shared" si="15"/>
        <v>45.266994851753033</v>
      </c>
      <c r="F56" s="120">
        <f t="shared" si="15"/>
        <v>0</v>
      </c>
      <c r="G56" s="163">
        <f t="shared" si="15"/>
        <v>0.69190260000000003</v>
      </c>
      <c r="H56" s="105">
        <f t="shared" si="15"/>
        <v>0.13993710691823899</v>
      </c>
      <c r="I56" s="165">
        <f t="shared" si="12"/>
        <v>0.33918207448428689</v>
      </c>
      <c r="J56" s="165">
        <f t="shared" si="16"/>
        <v>0.69572619436058925</v>
      </c>
      <c r="K56" s="136">
        <f t="shared" si="13"/>
        <v>6.4250000000000002E-2</v>
      </c>
      <c r="L56" s="136">
        <f t="shared" si="14"/>
        <v>2.4566593766785683E-4</v>
      </c>
      <c r="M56" s="141"/>
      <c r="N56" s="141"/>
      <c r="O56" s="135"/>
      <c r="P56" s="135"/>
    </row>
    <row r="57" spans="1:16">
      <c r="A57" s="103" t="s">
        <v>2400</v>
      </c>
      <c r="B57" s="88" t="s">
        <v>2401</v>
      </c>
      <c r="C57" s="120">
        <f t="shared" si="15"/>
        <v>46.885162988888972</v>
      </c>
      <c r="D57" s="120">
        <f t="shared" si="15"/>
        <v>2.1180154043814552</v>
      </c>
      <c r="E57" s="120">
        <f t="shared" si="15"/>
        <v>50.996821606729569</v>
      </c>
      <c r="F57" s="120">
        <f t="shared" si="15"/>
        <v>0</v>
      </c>
      <c r="G57" s="163">
        <f t="shared" si="15"/>
        <v>0.87370040181842501</v>
      </c>
      <c r="H57" s="105">
        <f t="shared" si="15"/>
        <v>6.0000000000000001E-3</v>
      </c>
      <c r="I57" s="165">
        <f t="shared" si="12"/>
        <v>0.44687332809757929</v>
      </c>
      <c r="J57" s="165">
        <f t="shared" si="16"/>
        <v>0.98977476914412732</v>
      </c>
      <c r="K57" s="136">
        <f t="shared" si="13"/>
        <v>6.4250000000000002E-2</v>
      </c>
      <c r="L57" s="136">
        <f t="shared" si="14"/>
        <v>7.4577781006763735E-3</v>
      </c>
      <c r="M57" s="141"/>
      <c r="N57" s="141"/>
      <c r="O57" s="135"/>
      <c r="P57" s="135"/>
    </row>
    <row r="58" spans="1:16">
      <c r="A58" s="103" t="s">
        <v>2402</v>
      </c>
      <c r="B58" s="88" t="s">
        <v>1930</v>
      </c>
      <c r="C58" s="120">
        <f t="shared" si="15"/>
        <v>44.137938601801629</v>
      </c>
      <c r="D58" s="120">
        <f t="shared" si="15"/>
        <v>3.6925678334463385</v>
      </c>
      <c r="E58" s="120">
        <f t="shared" si="15"/>
        <v>51.679468047752806</v>
      </c>
      <c r="F58" s="120">
        <f t="shared" si="15"/>
        <v>0.49002551699922514</v>
      </c>
      <c r="G58" s="163">
        <f t="shared" si="15"/>
        <v>0.83927651394938352</v>
      </c>
      <c r="H58" s="105">
        <f t="shared" si="15"/>
        <v>0.12</v>
      </c>
      <c r="I58" s="165">
        <f t="shared" si="12"/>
        <v>0.46043159752266721</v>
      </c>
      <c r="J58" s="165">
        <f t="shared" si="16"/>
        <v>0.95565136019149166</v>
      </c>
      <c r="K58" s="136">
        <f t="shared" si="13"/>
        <v>6.4250000000000002E-2</v>
      </c>
      <c r="L58" s="136">
        <f t="shared" si="14"/>
        <v>7.4770838710554481E-3</v>
      </c>
      <c r="M58" s="141"/>
      <c r="N58" s="141"/>
      <c r="O58" s="135"/>
      <c r="P58" s="135"/>
    </row>
    <row r="59" spans="1:16">
      <c r="A59" s="103" t="s">
        <v>2403</v>
      </c>
      <c r="B59" s="88" t="s">
        <v>946</v>
      </c>
      <c r="C59" s="120">
        <f t="shared" si="15"/>
        <v>50.695105118023719</v>
      </c>
      <c r="D59" s="120">
        <f t="shared" si="15"/>
        <v>1.6546185080761218</v>
      </c>
      <c r="E59" s="120">
        <f t="shared" si="15"/>
        <v>47.650276373900155</v>
      </c>
      <c r="F59" s="120">
        <f t="shared" si="15"/>
        <v>0</v>
      </c>
      <c r="G59" s="163">
        <f t="shared" si="15"/>
        <v>0.84497239355831155</v>
      </c>
      <c r="H59" s="105">
        <f t="shared" si="15"/>
        <v>0.21</v>
      </c>
      <c r="I59" s="165">
        <f t="shared" si="12"/>
        <v>0.45236181432771438</v>
      </c>
      <c r="J59" s="165">
        <f t="shared" si="16"/>
        <v>0.88914227727302975</v>
      </c>
      <c r="K59" s="136">
        <f t="shared" si="13"/>
        <v>6.4250000000000002E-2</v>
      </c>
      <c r="L59" s="136">
        <f t="shared" si="14"/>
        <v>2.8379150286706439E-3</v>
      </c>
      <c r="M59" s="141"/>
      <c r="N59" s="141"/>
      <c r="O59" s="135"/>
      <c r="P59" s="135"/>
    </row>
    <row r="60" spans="1:16">
      <c r="A60" s="103" t="s">
        <v>2415</v>
      </c>
      <c r="B60" s="88" t="s">
        <v>763</v>
      </c>
      <c r="C60" s="120">
        <f t="shared" si="15"/>
        <v>45.855890300126745</v>
      </c>
      <c r="D60" s="120">
        <f t="shared" si="15"/>
        <v>2.708600944757023</v>
      </c>
      <c r="E60" s="120">
        <f t="shared" si="15"/>
        <v>51.435508755116231</v>
      </c>
      <c r="F60" s="120">
        <f t="shared" si="15"/>
        <v>0</v>
      </c>
      <c r="G60" s="163">
        <f t="shared" si="15"/>
        <v>0.82378961834926434</v>
      </c>
      <c r="H60" s="105">
        <f t="shared" si="15"/>
        <v>9.1999999999999998E-2</v>
      </c>
      <c r="I60" s="165">
        <f t="shared" si="12"/>
        <v>0.4435373330010588</v>
      </c>
      <c r="J60" s="165">
        <f t="shared" si="16"/>
        <v>0.9357652087804561</v>
      </c>
      <c r="K60" s="136">
        <f t="shared" si="13"/>
        <v>6.4250000000000002E-2</v>
      </c>
      <c r="L60" s="136">
        <f t="shared" si="14"/>
        <v>7.1944316852040708E-3</v>
      </c>
      <c r="M60" s="141"/>
      <c r="N60" s="141"/>
      <c r="O60" s="135"/>
      <c r="P60" s="135"/>
    </row>
    <row r="61" spans="1:16">
      <c r="A61" s="103" t="s">
        <v>2420</v>
      </c>
      <c r="B61" s="88" t="s">
        <v>1115</v>
      </c>
      <c r="C61" s="120">
        <f t="shared" si="15"/>
        <v>47.990985455774066</v>
      </c>
      <c r="D61" s="120">
        <f t="shared" si="15"/>
        <v>3.1016018350390078E-3</v>
      </c>
      <c r="E61" s="120">
        <f t="shared" si="15"/>
        <v>51.911648572894606</v>
      </c>
      <c r="F61" s="120">
        <f t="shared" si="15"/>
        <v>9.4264369496283557E-2</v>
      </c>
      <c r="G61" s="163">
        <f t="shared" si="15"/>
        <v>0.97465009387607859</v>
      </c>
      <c r="H61" s="105">
        <f t="shared" si="15"/>
        <v>0.161</v>
      </c>
      <c r="I61" s="165">
        <f t="shared" si="12"/>
        <v>0.54841657436860292</v>
      </c>
      <c r="J61" s="165">
        <f t="shared" si="16"/>
        <v>1.1107873037961402</v>
      </c>
      <c r="K61" s="136">
        <f t="shared" si="13"/>
        <v>6.4250000000000002E-2</v>
      </c>
      <c r="L61" s="136">
        <f t="shared" si="14"/>
        <v>8.7468157373639596E-3</v>
      </c>
      <c r="M61" s="141"/>
      <c r="N61" s="141"/>
      <c r="O61" s="135"/>
      <c r="P61" s="135"/>
    </row>
    <row r="62" spans="1:16">
      <c r="A62" s="103" t="s">
        <v>1328</v>
      </c>
      <c r="B62" s="88" t="s">
        <v>764</v>
      </c>
      <c r="C62" s="120">
        <f t="shared" si="15"/>
        <v>41.03249822202735</v>
      </c>
      <c r="D62" s="120">
        <f t="shared" si="15"/>
        <v>3.9376742073792692</v>
      </c>
      <c r="E62" s="120">
        <f t="shared" si="15"/>
        <v>54.436051094018232</v>
      </c>
      <c r="F62" s="120">
        <f t="shared" si="15"/>
        <v>0.59377647657514498</v>
      </c>
      <c r="G62" s="163">
        <f t="shared" si="15"/>
        <v>0.90169525929291461</v>
      </c>
      <c r="H62" s="105">
        <f t="shared" si="15"/>
        <v>0.19800000000000001</v>
      </c>
      <c r="I62" s="165">
        <f t="shared" si="12"/>
        <v>0.53952105767404257</v>
      </c>
      <c r="J62" s="165">
        <f t="shared" si="16"/>
        <v>1.0683715877629762</v>
      </c>
      <c r="K62" s="136">
        <f t="shared" si="13"/>
        <v>6.4250000000000002E-2</v>
      </c>
      <c r="L62" s="136">
        <f t="shared" si="14"/>
        <v>1.0708954104201461E-2</v>
      </c>
      <c r="M62" s="141"/>
      <c r="N62" s="141"/>
      <c r="O62" s="135"/>
      <c r="P62" s="135"/>
    </row>
    <row r="63" spans="1:16">
      <c r="A63" s="103" t="s">
        <v>2421</v>
      </c>
      <c r="B63" s="88" t="s">
        <v>1366</v>
      </c>
      <c r="C63" s="120">
        <f t="shared" si="15"/>
        <v>45.657238909721279</v>
      </c>
      <c r="D63" s="120">
        <f t="shared" si="15"/>
        <v>2.292903089536579</v>
      </c>
      <c r="E63" s="120">
        <f t="shared" si="15"/>
        <v>52.049858000742141</v>
      </c>
      <c r="F63" s="120">
        <f t="shared" si="15"/>
        <v>0</v>
      </c>
      <c r="G63" s="163">
        <f t="shared" si="15"/>
        <v>0.98249693606702992</v>
      </c>
      <c r="H63" s="105">
        <f t="shared" si="15"/>
        <v>0.13800000000000001</v>
      </c>
      <c r="I63" s="165">
        <f t="shared" si="12"/>
        <v>0.54762527978529307</v>
      </c>
      <c r="J63" s="165">
        <f t="shared" si="16"/>
        <v>1.1245789356657541</v>
      </c>
      <c r="K63" s="136">
        <f t="shared" si="13"/>
        <v>6.4250000000000002E-2</v>
      </c>
      <c r="L63" s="136">
        <f t="shared" si="14"/>
        <v>9.1287684742180266E-3</v>
      </c>
      <c r="M63" s="141"/>
      <c r="N63" s="141"/>
      <c r="O63" s="135"/>
      <c r="P63" s="135"/>
    </row>
    <row r="64" spans="1:16">
      <c r="A64" s="103" t="s">
        <v>2526</v>
      </c>
      <c r="B64" s="88" t="s">
        <v>2527</v>
      </c>
      <c r="C64" s="120">
        <f t="shared" si="15"/>
        <v>37.11398538865344</v>
      </c>
      <c r="D64" s="120">
        <f t="shared" si="15"/>
        <v>6.9546894248985778</v>
      </c>
      <c r="E64" s="120">
        <f t="shared" si="15"/>
        <v>55.931325186447992</v>
      </c>
      <c r="F64" s="120">
        <f t="shared" si="15"/>
        <v>0</v>
      </c>
      <c r="G64" s="163">
        <f t="shared" si="15"/>
        <v>0.8927250421094256</v>
      </c>
      <c r="H64" s="105">
        <f t="shared" si="15"/>
        <v>0.09</v>
      </c>
      <c r="I64" s="165">
        <f t="shared" si="12"/>
        <v>0.51993448780371287</v>
      </c>
      <c r="J64" s="165">
        <f t="shared" si="16"/>
        <v>1.0982171792387314</v>
      </c>
      <c r="K64" s="136">
        <f t="shared" si="13"/>
        <v>6.4250000000000002E-2</v>
      </c>
      <c r="L64" s="136">
        <f t="shared" si="14"/>
        <v>1.3202869810557898E-2</v>
      </c>
      <c r="M64" s="141"/>
      <c r="N64" s="141"/>
      <c r="O64" s="135"/>
      <c r="P64" s="135"/>
    </row>
    <row r="65" spans="1:16">
      <c r="A65" s="103" t="s">
        <v>2432</v>
      </c>
      <c r="B65" s="88" t="s">
        <v>1138</v>
      </c>
      <c r="C65" s="120">
        <f t="shared" si="15"/>
        <v>39.63717632338421</v>
      </c>
      <c r="D65" s="120">
        <f t="shared" si="15"/>
        <v>4.092051939106395</v>
      </c>
      <c r="E65" s="120">
        <f t="shared" si="15"/>
        <v>56.270771737509392</v>
      </c>
      <c r="F65" s="120">
        <f t="shared" si="15"/>
        <v>0</v>
      </c>
      <c r="G65" s="163">
        <f t="shared" si="15"/>
        <v>0.91219232010489681</v>
      </c>
      <c r="H65" s="105">
        <f t="shared" si="15"/>
        <v>0.125</v>
      </c>
      <c r="I65" s="165">
        <f t="shared" si="12"/>
        <v>0.54297765026569156</v>
      </c>
      <c r="J65" s="165">
        <f t="shared" si="16"/>
        <v>1.123662081799834</v>
      </c>
      <c r="K65" s="136">
        <f t="shared" si="13"/>
        <v>6.4250000000000002E-2</v>
      </c>
      <c r="L65" s="136">
        <f t="shared" si="14"/>
        <v>1.3586932188899711E-2</v>
      </c>
      <c r="M65" s="141"/>
      <c r="N65" s="141"/>
      <c r="O65" s="135"/>
      <c r="P65" s="135"/>
    </row>
    <row r="66" spans="1:16">
      <c r="A66" s="103" t="s">
        <v>2435</v>
      </c>
      <c r="B66" s="88" t="s">
        <v>766</v>
      </c>
      <c r="C66" s="120">
        <f t="shared" si="15"/>
        <v>46.068948359780592</v>
      </c>
      <c r="D66" s="120">
        <f t="shared" si="15"/>
        <v>0.85899541095311693</v>
      </c>
      <c r="E66" s="120">
        <f t="shared" si="15"/>
        <v>53.072056229266295</v>
      </c>
      <c r="F66" s="120">
        <f t="shared" si="15"/>
        <v>0</v>
      </c>
      <c r="G66" s="163">
        <f t="shared" si="15"/>
        <v>1.0177614823084606</v>
      </c>
      <c r="H66" s="105">
        <f t="shared" si="15"/>
        <v>0.12</v>
      </c>
      <c r="I66" s="165">
        <f t="shared" si="12"/>
        <v>0.57237966717457611</v>
      </c>
      <c r="J66" s="165">
        <f t="shared" si="16"/>
        <v>1.1880057980912315</v>
      </c>
      <c r="K66" s="136">
        <f t="shared" si="13"/>
        <v>6.4250000000000002E-2</v>
      </c>
      <c r="L66" s="136">
        <f t="shared" si="14"/>
        <v>1.0938197289043029E-2</v>
      </c>
      <c r="M66" s="141"/>
      <c r="N66" s="141"/>
      <c r="O66" s="135"/>
      <c r="P66" s="135"/>
    </row>
    <row r="67" spans="1:16">
      <c r="A67" s="103" t="s">
        <v>2442</v>
      </c>
      <c r="B67" s="88" t="s">
        <v>767</v>
      </c>
      <c r="C67" s="120">
        <f t="shared" si="15"/>
        <v>48.669564665105824</v>
      </c>
      <c r="D67" s="120">
        <f t="shared" si="15"/>
        <v>3.517963765468378</v>
      </c>
      <c r="E67" s="120">
        <f t="shared" si="15"/>
        <v>47.812471569425796</v>
      </c>
      <c r="F67" s="120">
        <f t="shared" si="15"/>
        <v>0</v>
      </c>
      <c r="G67" s="163">
        <f t="shared" si="15"/>
        <v>0.93579719106169845</v>
      </c>
      <c r="H67" s="105">
        <f t="shared" si="15"/>
        <v>0.129</v>
      </c>
      <c r="I67" s="165">
        <f t="shared" si="12"/>
        <v>0.47972368121953884</v>
      </c>
      <c r="J67" s="165">
        <f t="shared" si="16"/>
        <v>0.99041619119336133</v>
      </c>
      <c r="K67" s="136">
        <f t="shared" si="13"/>
        <v>6.4250000000000002E-2</v>
      </c>
      <c r="L67" s="136">
        <f t="shared" si="14"/>
        <v>3.5092707584593397E-3</v>
      </c>
      <c r="M67" s="141"/>
      <c r="N67" s="141"/>
      <c r="O67" s="135"/>
      <c r="P67" s="135"/>
    </row>
    <row r="68" spans="1:16">
      <c r="A68" s="103" t="s">
        <v>2447</v>
      </c>
      <c r="B68" s="95" t="s">
        <v>31</v>
      </c>
      <c r="C68" s="120">
        <f t="shared" si="15"/>
        <v>41.892933776472269</v>
      </c>
      <c r="D68" s="120">
        <f t="shared" si="15"/>
        <v>3.7193170735697159</v>
      </c>
      <c r="E68" s="120">
        <f t="shared" si="15"/>
        <v>54.387749149958019</v>
      </c>
      <c r="F68" s="120">
        <f t="shared" si="15"/>
        <v>0</v>
      </c>
      <c r="G68" s="163">
        <f t="shared" si="15"/>
        <v>1.0663522553431179</v>
      </c>
      <c r="H68" s="105">
        <f t="shared" si="15"/>
        <v>0.19900000000000001</v>
      </c>
      <c r="I68" s="165">
        <f t="shared" si="12"/>
        <v>0.63786275841933004</v>
      </c>
      <c r="J68" s="165">
        <f t="shared" si="16"/>
        <v>1.2623303989118542</v>
      </c>
      <c r="K68" s="136">
        <f t="shared" si="13"/>
        <v>6.4250000000000002E-2</v>
      </c>
      <c r="L68" s="136">
        <f t="shared" si="14"/>
        <v>1.2591595724291303E-2</v>
      </c>
      <c r="M68" s="141"/>
      <c r="N68" s="141"/>
      <c r="O68" s="135"/>
      <c r="P68" s="135"/>
    </row>
    <row r="69" spans="1:16">
      <c r="A69" s="103" t="s">
        <v>2445</v>
      </c>
      <c r="B69" s="88" t="s">
        <v>2446</v>
      </c>
      <c r="C69" s="120">
        <f t="shared" si="15"/>
        <v>53.560996989944556</v>
      </c>
      <c r="D69" s="120">
        <f t="shared" si="15"/>
        <v>1.9531805171947958</v>
      </c>
      <c r="E69" s="120">
        <f t="shared" si="15"/>
        <v>44.485822492860642</v>
      </c>
      <c r="F69" s="120">
        <f t="shared" si="15"/>
        <v>0</v>
      </c>
      <c r="G69" s="163">
        <f t="shared" si="15"/>
        <v>0.87885600974494305</v>
      </c>
      <c r="H69" s="105">
        <f t="shared" si="15"/>
        <v>0.16800000000000001</v>
      </c>
      <c r="I69" s="165">
        <f t="shared" si="15"/>
        <v>0.4311797988385348</v>
      </c>
      <c r="J69" s="165">
        <f t="shared" si="16"/>
        <v>0.86964174539078709</v>
      </c>
      <c r="K69" s="136">
        <f t="shared" si="13"/>
        <v>6.4250000000000002E-2</v>
      </c>
      <c r="L69" s="136">
        <f t="shared" si="14"/>
        <v>-5.9201648475452006E-4</v>
      </c>
      <c r="M69" s="141"/>
      <c r="N69" s="141"/>
      <c r="O69" s="135"/>
      <c r="P69" s="135"/>
    </row>
    <row r="70" spans="1:16">
      <c r="A70" s="103" t="s">
        <v>2450</v>
      </c>
      <c r="B70" s="88" t="s">
        <v>768</v>
      </c>
      <c r="C70" s="120">
        <f t="shared" si="15"/>
        <v>44.253102338740064</v>
      </c>
      <c r="D70" s="120">
        <f t="shared" si="15"/>
        <v>2.0601591204408196</v>
      </c>
      <c r="E70" s="120">
        <f t="shared" si="15"/>
        <v>53.686738540819114</v>
      </c>
      <c r="F70" s="120">
        <f t="shared" si="15"/>
        <v>0</v>
      </c>
      <c r="G70" s="163">
        <f t="shared" si="15"/>
        <v>0.89737403966762719</v>
      </c>
      <c r="H70" s="105">
        <f t="shared" si="15"/>
        <v>0.114</v>
      </c>
      <c r="I70" s="165">
        <f t="shared" si="15"/>
        <v>0.50862477680027351</v>
      </c>
      <c r="J70" s="165">
        <f t="shared" si="16"/>
        <v>1.059408896210881</v>
      </c>
      <c r="K70" s="136">
        <f t="shared" si="13"/>
        <v>6.4250000000000002E-2</v>
      </c>
      <c r="L70" s="136">
        <f t="shared" si="14"/>
        <v>1.0410739532904056E-2</v>
      </c>
      <c r="M70" s="141"/>
      <c r="N70" s="141"/>
      <c r="O70" s="135"/>
      <c r="P70" s="135"/>
    </row>
    <row r="71" spans="1:16">
      <c r="A71" s="155" t="s">
        <v>2458</v>
      </c>
      <c r="B71" s="88" t="s">
        <v>2053</v>
      </c>
      <c r="C71" s="120">
        <f t="shared" si="15"/>
        <v>44.796038316387978</v>
      </c>
      <c r="D71" s="120">
        <f t="shared" si="15"/>
        <v>1.6055483333994263</v>
      </c>
      <c r="E71" s="120">
        <f t="shared" si="15"/>
        <v>53.598413350212603</v>
      </c>
      <c r="F71" s="120">
        <f t="shared" si="15"/>
        <v>0</v>
      </c>
      <c r="G71" s="163">
        <f t="shared" si="15"/>
        <v>0.82948435931460662</v>
      </c>
      <c r="H71" s="105" t="str">
        <f t="shared" si="15"/>
        <v>NMF</v>
      </c>
      <c r="I71" s="165" t="str">
        <f t="shared" si="15"/>
        <v>n/a</v>
      </c>
      <c r="J71" s="165" t="str">
        <f t="shared" si="16"/>
        <v>n/a</v>
      </c>
      <c r="K71" s="136">
        <f t="shared" si="13"/>
        <v>6.4250000000000002E-2</v>
      </c>
      <c r="L71" s="136" t="str">
        <f t="shared" si="14"/>
        <v>n/a</v>
      </c>
      <c r="M71" s="141"/>
      <c r="N71" s="141"/>
      <c r="O71" s="135"/>
      <c r="P71" s="135"/>
    </row>
    <row r="72" spans="1:16" ht="14" thickBot="1">
      <c r="A72" s="154" t="s">
        <v>2575</v>
      </c>
      <c r="B72" s="106"/>
      <c r="C72" s="107"/>
      <c r="D72" s="107"/>
      <c r="E72" s="107">
        <f>AVERAGE(E53:E71)</f>
        <v>50.49021283958978</v>
      </c>
      <c r="F72" s="107"/>
      <c r="G72" s="166">
        <f>AVERAGE(G53:G71)</f>
        <v>0.87700034824032536</v>
      </c>
      <c r="H72" s="108"/>
      <c r="I72" s="169"/>
      <c r="J72" s="166"/>
      <c r="K72" s="109"/>
      <c r="L72" s="183">
        <f>AVERAGE(L53:L71)</f>
        <v>6.4225869367307061E-3</v>
      </c>
      <c r="M72" s="88"/>
      <c r="N72" s="88"/>
      <c r="O72" s="88"/>
      <c r="P72" s="88"/>
    </row>
    <row r="73" spans="1:16">
      <c r="A73" s="103"/>
      <c r="B73" s="95"/>
      <c r="C73" s="104"/>
      <c r="D73" s="104"/>
      <c r="E73" s="104"/>
      <c r="F73" s="104"/>
      <c r="G73" s="120"/>
      <c r="H73" s="88"/>
      <c r="I73" s="157"/>
      <c r="J73" s="120"/>
      <c r="K73" s="98"/>
      <c r="L73" s="98"/>
      <c r="M73" s="88"/>
      <c r="N73" s="88"/>
      <c r="O73" s="88"/>
      <c r="P73" s="88"/>
    </row>
    <row r="74" spans="1:16">
      <c r="A74" s="103"/>
      <c r="B74" s="95"/>
      <c r="C74" s="104"/>
      <c r="D74" s="104"/>
      <c r="E74" s="104"/>
      <c r="F74" s="104"/>
      <c r="G74" s="120"/>
      <c r="H74" s="88"/>
      <c r="I74" s="157"/>
      <c r="J74" s="120"/>
      <c r="K74" s="98"/>
      <c r="L74" s="98"/>
      <c r="M74" s="88"/>
      <c r="N74" s="88"/>
      <c r="O74" s="88"/>
      <c r="P74" s="88"/>
    </row>
    <row r="75" spans="1:16" ht="14" thickBot="1">
      <c r="A75" s="140"/>
      <c r="B75" s="88"/>
      <c r="C75" s="95"/>
      <c r="D75" s="95"/>
      <c r="E75" s="120"/>
      <c r="F75" s="120"/>
      <c r="G75" s="120"/>
      <c r="H75" s="88"/>
      <c r="I75" s="120"/>
      <c r="J75" s="120"/>
      <c r="K75" s="88"/>
      <c r="L75" s="132"/>
      <c r="M75" s="88"/>
      <c r="N75" s="88"/>
      <c r="O75" s="88"/>
      <c r="P75" s="88"/>
    </row>
    <row r="76" spans="1:16">
      <c r="A76" s="206" t="s">
        <v>2581</v>
      </c>
      <c r="B76" s="209" t="s">
        <v>1</v>
      </c>
      <c r="C76" s="200" t="s">
        <v>2560</v>
      </c>
      <c r="D76" s="200"/>
      <c r="E76" s="200"/>
      <c r="F76" s="200"/>
      <c r="G76" s="202" t="s">
        <v>2561</v>
      </c>
      <c r="H76" s="200" t="s">
        <v>2562</v>
      </c>
      <c r="I76" s="202" t="s">
        <v>2563</v>
      </c>
      <c r="J76" s="202" t="s">
        <v>2564</v>
      </c>
      <c r="K76" s="200" t="str">
        <f>K50</f>
        <v>Historical Equity Risk Premium</v>
      </c>
      <c r="L76" s="212" t="s">
        <v>2566</v>
      </c>
      <c r="M76" s="88"/>
      <c r="N76" s="88"/>
      <c r="O76" s="88"/>
      <c r="P76" s="88"/>
    </row>
    <row r="77" spans="1:16" ht="14.25" customHeight="1">
      <c r="A77" s="207"/>
      <c r="B77" s="210"/>
      <c r="C77" s="201" t="s">
        <v>2567</v>
      </c>
      <c r="D77" s="201"/>
      <c r="E77" s="201"/>
      <c r="F77" s="201"/>
      <c r="G77" s="203"/>
      <c r="H77" s="201"/>
      <c r="I77" s="203"/>
      <c r="J77" s="203"/>
      <c r="K77" s="201"/>
      <c r="L77" s="213"/>
      <c r="M77" s="88"/>
      <c r="N77" s="88"/>
      <c r="O77" s="88"/>
      <c r="P77" s="88"/>
    </row>
    <row r="78" spans="1:16" ht="14.25" customHeight="1">
      <c r="A78" s="208"/>
      <c r="B78" s="211"/>
      <c r="C78" s="148" t="s">
        <v>2568</v>
      </c>
      <c r="D78" s="148" t="s">
        <v>2569</v>
      </c>
      <c r="E78" s="139" t="s">
        <v>2570</v>
      </c>
      <c r="F78" s="139" t="s">
        <v>2571</v>
      </c>
      <c r="G78" s="204"/>
      <c r="H78" s="205"/>
      <c r="I78" s="204"/>
      <c r="J78" s="172">
        <v>0.38</v>
      </c>
      <c r="K78" s="205"/>
      <c r="L78" s="149">
        <f>J78</f>
        <v>0.38</v>
      </c>
      <c r="M78" s="88"/>
      <c r="N78" s="88"/>
      <c r="O78" s="88"/>
      <c r="P78" s="88"/>
    </row>
    <row r="79" spans="1:16" ht="14.25" customHeight="1">
      <c r="A79" s="103" t="s">
        <v>2572</v>
      </c>
      <c r="B79" s="88" t="s">
        <v>430</v>
      </c>
      <c r="C79" s="120">
        <f>_xlfn.XLOOKUP($B79, $B$4:$B$45, C$4:C$45)</f>
        <v>44.306914735654445</v>
      </c>
      <c r="D79" s="120">
        <f>_xlfn.XLOOKUP($B79, $B$4:$B$45, D$4:D$45)</f>
        <v>5.3392152668460762</v>
      </c>
      <c r="E79" s="120">
        <f t="shared" ref="E79:H86" si="17">_xlfn.XLOOKUP($B79, $B$4:$B$45, E$4:E$45)</f>
        <v>50.35386999749948</v>
      </c>
      <c r="F79" s="120">
        <f t="shared" si="17"/>
        <v>0</v>
      </c>
      <c r="G79" s="163">
        <f t="shared" si="17"/>
        <v>1.15571</v>
      </c>
      <c r="H79" s="105">
        <f>_xlfn.XLOOKUP($B79, $B$4:$B$45, H$4:H$45)</f>
        <v>0.245</v>
      </c>
      <c r="I79" s="165">
        <f t="shared" ref="I79:I86" si="18">_xlfn.XLOOKUP($B79, $B$4:$B$45, I$4:I$45)</f>
        <v>0.66253026719921182</v>
      </c>
      <c r="J79" s="165">
        <f>IFERROR(I79*(1+(1-H79)*((1-J$78)/(J$78))),"n/a")</f>
        <v>1.4786629463464513</v>
      </c>
      <c r="K79" s="136">
        <f t="shared" ref="K79:K86" si="19">_xlfn.XLOOKUP($B79, $B$4:$B$45, K$4:K$45)</f>
        <v>6.4250000000000002E-2</v>
      </c>
      <c r="L79" s="105">
        <f t="shared" ref="L79:L86" si="20">IFERROR(K79*(J79-G79),"n/a")</f>
        <v>2.0749726802759497E-2</v>
      </c>
      <c r="M79" s="134"/>
      <c r="N79" s="134"/>
      <c r="O79" s="135"/>
      <c r="P79" s="135"/>
    </row>
    <row r="80" spans="1:16">
      <c r="A80" s="103" t="s">
        <v>2459</v>
      </c>
      <c r="B80" s="88" t="s">
        <v>610</v>
      </c>
      <c r="C80" s="120">
        <f t="shared" ref="C80:D86" si="21">_xlfn.XLOOKUP($B80, $B$4:$B$45, C$4:C$45)</f>
        <v>62.448371719759479</v>
      </c>
      <c r="D80" s="120">
        <f t="shared" si="21"/>
        <v>0</v>
      </c>
      <c r="E80" s="120">
        <f t="shared" si="17"/>
        <v>35.916692549130055</v>
      </c>
      <c r="F80" s="120">
        <f t="shared" si="17"/>
        <v>1.6349357311104638</v>
      </c>
      <c r="G80" s="167">
        <f t="shared" si="17"/>
        <v>0.85877409999999998</v>
      </c>
      <c r="H80" s="132">
        <f t="shared" si="17"/>
        <v>0.21639344262295082</v>
      </c>
      <c r="I80" s="167">
        <f t="shared" si="18"/>
        <v>0.35810200074326537</v>
      </c>
      <c r="J80" s="167">
        <f t="shared" ref="J80:J86" si="22">IFERROR(I80*(1+(1-H80)*((1-J$78)/(J$78))),"n/a")</f>
        <v>0.81594112473064284</v>
      </c>
      <c r="K80" s="132">
        <f t="shared" si="19"/>
        <v>6.4250000000000002E-2</v>
      </c>
      <c r="L80" s="132">
        <f t="shared" si="20"/>
        <v>-2.7520186610561965E-3</v>
      </c>
      <c r="M80" s="134"/>
      <c r="N80" s="134"/>
      <c r="O80" s="135"/>
      <c r="P80" s="135"/>
    </row>
    <row r="81" spans="1:16">
      <c r="A81" s="103" t="s">
        <v>2461</v>
      </c>
      <c r="B81" s="88" t="s">
        <v>652</v>
      </c>
      <c r="C81" s="120">
        <f t="shared" si="21"/>
        <v>46.71986217527315</v>
      </c>
      <c r="D81" s="120">
        <f t="shared" si="21"/>
        <v>1.813483247948497</v>
      </c>
      <c r="E81" s="120">
        <f t="shared" si="17"/>
        <v>51.466654576778346</v>
      </c>
      <c r="F81" s="120">
        <f t="shared" si="17"/>
        <v>0</v>
      </c>
      <c r="G81" s="167">
        <f t="shared" si="17"/>
        <v>0.93412499999999998</v>
      </c>
      <c r="H81" s="132">
        <f t="shared" si="17"/>
        <v>0.23400000000000001</v>
      </c>
      <c r="I81" s="167">
        <f t="shared" si="18"/>
        <v>0.54235734090015209</v>
      </c>
      <c r="J81" s="167">
        <f t="shared" si="22"/>
        <v>1.2201898365325212</v>
      </c>
      <c r="K81" s="132">
        <f t="shared" si="19"/>
        <v>6.4250000000000002E-2</v>
      </c>
      <c r="L81" s="132">
        <f t="shared" si="20"/>
        <v>1.8379665747214492E-2</v>
      </c>
      <c r="M81" s="134"/>
      <c r="N81" s="134"/>
      <c r="O81" s="135"/>
      <c r="P81" s="135"/>
    </row>
    <row r="82" spans="1:16">
      <c r="A82" s="103" t="s">
        <v>2573</v>
      </c>
      <c r="B82" s="88" t="s">
        <v>637</v>
      </c>
      <c r="C82" s="120">
        <f t="shared" si="21"/>
        <v>47.355037157675632</v>
      </c>
      <c r="D82" s="120">
        <f t="shared" si="21"/>
        <v>0.31757233184007161</v>
      </c>
      <c r="E82" s="120">
        <f t="shared" si="17"/>
        <v>52.327390510484292</v>
      </c>
      <c r="F82" s="120">
        <f t="shared" si="17"/>
        <v>0</v>
      </c>
      <c r="G82" s="167">
        <f t="shared" si="17"/>
        <v>0.72239589999999998</v>
      </c>
      <c r="H82" s="132">
        <f t="shared" si="17"/>
        <v>0.14599999999999999</v>
      </c>
      <c r="I82" s="167">
        <f t="shared" si="18"/>
        <v>0.40628948861517949</v>
      </c>
      <c r="J82" s="167">
        <f t="shared" si="22"/>
        <v>0.97240043185719327</v>
      </c>
      <c r="K82" s="132">
        <f t="shared" si="19"/>
        <v>6.4250000000000002E-2</v>
      </c>
      <c r="L82" s="132">
        <f t="shared" si="20"/>
        <v>1.6062791171824669E-2</v>
      </c>
      <c r="M82" s="134"/>
      <c r="N82" s="134"/>
      <c r="O82" s="135"/>
      <c r="P82" s="135"/>
    </row>
    <row r="83" spans="1:16">
      <c r="A83" s="103" t="s">
        <v>2579</v>
      </c>
      <c r="B83" s="88" t="s">
        <v>2380</v>
      </c>
      <c r="C83" s="120">
        <f t="shared" si="21"/>
        <v>39.79750803770947</v>
      </c>
      <c r="D83" s="120">
        <f t="shared" si="21"/>
        <v>0</v>
      </c>
      <c r="E83" s="120">
        <f t="shared" si="17"/>
        <v>60.202491962290537</v>
      </c>
      <c r="F83" s="120">
        <f t="shared" si="17"/>
        <v>0</v>
      </c>
      <c r="G83" s="167">
        <f t="shared" si="17"/>
        <v>0.82918805364407167</v>
      </c>
      <c r="H83" s="132">
        <f t="shared" si="17"/>
        <v>0.114</v>
      </c>
      <c r="I83" s="167">
        <f t="shared" si="18"/>
        <v>0.52291613678608884</v>
      </c>
      <c r="J83" s="167">
        <f t="shared" si="22"/>
        <v>1.2788326953632845</v>
      </c>
      <c r="K83" s="132">
        <f t="shared" si="19"/>
        <v>6.4250000000000002E-2</v>
      </c>
      <c r="L83" s="132">
        <f t="shared" si="20"/>
        <v>2.8889668230459423E-2</v>
      </c>
      <c r="M83" s="134"/>
      <c r="N83" s="134"/>
      <c r="O83" s="135"/>
      <c r="P83" s="135"/>
    </row>
    <row r="84" spans="1:16">
      <c r="A84" s="103" t="s">
        <v>2387</v>
      </c>
      <c r="B84" s="88" t="s">
        <v>2388</v>
      </c>
      <c r="C84" s="120">
        <f t="shared" si="21"/>
        <v>52.398287974465219</v>
      </c>
      <c r="D84" s="120">
        <f t="shared" si="21"/>
        <v>0.63958919925185598</v>
      </c>
      <c r="E84" s="120">
        <f t="shared" si="17"/>
        <v>46.962122826282929</v>
      </c>
      <c r="F84" s="120">
        <f t="shared" si="17"/>
        <v>0</v>
      </c>
      <c r="G84" s="167">
        <f t="shared" si="17"/>
        <v>0.74464980030632322</v>
      </c>
      <c r="H84" s="132">
        <f t="shared" si="17"/>
        <v>0.25700000000000001</v>
      </c>
      <c r="I84" s="167">
        <f t="shared" si="18"/>
        <v>0.40489328183167222</v>
      </c>
      <c r="J84" s="167">
        <f t="shared" si="22"/>
        <v>0.89573049027529872</v>
      </c>
      <c r="K84" s="132">
        <f t="shared" si="19"/>
        <v>6.4250000000000002E-2</v>
      </c>
      <c r="L84" s="132">
        <f t="shared" si="20"/>
        <v>9.7069343305066762E-3</v>
      </c>
      <c r="M84" s="134"/>
      <c r="N84" s="134"/>
      <c r="O84" s="135"/>
      <c r="P84" s="135"/>
    </row>
    <row r="85" spans="1:16">
      <c r="A85" s="103" t="s">
        <v>2538</v>
      </c>
      <c r="B85" s="88" t="s">
        <v>2539</v>
      </c>
      <c r="C85" s="120">
        <f t="shared" si="21"/>
        <v>39.54935552780416</v>
      </c>
      <c r="D85" s="120">
        <f t="shared" si="21"/>
        <v>4.0505407783519159E-4</v>
      </c>
      <c r="E85" s="120">
        <f t="shared" si="17"/>
        <v>60.450239418118002</v>
      </c>
      <c r="F85" s="120">
        <f t="shared" si="17"/>
        <v>0</v>
      </c>
      <c r="G85" s="167">
        <f t="shared" si="17"/>
        <v>0.83247976724837924</v>
      </c>
      <c r="H85" s="132">
        <f t="shared" si="17"/>
        <v>0.14899999999999999</v>
      </c>
      <c r="I85" s="167">
        <f t="shared" si="18"/>
        <v>0.53474826981260637</v>
      </c>
      <c r="J85" s="167">
        <f t="shared" si="22"/>
        <v>1.2772321701245204</v>
      </c>
      <c r="K85" s="132">
        <f t="shared" si="19"/>
        <v>6.4250000000000002E-2</v>
      </c>
      <c r="L85" s="132">
        <f t="shared" si="20"/>
        <v>2.857534188479207E-2</v>
      </c>
      <c r="M85" s="134"/>
      <c r="N85" s="134"/>
      <c r="O85" s="135"/>
      <c r="P85" s="135"/>
    </row>
    <row r="86" spans="1:16">
      <c r="A86" s="155" t="s">
        <v>2540</v>
      </c>
      <c r="B86" s="88" t="s">
        <v>2541</v>
      </c>
      <c r="C86" s="120">
        <f t="shared" si="21"/>
        <v>42.863774092268784</v>
      </c>
      <c r="D86" s="120">
        <f t="shared" si="21"/>
        <v>10.86671947546769</v>
      </c>
      <c r="E86" s="120">
        <f t="shared" si="17"/>
        <v>46.269506432263526</v>
      </c>
      <c r="F86" s="120">
        <f t="shared" si="17"/>
        <v>0</v>
      </c>
      <c r="G86" s="167">
        <f t="shared" si="17"/>
        <v>0.86346076191264043</v>
      </c>
      <c r="H86" s="132">
        <f t="shared" si="17"/>
        <v>0.151</v>
      </c>
      <c r="I86" s="167">
        <f t="shared" si="18"/>
        <v>0.43479529949811913</v>
      </c>
      <c r="J86" s="167">
        <f t="shared" si="22"/>
        <v>1.03707832515554</v>
      </c>
      <c r="K86" s="132">
        <f t="shared" si="19"/>
        <v>6.4250000000000002E-2</v>
      </c>
      <c r="L86" s="132">
        <f t="shared" si="20"/>
        <v>1.1154928438356297E-2</v>
      </c>
      <c r="M86" s="134"/>
      <c r="N86" s="134"/>
      <c r="O86" s="135"/>
      <c r="P86" s="135"/>
    </row>
    <row r="87" spans="1:16" ht="14" thickBot="1">
      <c r="A87" s="154" t="s">
        <v>2575</v>
      </c>
      <c r="B87" s="106"/>
      <c r="C87" s="107"/>
      <c r="D87" s="107"/>
      <c r="E87" s="107">
        <f>AVERAGE(E79:E86)</f>
        <v>50.493621034105892</v>
      </c>
      <c r="F87" s="107"/>
      <c r="G87" s="107">
        <f>AVERAGE(G79:G86)</f>
        <v>0.8675979228889269</v>
      </c>
      <c r="H87" s="108"/>
      <c r="I87" s="170"/>
      <c r="J87" s="166"/>
      <c r="K87" s="143"/>
      <c r="L87" s="184">
        <f>AVERAGE(L79:L86)</f>
        <v>1.6345879743107118E-2</v>
      </c>
      <c r="M87" s="88"/>
      <c r="N87" s="88"/>
      <c r="O87" s="88"/>
      <c r="P87" s="88"/>
    </row>
    <row r="88" spans="1:16">
      <c r="A88" s="103"/>
      <c r="B88" s="95"/>
      <c r="C88" s="104"/>
      <c r="D88" s="104"/>
      <c r="E88" s="104"/>
      <c r="F88" s="104"/>
      <c r="G88" s="120"/>
      <c r="H88" s="88"/>
      <c r="I88" s="171"/>
      <c r="J88" s="120"/>
      <c r="K88" s="144"/>
      <c r="L88" s="144"/>
      <c r="M88" s="88"/>
      <c r="N88" s="88"/>
      <c r="O88" s="88"/>
      <c r="P88" s="88"/>
    </row>
    <row r="89" spans="1:16">
      <c r="A89" s="103"/>
      <c r="B89" s="95"/>
      <c r="C89" s="104"/>
      <c r="D89" s="104"/>
      <c r="E89" s="104"/>
      <c r="F89" s="104"/>
      <c r="G89" s="120"/>
      <c r="H89" s="88"/>
      <c r="I89" s="171"/>
      <c r="J89" s="120"/>
      <c r="K89" s="144"/>
      <c r="L89" s="144"/>
      <c r="M89" s="88"/>
      <c r="N89" s="88"/>
      <c r="O89" s="88"/>
      <c r="P89" s="88"/>
    </row>
    <row r="90" spans="1:16">
      <c r="A90" s="103"/>
      <c r="B90" s="88"/>
      <c r="C90" s="88"/>
      <c r="D90" s="88"/>
      <c r="E90" s="120"/>
      <c r="F90" s="120"/>
      <c r="G90" s="120"/>
      <c r="H90" s="88"/>
      <c r="I90" s="120"/>
      <c r="J90" s="120"/>
      <c r="K90" s="88"/>
      <c r="L90" s="132"/>
      <c r="M90" s="87"/>
      <c r="N90" s="87"/>
      <c r="O90" s="87"/>
      <c r="P90" s="87"/>
    </row>
    <row r="91" spans="1:16">
      <c r="A91" s="103"/>
      <c r="B91" s="88"/>
      <c r="C91" s="88"/>
      <c r="D91" s="88"/>
      <c r="E91" s="120"/>
      <c r="F91" s="120"/>
      <c r="G91" s="120"/>
      <c r="H91" s="88"/>
      <c r="I91" s="120"/>
      <c r="J91" s="120"/>
      <c r="K91" s="88"/>
      <c r="L91" s="132"/>
      <c r="M91" s="87"/>
      <c r="N91" s="87"/>
      <c r="O91" s="87"/>
      <c r="P91" s="87"/>
    </row>
    <row r="92" spans="1:16" ht="14" thickBot="1">
      <c r="A92" s="103"/>
      <c r="B92" s="88"/>
      <c r="C92" s="88"/>
      <c r="D92" s="88"/>
      <c r="E92" s="120"/>
      <c r="F92" s="120"/>
      <c r="G92" s="120"/>
      <c r="H92" s="88"/>
      <c r="I92" s="120"/>
      <c r="J92" s="120"/>
      <c r="K92" s="88"/>
      <c r="L92" s="132"/>
      <c r="M92" s="87"/>
      <c r="N92" s="87"/>
      <c r="O92" s="87"/>
      <c r="P92" s="87"/>
    </row>
    <row r="93" spans="1:16">
      <c r="A93" s="206" t="s">
        <v>2582</v>
      </c>
      <c r="B93" s="209" t="s">
        <v>1</v>
      </c>
      <c r="C93" s="200" t="s">
        <v>2560</v>
      </c>
      <c r="D93" s="200"/>
      <c r="E93" s="200"/>
      <c r="F93" s="200"/>
      <c r="G93" s="202" t="s">
        <v>2561</v>
      </c>
      <c r="H93" s="200" t="s">
        <v>2562</v>
      </c>
      <c r="I93" s="202" t="s">
        <v>2563</v>
      </c>
      <c r="J93" s="202" t="s">
        <v>2564</v>
      </c>
      <c r="K93" s="200" t="s">
        <v>2583</v>
      </c>
      <c r="L93" s="212" t="s">
        <v>2566</v>
      </c>
      <c r="M93" s="87"/>
      <c r="N93" s="87"/>
      <c r="O93" s="87"/>
      <c r="P93" s="87"/>
    </row>
    <row r="94" spans="1:16" ht="14.25" customHeight="1">
      <c r="A94" s="207"/>
      <c r="B94" s="210"/>
      <c r="C94" s="201" t="s">
        <v>2567</v>
      </c>
      <c r="D94" s="201"/>
      <c r="E94" s="201"/>
      <c r="F94" s="201"/>
      <c r="G94" s="203"/>
      <c r="H94" s="201"/>
      <c r="I94" s="203"/>
      <c r="J94" s="203"/>
      <c r="K94" s="201"/>
      <c r="L94" s="213"/>
      <c r="M94" s="87"/>
      <c r="N94" s="87"/>
      <c r="O94" s="87"/>
      <c r="P94" s="87"/>
    </row>
    <row r="95" spans="1:16">
      <c r="A95" s="208"/>
      <c r="B95" s="211"/>
      <c r="C95" s="148" t="s">
        <v>2568</v>
      </c>
      <c r="D95" s="148" t="s">
        <v>2569</v>
      </c>
      <c r="E95" s="139" t="s">
        <v>2570</v>
      </c>
      <c r="F95" s="139" t="s">
        <v>2571</v>
      </c>
      <c r="G95" s="204"/>
      <c r="H95" s="205"/>
      <c r="I95" s="204"/>
      <c r="J95" s="173" t="s">
        <v>2594</v>
      </c>
      <c r="K95" s="205"/>
      <c r="L95" s="149" t="str">
        <f>J95</f>
        <v>45% or 38%</v>
      </c>
      <c r="M95" s="87"/>
      <c r="N95" s="87"/>
      <c r="O95" s="87"/>
      <c r="P95" s="87"/>
    </row>
    <row r="96" spans="1:16">
      <c r="A96" s="192" t="s">
        <v>2572</v>
      </c>
      <c r="B96" s="193" t="s">
        <v>430</v>
      </c>
      <c r="C96" s="120">
        <f>_xlfn.XLOOKUP($B96, $B$4:$B$45, C$4:C$45)</f>
        <v>44.306914735654445</v>
      </c>
      <c r="D96" s="120">
        <f>_xlfn.XLOOKUP($B96, $B$4:$B$45, D$4:D$45)</f>
        <v>5.3392152668460762</v>
      </c>
      <c r="E96" s="120">
        <f t="shared" ref="E96:K111" si="23">_xlfn.XLOOKUP($B96, $B$4:$B$45, E$4:E$45)</f>
        <v>50.35386999749948</v>
      </c>
      <c r="F96" s="120">
        <f t="shared" si="23"/>
        <v>0</v>
      </c>
      <c r="G96" s="163">
        <f t="shared" si="23"/>
        <v>1.15571</v>
      </c>
      <c r="H96" s="105">
        <f>_xlfn.XLOOKUP($B96, $B$4:$B$45, H$4:H$45)</f>
        <v>0.245</v>
      </c>
      <c r="I96" s="167">
        <f t="shared" ref="I96:K120" si="24">_xlfn.XLOOKUP($B96, $B$4:$B$45, I$4:I$45)</f>
        <v>0.66253026719921182</v>
      </c>
      <c r="J96" s="163">
        <f t="shared" si="23"/>
        <v>1.2738984748758178</v>
      </c>
      <c r="K96" s="136">
        <f t="shared" si="23"/>
        <v>6.4250000000000002E-2</v>
      </c>
      <c r="L96" s="105">
        <f t="shared" ref="L96:L120" si="25">IFERROR(K96*(J96-G96),"n/a")</f>
        <v>7.5936095107712901E-3</v>
      </c>
      <c r="M96" s="87"/>
      <c r="N96" s="87"/>
      <c r="O96" s="87"/>
      <c r="P96" s="87"/>
    </row>
    <row r="97" spans="1:16">
      <c r="A97" s="192" t="s">
        <v>2459</v>
      </c>
      <c r="B97" s="193" t="s">
        <v>610</v>
      </c>
      <c r="C97" s="137">
        <f t="shared" ref="C97:H120" si="26">_xlfn.XLOOKUP($B97, $B$4:$B$45, C$4:C$45)</f>
        <v>62.448371719759479</v>
      </c>
      <c r="D97" s="137">
        <f t="shared" si="26"/>
        <v>0</v>
      </c>
      <c r="E97" s="137">
        <f t="shared" si="23"/>
        <v>35.916692549130055</v>
      </c>
      <c r="F97" s="137">
        <f t="shared" si="23"/>
        <v>1.6349357311104638</v>
      </c>
      <c r="G97" s="120">
        <f t="shared" si="23"/>
        <v>0.85877409999999998</v>
      </c>
      <c r="H97" s="132">
        <f t="shared" si="23"/>
        <v>0.21639344262295082</v>
      </c>
      <c r="I97" s="120">
        <f t="shared" si="24"/>
        <v>0.35810200074326537</v>
      </c>
      <c r="J97" s="120">
        <f t="shared" si="23"/>
        <v>0.7010710936226987</v>
      </c>
      <c r="K97" s="145">
        <f t="shared" si="23"/>
        <v>6.4250000000000002E-2</v>
      </c>
      <c r="L97" s="180">
        <f t="shared" si="25"/>
        <v>-1.0132418159741608E-2</v>
      </c>
      <c r="M97" s="87"/>
      <c r="N97" s="87"/>
      <c r="O97" s="87"/>
      <c r="P97" s="87"/>
    </row>
    <row r="98" spans="1:16">
      <c r="A98" s="192" t="s">
        <v>2460</v>
      </c>
      <c r="B98" s="193" t="s">
        <v>445</v>
      </c>
      <c r="C98" s="137">
        <f t="shared" si="26"/>
        <v>48.728250475051112</v>
      </c>
      <c r="D98" s="137">
        <f t="shared" si="26"/>
        <v>4.8737641917640868</v>
      </c>
      <c r="E98" s="137">
        <f t="shared" si="23"/>
        <v>46.397985333184806</v>
      </c>
      <c r="F98" s="137">
        <f t="shared" si="23"/>
        <v>0</v>
      </c>
      <c r="G98" s="120">
        <f t="shared" si="23"/>
        <v>0.71881010000000001</v>
      </c>
      <c r="H98" s="132">
        <f t="shared" si="23"/>
        <v>0.11</v>
      </c>
      <c r="I98" s="120">
        <f t="shared" si="24"/>
        <v>0.3544102165601925</v>
      </c>
      <c r="J98" s="120">
        <f t="shared" si="23"/>
        <v>0.73992977435177987</v>
      </c>
      <c r="K98" s="145">
        <f t="shared" si="23"/>
        <v>6.4250000000000002E-2</v>
      </c>
      <c r="L98" s="180">
        <f t="shared" si="25"/>
        <v>1.3569390771018561E-3</v>
      </c>
      <c r="M98" s="87"/>
      <c r="N98" s="87"/>
      <c r="O98" s="87"/>
      <c r="P98" s="87"/>
    </row>
    <row r="99" spans="1:16">
      <c r="A99" s="192" t="s">
        <v>2461</v>
      </c>
      <c r="B99" s="193" t="s">
        <v>652</v>
      </c>
      <c r="C99" s="137">
        <f t="shared" si="26"/>
        <v>46.71986217527315</v>
      </c>
      <c r="D99" s="137">
        <f t="shared" si="26"/>
        <v>1.813483247948497</v>
      </c>
      <c r="E99" s="137">
        <f t="shared" si="23"/>
        <v>51.466654576778346</v>
      </c>
      <c r="F99" s="137">
        <f t="shared" si="23"/>
        <v>0</v>
      </c>
      <c r="G99" s="120">
        <f t="shared" si="23"/>
        <v>0.93412499999999998</v>
      </c>
      <c r="H99" s="132">
        <f t="shared" si="23"/>
        <v>0.23400000000000001</v>
      </c>
      <c r="I99" s="120">
        <f t="shared" si="24"/>
        <v>0.54235734090015209</v>
      </c>
      <c r="J99" s="120">
        <f t="shared" si="23"/>
        <v>1.0501243358362278</v>
      </c>
      <c r="K99" s="145">
        <f t="shared" si="23"/>
        <v>6.4250000000000002E-2</v>
      </c>
      <c r="L99" s="180">
        <f t="shared" si="25"/>
        <v>7.4529573274776358E-3</v>
      </c>
      <c r="M99" s="87"/>
      <c r="N99" s="87"/>
      <c r="O99" s="87"/>
      <c r="P99" s="87"/>
    </row>
    <row r="100" spans="1:16">
      <c r="A100" s="103" t="s">
        <v>2573</v>
      </c>
      <c r="B100" s="88" t="s">
        <v>637</v>
      </c>
      <c r="C100" s="120">
        <f t="shared" si="26"/>
        <v>47.355037157675632</v>
      </c>
      <c r="D100" s="120">
        <f t="shared" si="26"/>
        <v>0.31757233184007161</v>
      </c>
      <c r="E100" s="120">
        <f t="shared" si="23"/>
        <v>52.327390510484292</v>
      </c>
      <c r="F100" s="120">
        <f t="shared" si="23"/>
        <v>0</v>
      </c>
      <c r="G100" s="120">
        <f t="shared" si="23"/>
        <v>0.72239589999999998</v>
      </c>
      <c r="H100" s="132">
        <f t="shared" si="23"/>
        <v>0.14599999999999999</v>
      </c>
      <c r="I100" s="120">
        <f t="shared" si="24"/>
        <v>0.40628948861517949</v>
      </c>
      <c r="J100" s="120">
        <f>_xlfn.XLOOKUP($B100, $B$4:$B$45, J$4:J$45)</f>
        <v>0.83036542817640124</v>
      </c>
      <c r="K100" s="130">
        <f t="shared" si="23"/>
        <v>6.4250000000000002E-2</v>
      </c>
      <c r="L100" s="132">
        <f t="shared" si="25"/>
        <v>6.9370421853337813E-3</v>
      </c>
      <c r="M100" s="87"/>
      <c r="N100" s="87"/>
      <c r="O100" s="87"/>
      <c r="P100" s="87"/>
    </row>
    <row r="101" spans="1:16">
      <c r="A101" s="103" t="s">
        <v>2574</v>
      </c>
      <c r="B101" s="88" t="s">
        <v>2504</v>
      </c>
      <c r="C101" s="120">
        <f t="shared" si="26"/>
        <v>53.684566532636879</v>
      </c>
      <c r="D101" s="120">
        <f t="shared" si="26"/>
        <v>1.048438615610086</v>
      </c>
      <c r="E101" s="120">
        <f t="shared" si="23"/>
        <v>45.266994851753033</v>
      </c>
      <c r="F101" s="120">
        <f t="shared" si="23"/>
        <v>0</v>
      </c>
      <c r="G101" s="120">
        <f t="shared" si="23"/>
        <v>0.69190260000000003</v>
      </c>
      <c r="H101" s="132">
        <f t="shared" si="23"/>
        <v>0.13993710691823899</v>
      </c>
      <c r="I101" s="120">
        <f t="shared" si="24"/>
        <v>0.33918207448428689</v>
      </c>
      <c r="J101" s="120">
        <f t="shared" si="23"/>
        <v>0.69572619436058925</v>
      </c>
      <c r="K101" s="130">
        <f t="shared" si="23"/>
        <v>6.4250000000000002E-2</v>
      </c>
      <c r="L101" s="132">
        <f t="shared" si="25"/>
        <v>2.4566593766785683E-4</v>
      </c>
      <c r="M101" s="87"/>
      <c r="N101" s="87"/>
      <c r="O101" s="87"/>
      <c r="P101" s="87"/>
    </row>
    <row r="102" spans="1:16">
      <c r="A102" s="103" t="s">
        <v>2400</v>
      </c>
      <c r="B102" s="88" t="s">
        <v>2401</v>
      </c>
      <c r="C102" s="120">
        <f t="shared" si="26"/>
        <v>46.885162988888972</v>
      </c>
      <c r="D102" s="120">
        <f t="shared" si="26"/>
        <v>2.1180154043814552</v>
      </c>
      <c r="E102" s="120">
        <f t="shared" si="23"/>
        <v>50.996821606729569</v>
      </c>
      <c r="F102" s="120">
        <f t="shared" si="23"/>
        <v>0</v>
      </c>
      <c r="G102" s="120">
        <f t="shared" si="23"/>
        <v>0.87370040181842501</v>
      </c>
      <c r="H102" s="132">
        <f t="shared" si="23"/>
        <v>6.0000000000000001E-3</v>
      </c>
      <c r="I102" s="120">
        <f t="shared" si="24"/>
        <v>0.44687332809757929</v>
      </c>
      <c r="J102" s="120">
        <f t="shared" si="23"/>
        <v>0.98977476914412732</v>
      </c>
      <c r="K102" s="130">
        <f t="shared" si="23"/>
        <v>6.4250000000000002E-2</v>
      </c>
      <c r="L102" s="132">
        <f t="shared" si="25"/>
        <v>7.4577781006763735E-3</v>
      </c>
      <c r="M102" s="87"/>
      <c r="N102" s="87"/>
      <c r="O102" s="87"/>
      <c r="P102" s="87"/>
    </row>
    <row r="103" spans="1:16">
      <c r="A103" s="103" t="s">
        <v>2402</v>
      </c>
      <c r="B103" s="88" t="s">
        <v>1930</v>
      </c>
      <c r="C103" s="120">
        <f t="shared" si="26"/>
        <v>44.137938601801629</v>
      </c>
      <c r="D103" s="120">
        <f t="shared" si="26"/>
        <v>3.6925678334463385</v>
      </c>
      <c r="E103" s="120">
        <f t="shared" si="23"/>
        <v>51.679468047752806</v>
      </c>
      <c r="F103" s="120">
        <f t="shared" si="23"/>
        <v>0.49002551699922514</v>
      </c>
      <c r="G103" s="120">
        <f t="shared" si="23"/>
        <v>0.83927651394938352</v>
      </c>
      <c r="H103" s="132">
        <f t="shared" si="23"/>
        <v>0.12</v>
      </c>
      <c r="I103" s="120">
        <f t="shared" si="24"/>
        <v>0.46043159752266721</v>
      </c>
      <c r="J103" s="120">
        <f t="shared" si="23"/>
        <v>0.95565136019149166</v>
      </c>
      <c r="K103" s="130">
        <f t="shared" si="23"/>
        <v>6.4250000000000002E-2</v>
      </c>
      <c r="L103" s="132">
        <f t="shared" si="25"/>
        <v>7.4770838710554481E-3</v>
      </c>
      <c r="M103" s="87"/>
      <c r="N103" s="87"/>
      <c r="O103" s="87"/>
      <c r="P103" s="87"/>
    </row>
    <row r="104" spans="1:16">
      <c r="A104" s="103" t="s">
        <v>2403</v>
      </c>
      <c r="B104" s="88" t="s">
        <v>946</v>
      </c>
      <c r="C104" s="120">
        <f t="shared" si="26"/>
        <v>50.695105118023719</v>
      </c>
      <c r="D104" s="120">
        <f t="shared" si="26"/>
        <v>1.6546185080761218</v>
      </c>
      <c r="E104" s="120">
        <f t="shared" si="23"/>
        <v>47.650276373900155</v>
      </c>
      <c r="F104" s="120">
        <f t="shared" si="23"/>
        <v>0</v>
      </c>
      <c r="G104" s="120">
        <f t="shared" si="23"/>
        <v>0.84497239355831155</v>
      </c>
      <c r="H104" s="132">
        <f t="shared" si="23"/>
        <v>0.21</v>
      </c>
      <c r="I104" s="120">
        <f t="shared" si="24"/>
        <v>0.45236181432771438</v>
      </c>
      <c r="J104" s="120">
        <f t="shared" si="23"/>
        <v>0.88914227727302975</v>
      </c>
      <c r="K104" s="130">
        <f t="shared" si="23"/>
        <v>6.4250000000000002E-2</v>
      </c>
      <c r="L104" s="132">
        <f t="shared" si="25"/>
        <v>2.8379150286706439E-3</v>
      </c>
      <c r="M104" s="87"/>
      <c r="N104" s="87"/>
      <c r="O104" s="87"/>
      <c r="P104" s="87"/>
    </row>
    <row r="105" spans="1:16">
      <c r="A105" s="103" t="s">
        <v>2415</v>
      </c>
      <c r="B105" s="88" t="s">
        <v>763</v>
      </c>
      <c r="C105" s="120">
        <f t="shared" si="26"/>
        <v>45.855890300126745</v>
      </c>
      <c r="D105" s="120">
        <f t="shared" si="26"/>
        <v>2.708600944757023</v>
      </c>
      <c r="E105" s="120">
        <f t="shared" si="23"/>
        <v>51.435508755116231</v>
      </c>
      <c r="F105" s="120">
        <f t="shared" si="23"/>
        <v>0</v>
      </c>
      <c r="G105" s="120">
        <f t="shared" si="23"/>
        <v>0.82378961834926434</v>
      </c>
      <c r="H105" s="132">
        <f t="shared" si="23"/>
        <v>9.1999999999999998E-2</v>
      </c>
      <c r="I105" s="120">
        <f t="shared" si="24"/>
        <v>0.4435373330010588</v>
      </c>
      <c r="J105" s="120">
        <f t="shared" si="23"/>
        <v>0.9357652087804561</v>
      </c>
      <c r="K105" s="130">
        <f t="shared" si="23"/>
        <v>6.4250000000000002E-2</v>
      </c>
      <c r="L105" s="132">
        <f t="shared" si="25"/>
        <v>7.1944316852040708E-3</v>
      </c>
      <c r="M105" s="87"/>
      <c r="N105" s="87"/>
      <c r="O105" s="87"/>
      <c r="P105" s="87"/>
    </row>
    <row r="106" spans="1:16">
      <c r="A106" s="103" t="s">
        <v>2420</v>
      </c>
      <c r="B106" s="88" t="s">
        <v>1115</v>
      </c>
      <c r="C106" s="120">
        <f t="shared" si="26"/>
        <v>47.990985455774066</v>
      </c>
      <c r="D106" s="120">
        <f t="shared" si="26"/>
        <v>3.1016018350390078E-3</v>
      </c>
      <c r="E106" s="120">
        <f t="shared" si="23"/>
        <v>51.911648572894606</v>
      </c>
      <c r="F106" s="120">
        <f t="shared" si="23"/>
        <v>9.4264369496283557E-2</v>
      </c>
      <c r="G106" s="120">
        <f t="shared" si="23"/>
        <v>0.97465009387607859</v>
      </c>
      <c r="H106" s="132">
        <f t="shared" si="23"/>
        <v>0.161</v>
      </c>
      <c r="I106" s="120">
        <f t="shared" si="24"/>
        <v>0.54841657436860292</v>
      </c>
      <c r="J106" s="120">
        <f t="shared" si="23"/>
        <v>1.1107873037961402</v>
      </c>
      <c r="K106" s="130">
        <f t="shared" si="23"/>
        <v>6.4250000000000002E-2</v>
      </c>
      <c r="L106" s="132">
        <f t="shared" si="25"/>
        <v>8.7468157373639596E-3</v>
      </c>
      <c r="M106" s="87"/>
      <c r="N106" s="87"/>
      <c r="O106" s="87"/>
      <c r="P106" s="87"/>
    </row>
    <row r="107" spans="1:16">
      <c r="A107" s="103" t="s">
        <v>1328</v>
      </c>
      <c r="B107" s="88" t="s">
        <v>764</v>
      </c>
      <c r="C107" s="120">
        <f t="shared" si="26"/>
        <v>41.03249822202735</v>
      </c>
      <c r="D107" s="120">
        <f t="shared" si="26"/>
        <v>3.9376742073792692</v>
      </c>
      <c r="E107" s="120">
        <f t="shared" si="23"/>
        <v>54.436051094018232</v>
      </c>
      <c r="F107" s="120">
        <f t="shared" si="23"/>
        <v>0.59377647657514498</v>
      </c>
      <c r="G107" s="120">
        <f t="shared" si="23"/>
        <v>0.90169525929291461</v>
      </c>
      <c r="H107" s="132">
        <f t="shared" si="23"/>
        <v>0.19800000000000001</v>
      </c>
      <c r="I107" s="120">
        <f t="shared" si="24"/>
        <v>0.53952105767404257</v>
      </c>
      <c r="J107" s="120">
        <f t="shared" si="23"/>
        <v>1.0683715877629762</v>
      </c>
      <c r="K107" s="130">
        <f t="shared" si="23"/>
        <v>6.4250000000000002E-2</v>
      </c>
      <c r="L107" s="132">
        <f t="shared" si="25"/>
        <v>1.0708954104201461E-2</v>
      </c>
      <c r="M107" s="87"/>
      <c r="N107" s="87"/>
      <c r="O107" s="87"/>
      <c r="P107" s="87"/>
    </row>
    <row r="108" spans="1:16">
      <c r="A108" s="103" t="s">
        <v>2421</v>
      </c>
      <c r="B108" s="88" t="s">
        <v>1366</v>
      </c>
      <c r="C108" s="120">
        <f t="shared" si="26"/>
        <v>45.657238909721279</v>
      </c>
      <c r="D108" s="120">
        <f t="shared" si="26"/>
        <v>2.292903089536579</v>
      </c>
      <c r="E108" s="120">
        <f t="shared" si="23"/>
        <v>52.049858000742141</v>
      </c>
      <c r="F108" s="120">
        <f t="shared" si="23"/>
        <v>0</v>
      </c>
      <c r="G108" s="120">
        <f t="shared" si="23"/>
        <v>0.98249693606702992</v>
      </c>
      <c r="H108" s="132">
        <f t="shared" si="23"/>
        <v>0.13800000000000001</v>
      </c>
      <c r="I108" s="120">
        <f t="shared" si="24"/>
        <v>0.54762527978529307</v>
      </c>
      <c r="J108" s="120">
        <f t="shared" si="23"/>
        <v>1.1245789356657541</v>
      </c>
      <c r="K108" s="130">
        <f t="shared" si="23"/>
        <v>6.4250000000000002E-2</v>
      </c>
      <c r="L108" s="132">
        <f t="shared" si="25"/>
        <v>9.1287684742180266E-3</v>
      </c>
      <c r="M108" s="87"/>
      <c r="N108" s="87"/>
      <c r="O108" s="87"/>
      <c r="P108" s="87"/>
    </row>
    <row r="109" spans="1:16">
      <c r="A109" s="103" t="s">
        <v>2526</v>
      </c>
      <c r="B109" s="88" t="s">
        <v>2527</v>
      </c>
      <c r="C109" s="120">
        <f t="shared" si="26"/>
        <v>37.11398538865344</v>
      </c>
      <c r="D109" s="120">
        <f t="shared" si="26"/>
        <v>6.9546894248985778</v>
      </c>
      <c r="E109" s="120">
        <f t="shared" si="23"/>
        <v>55.931325186447992</v>
      </c>
      <c r="F109" s="120">
        <f t="shared" si="23"/>
        <v>0</v>
      </c>
      <c r="G109" s="120">
        <f t="shared" si="23"/>
        <v>0.8927250421094256</v>
      </c>
      <c r="H109" s="132">
        <f t="shared" si="23"/>
        <v>0.09</v>
      </c>
      <c r="I109" s="120">
        <f t="shared" si="24"/>
        <v>0.51993448780371287</v>
      </c>
      <c r="J109" s="120">
        <f>_xlfn.XLOOKUP($B109, $B$4:$B$45, J$4:J$45)</f>
        <v>1.0982171792387314</v>
      </c>
      <c r="K109" s="130">
        <f t="shared" si="23"/>
        <v>6.4250000000000002E-2</v>
      </c>
      <c r="L109" s="132">
        <f t="shared" si="25"/>
        <v>1.3202869810557898E-2</v>
      </c>
      <c r="M109" s="87"/>
      <c r="N109" s="87"/>
      <c r="O109" s="87"/>
      <c r="P109" s="87"/>
    </row>
    <row r="110" spans="1:16">
      <c r="A110" s="103" t="s">
        <v>2432</v>
      </c>
      <c r="B110" s="88" t="s">
        <v>1138</v>
      </c>
      <c r="C110" s="120">
        <f t="shared" si="26"/>
        <v>39.63717632338421</v>
      </c>
      <c r="D110" s="120">
        <f t="shared" si="26"/>
        <v>4.092051939106395</v>
      </c>
      <c r="E110" s="120">
        <f t="shared" si="23"/>
        <v>56.270771737509392</v>
      </c>
      <c r="F110" s="120">
        <f t="shared" si="23"/>
        <v>0</v>
      </c>
      <c r="G110" s="120">
        <f t="shared" si="23"/>
        <v>0.91219232010489681</v>
      </c>
      <c r="H110" s="132">
        <f t="shared" si="23"/>
        <v>0.125</v>
      </c>
      <c r="I110" s="120">
        <f t="shared" si="24"/>
        <v>0.54297765026569156</v>
      </c>
      <c r="J110" s="120">
        <f t="shared" si="23"/>
        <v>1.123662081799834</v>
      </c>
      <c r="K110" s="130">
        <f t="shared" si="23"/>
        <v>6.4250000000000002E-2</v>
      </c>
      <c r="L110" s="132">
        <f t="shared" si="25"/>
        <v>1.3586932188899711E-2</v>
      </c>
      <c r="M110" s="87"/>
      <c r="N110" s="87"/>
      <c r="O110" s="87"/>
      <c r="P110" s="87"/>
    </row>
    <row r="111" spans="1:16">
      <c r="A111" s="103" t="s">
        <v>2435</v>
      </c>
      <c r="B111" s="88" t="s">
        <v>766</v>
      </c>
      <c r="C111" s="120">
        <f t="shared" si="26"/>
        <v>46.068948359780592</v>
      </c>
      <c r="D111" s="120">
        <f t="shared" si="26"/>
        <v>0.85899541095311693</v>
      </c>
      <c r="E111" s="120">
        <f t="shared" si="23"/>
        <v>53.072056229266295</v>
      </c>
      <c r="F111" s="120">
        <f t="shared" si="23"/>
        <v>0</v>
      </c>
      <c r="G111" s="120">
        <f t="shared" si="23"/>
        <v>1.0177614823084606</v>
      </c>
      <c r="H111" s="132">
        <f t="shared" si="23"/>
        <v>0.12</v>
      </c>
      <c r="I111" s="120">
        <f t="shared" si="24"/>
        <v>0.57237966717457611</v>
      </c>
      <c r="J111" s="120">
        <f t="shared" si="23"/>
        <v>1.1880057980912315</v>
      </c>
      <c r="K111" s="130">
        <f t="shared" si="23"/>
        <v>6.4250000000000002E-2</v>
      </c>
      <c r="L111" s="132">
        <f t="shared" si="25"/>
        <v>1.0938197289043029E-2</v>
      </c>
      <c r="M111" s="87"/>
      <c r="N111" s="87"/>
      <c r="O111" s="87"/>
      <c r="P111" s="87"/>
    </row>
    <row r="112" spans="1:16">
      <c r="A112" s="103" t="s">
        <v>2442</v>
      </c>
      <c r="B112" s="88" t="s">
        <v>767</v>
      </c>
      <c r="C112" s="120">
        <f t="shared" si="26"/>
        <v>48.669564665105824</v>
      </c>
      <c r="D112" s="120">
        <f t="shared" si="26"/>
        <v>3.517963765468378</v>
      </c>
      <c r="E112" s="120">
        <f t="shared" si="26"/>
        <v>47.812471569425796</v>
      </c>
      <c r="F112" s="120">
        <f t="shared" si="26"/>
        <v>0</v>
      </c>
      <c r="G112" s="120">
        <f t="shared" si="26"/>
        <v>0.93579719106169845</v>
      </c>
      <c r="H112" s="132">
        <f t="shared" si="26"/>
        <v>0.129</v>
      </c>
      <c r="I112" s="120">
        <f t="shared" si="24"/>
        <v>0.47972368121953884</v>
      </c>
      <c r="J112" s="120">
        <f t="shared" si="24"/>
        <v>0.99041619119336133</v>
      </c>
      <c r="K112" s="130">
        <f t="shared" si="24"/>
        <v>6.4250000000000002E-2</v>
      </c>
      <c r="L112" s="132">
        <f t="shared" si="25"/>
        <v>3.5092707584593397E-3</v>
      </c>
      <c r="M112" s="87"/>
      <c r="N112" s="87"/>
      <c r="O112" s="87"/>
      <c r="P112" s="87"/>
    </row>
    <row r="113" spans="1:16">
      <c r="A113" s="103" t="s">
        <v>2447</v>
      </c>
      <c r="B113" s="88" t="s">
        <v>31</v>
      </c>
      <c r="C113" s="120">
        <f t="shared" si="26"/>
        <v>41.892933776472269</v>
      </c>
      <c r="D113" s="120">
        <f t="shared" si="26"/>
        <v>3.7193170735697159</v>
      </c>
      <c r="E113" s="120">
        <f t="shared" si="26"/>
        <v>54.387749149958019</v>
      </c>
      <c r="F113" s="120">
        <f t="shared" si="26"/>
        <v>0</v>
      </c>
      <c r="G113" s="120">
        <f t="shared" si="26"/>
        <v>1.0663522553431179</v>
      </c>
      <c r="H113" s="132">
        <f t="shared" si="26"/>
        <v>0.19900000000000001</v>
      </c>
      <c r="I113" s="120">
        <f t="shared" si="24"/>
        <v>0.63786275841933004</v>
      </c>
      <c r="J113" s="120">
        <f t="shared" si="24"/>
        <v>1.2623303989118542</v>
      </c>
      <c r="K113" s="130">
        <f t="shared" si="24"/>
        <v>6.4250000000000002E-2</v>
      </c>
      <c r="L113" s="132">
        <f t="shared" si="25"/>
        <v>1.2591595724291303E-2</v>
      </c>
      <c r="M113" s="87"/>
      <c r="N113" s="87"/>
      <c r="O113" s="87"/>
      <c r="P113" s="87"/>
    </row>
    <row r="114" spans="1:16">
      <c r="A114" s="103" t="s">
        <v>2445</v>
      </c>
      <c r="B114" s="88" t="s">
        <v>2446</v>
      </c>
      <c r="C114" s="120">
        <f t="shared" si="26"/>
        <v>53.560996989944556</v>
      </c>
      <c r="D114" s="120">
        <f t="shared" si="26"/>
        <v>1.9531805171947958</v>
      </c>
      <c r="E114" s="120">
        <f t="shared" si="26"/>
        <v>44.485822492860642</v>
      </c>
      <c r="F114" s="120">
        <f t="shared" si="26"/>
        <v>0</v>
      </c>
      <c r="G114" s="120">
        <f t="shared" si="26"/>
        <v>0.87885600974494305</v>
      </c>
      <c r="H114" s="132">
        <f t="shared" si="26"/>
        <v>0.16800000000000001</v>
      </c>
      <c r="I114" s="120">
        <f t="shared" si="24"/>
        <v>0.4311797988385348</v>
      </c>
      <c r="J114" s="120">
        <f t="shared" si="24"/>
        <v>0.86964174539078709</v>
      </c>
      <c r="K114" s="130">
        <f t="shared" si="24"/>
        <v>6.4250000000000002E-2</v>
      </c>
      <c r="L114" s="132">
        <f t="shared" si="25"/>
        <v>-5.9201648475452006E-4</v>
      </c>
      <c r="M114" s="87"/>
      <c r="N114" s="87"/>
      <c r="O114" s="87"/>
      <c r="P114" s="87"/>
    </row>
    <row r="115" spans="1:16">
      <c r="A115" s="103" t="s">
        <v>2450</v>
      </c>
      <c r="B115" s="88" t="s">
        <v>768</v>
      </c>
      <c r="C115" s="120">
        <f t="shared" si="26"/>
        <v>44.253102338740064</v>
      </c>
      <c r="D115" s="120">
        <f t="shared" si="26"/>
        <v>2.0601591204408196</v>
      </c>
      <c r="E115" s="120">
        <f t="shared" si="26"/>
        <v>53.686738540819114</v>
      </c>
      <c r="F115" s="120">
        <f t="shared" si="26"/>
        <v>0</v>
      </c>
      <c r="G115" s="120">
        <f t="shared" si="26"/>
        <v>0.89737403966762719</v>
      </c>
      <c r="H115" s="132">
        <f t="shared" si="26"/>
        <v>0.114</v>
      </c>
      <c r="I115" s="120">
        <f t="shared" si="24"/>
        <v>0.50862477680027351</v>
      </c>
      <c r="J115" s="120">
        <f t="shared" si="24"/>
        <v>1.059408896210881</v>
      </c>
      <c r="K115" s="130">
        <f t="shared" si="24"/>
        <v>6.4250000000000002E-2</v>
      </c>
      <c r="L115" s="132">
        <f t="shared" si="25"/>
        <v>1.0410739532904056E-2</v>
      </c>
      <c r="M115" s="87"/>
      <c r="N115" s="87"/>
      <c r="O115" s="87"/>
      <c r="P115" s="87"/>
    </row>
    <row r="116" spans="1:16">
      <c r="A116" s="103" t="s">
        <v>2458</v>
      </c>
      <c r="B116" s="88" t="s">
        <v>2053</v>
      </c>
      <c r="C116" s="120">
        <f t="shared" si="26"/>
        <v>44.796038316387978</v>
      </c>
      <c r="D116" s="120">
        <f t="shared" si="26"/>
        <v>1.6055483333994263</v>
      </c>
      <c r="E116" s="120">
        <f t="shared" si="26"/>
        <v>53.598413350212603</v>
      </c>
      <c r="F116" s="120">
        <f t="shared" si="26"/>
        <v>0</v>
      </c>
      <c r="G116" s="120">
        <f t="shared" si="26"/>
        <v>0.82948435931460662</v>
      </c>
      <c r="H116" s="132" t="str">
        <f t="shared" si="26"/>
        <v>NMF</v>
      </c>
      <c r="I116" s="120" t="str">
        <f t="shared" si="24"/>
        <v>n/a</v>
      </c>
      <c r="J116" s="120" t="str">
        <f t="shared" si="24"/>
        <v>n/a</v>
      </c>
      <c r="K116" s="130">
        <f t="shared" si="24"/>
        <v>6.4250000000000002E-2</v>
      </c>
      <c r="L116" s="132" t="str">
        <f t="shared" si="25"/>
        <v>n/a</v>
      </c>
      <c r="M116" s="87"/>
      <c r="N116" s="87"/>
      <c r="O116" s="87"/>
      <c r="P116" s="87"/>
    </row>
    <row r="117" spans="1:16">
      <c r="A117" s="103" t="s">
        <v>2579</v>
      </c>
      <c r="B117" s="88" t="s">
        <v>2380</v>
      </c>
      <c r="C117" s="120">
        <f t="shared" si="26"/>
        <v>39.79750803770947</v>
      </c>
      <c r="D117" s="120">
        <f t="shared" si="26"/>
        <v>0</v>
      </c>
      <c r="E117" s="120">
        <f t="shared" si="26"/>
        <v>60.202491962290537</v>
      </c>
      <c r="F117" s="120">
        <f t="shared" si="26"/>
        <v>0</v>
      </c>
      <c r="G117" s="120">
        <f t="shared" si="26"/>
        <v>0.82918805364407167</v>
      </c>
      <c r="H117" s="132">
        <f t="shared" si="26"/>
        <v>0.114</v>
      </c>
      <c r="I117" s="120">
        <f t="shared" si="24"/>
        <v>0.52291613678608884</v>
      </c>
      <c r="J117" s="120">
        <f t="shared" si="24"/>
        <v>1.2788326953632845</v>
      </c>
      <c r="K117" s="130">
        <f t="shared" si="24"/>
        <v>6.4250000000000002E-2</v>
      </c>
      <c r="L117" s="194">
        <f t="shared" si="25"/>
        <v>2.8889668230459423E-2</v>
      </c>
      <c r="M117" s="87"/>
      <c r="N117" s="87"/>
      <c r="O117" s="87"/>
      <c r="P117" s="87"/>
    </row>
    <row r="118" spans="1:16">
      <c r="A118" s="103" t="s">
        <v>2387</v>
      </c>
      <c r="B118" s="88" t="s">
        <v>2388</v>
      </c>
      <c r="C118" s="120">
        <f t="shared" si="26"/>
        <v>52.398287974465219</v>
      </c>
      <c r="D118" s="120">
        <f t="shared" si="26"/>
        <v>0.63958919925185598</v>
      </c>
      <c r="E118" s="120">
        <f t="shared" si="26"/>
        <v>46.962122826282929</v>
      </c>
      <c r="F118" s="120">
        <f t="shared" si="26"/>
        <v>0</v>
      </c>
      <c r="G118" s="120">
        <f t="shared" si="26"/>
        <v>0.74464980030632322</v>
      </c>
      <c r="H118" s="132">
        <f t="shared" si="26"/>
        <v>0.25700000000000001</v>
      </c>
      <c r="I118" s="120">
        <f t="shared" si="24"/>
        <v>0.40489328183167222</v>
      </c>
      <c r="J118" s="120">
        <f t="shared" si="24"/>
        <v>0.89573049027529872</v>
      </c>
      <c r="K118" s="130">
        <f t="shared" si="24"/>
        <v>6.4250000000000002E-2</v>
      </c>
      <c r="L118" s="194">
        <f t="shared" si="25"/>
        <v>9.7069343305066762E-3</v>
      </c>
      <c r="M118" s="87"/>
      <c r="N118" s="87"/>
      <c r="O118" s="87"/>
      <c r="P118" s="87"/>
    </row>
    <row r="119" spans="1:16">
      <c r="A119" s="103" t="s">
        <v>2538</v>
      </c>
      <c r="B119" s="88" t="s">
        <v>2539</v>
      </c>
      <c r="C119" s="120">
        <f t="shared" si="26"/>
        <v>39.54935552780416</v>
      </c>
      <c r="D119" s="120">
        <f t="shared" si="26"/>
        <v>4.0505407783519159E-4</v>
      </c>
      <c r="E119" s="120">
        <f t="shared" si="26"/>
        <v>60.450239418118002</v>
      </c>
      <c r="F119" s="120">
        <f t="shared" si="26"/>
        <v>0</v>
      </c>
      <c r="G119" s="120">
        <f t="shared" si="26"/>
        <v>0.83247976724837924</v>
      </c>
      <c r="H119" s="132">
        <f t="shared" si="26"/>
        <v>0.14899999999999999</v>
      </c>
      <c r="I119" s="120">
        <f t="shared" si="24"/>
        <v>0.53474826981260637</v>
      </c>
      <c r="J119" s="120">
        <f t="shared" si="24"/>
        <v>1.2772321701245204</v>
      </c>
      <c r="K119" s="130">
        <f t="shared" si="24"/>
        <v>6.4250000000000002E-2</v>
      </c>
      <c r="L119" s="194">
        <f t="shared" si="25"/>
        <v>2.857534188479207E-2</v>
      </c>
      <c r="M119" s="87"/>
      <c r="N119" s="87"/>
      <c r="O119" s="87"/>
      <c r="P119" s="87"/>
    </row>
    <row r="120" spans="1:16">
      <c r="A120" s="103" t="s">
        <v>2540</v>
      </c>
      <c r="B120" s="88" t="s">
        <v>2541</v>
      </c>
      <c r="C120" s="120">
        <f t="shared" si="26"/>
        <v>42.863774092268784</v>
      </c>
      <c r="D120" s="120">
        <f t="shared" si="26"/>
        <v>10.86671947546769</v>
      </c>
      <c r="E120" s="120">
        <f t="shared" si="26"/>
        <v>46.269506432263526</v>
      </c>
      <c r="F120" s="120">
        <f t="shared" si="26"/>
        <v>0</v>
      </c>
      <c r="G120" s="120">
        <f t="shared" si="26"/>
        <v>0.86346076191264043</v>
      </c>
      <c r="H120" s="132">
        <f t="shared" si="26"/>
        <v>0.151</v>
      </c>
      <c r="I120" s="120">
        <f t="shared" si="24"/>
        <v>0.43479529949811913</v>
      </c>
      <c r="J120" s="120">
        <f t="shared" si="24"/>
        <v>1.03707832515554</v>
      </c>
      <c r="K120" s="130">
        <f t="shared" si="24"/>
        <v>6.4250000000000002E-2</v>
      </c>
      <c r="L120" s="194">
        <f t="shared" si="25"/>
        <v>1.1154928438356297E-2</v>
      </c>
      <c r="M120" s="87"/>
      <c r="N120" s="87"/>
      <c r="O120" s="87"/>
      <c r="P120" s="87"/>
    </row>
    <row r="121" spans="1:16" ht="14" thickBot="1">
      <c r="A121" s="151" t="s">
        <v>2575</v>
      </c>
      <c r="B121" s="108"/>
      <c r="C121" s="166"/>
      <c r="D121" s="166"/>
      <c r="E121" s="166">
        <f>AVERAGE(E96:E120)</f>
        <v>51.000757166617539</v>
      </c>
      <c r="F121" s="166"/>
      <c r="G121" s="166">
        <f>AVERAGE(G96:G120)</f>
        <v>0.88090479998710391</v>
      </c>
      <c r="H121" s="108"/>
      <c r="I121" s="166"/>
      <c r="J121" s="166"/>
      <c r="K121" s="195"/>
      <c r="L121" s="196">
        <f>AVERAGE(L96:L120)</f>
        <v>8.7075001909798378E-3</v>
      </c>
      <c r="M121" s="87"/>
      <c r="N121" s="87"/>
      <c r="O121" s="87"/>
      <c r="P121" s="87"/>
    </row>
    <row r="123" spans="1:16" s="94" customFormat="1">
      <c r="A123" s="92" t="s">
        <v>2505</v>
      </c>
      <c r="B123" s="174"/>
      <c r="E123" s="175"/>
      <c r="F123" s="104"/>
      <c r="G123" s="168"/>
      <c r="H123" s="96"/>
      <c r="I123" s="168"/>
      <c r="J123" s="168"/>
      <c r="K123" s="96"/>
      <c r="L123" s="181"/>
      <c r="M123" s="96"/>
    </row>
    <row r="124" spans="1:16" s="94" customFormat="1">
      <c r="A124" s="83" t="s">
        <v>2585</v>
      </c>
      <c r="B124" s="174"/>
      <c r="E124" s="175"/>
      <c r="F124" s="104"/>
      <c r="G124" s="168"/>
      <c r="H124" s="96"/>
      <c r="I124" s="168"/>
      <c r="J124" s="168"/>
      <c r="K124" s="96"/>
      <c r="L124" s="181"/>
      <c r="M124" s="96"/>
    </row>
    <row r="125" spans="1:16" s="94" customFormat="1">
      <c r="A125" s="83" t="s">
        <v>2586</v>
      </c>
      <c r="B125" s="174"/>
      <c r="E125" s="175"/>
      <c r="F125" s="104"/>
      <c r="G125" s="168"/>
      <c r="H125" s="96"/>
      <c r="I125" s="168"/>
      <c r="J125" s="168"/>
      <c r="K125" s="96"/>
      <c r="L125" s="181"/>
      <c r="M125" s="96"/>
    </row>
    <row r="126" spans="1:16" s="94" customFormat="1">
      <c r="A126" s="83" t="s">
        <v>2587</v>
      </c>
      <c r="B126" s="174"/>
      <c r="E126" s="175"/>
      <c r="F126" s="168"/>
      <c r="G126" s="168"/>
      <c r="H126" s="96"/>
      <c r="I126" s="168"/>
      <c r="J126" s="168"/>
      <c r="K126" s="96"/>
      <c r="L126" s="181"/>
      <c r="M126" s="96"/>
    </row>
    <row r="127" spans="1:16" s="94" customFormat="1">
      <c r="A127" s="83" t="s">
        <v>2588</v>
      </c>
      <c r="B127" s="95"/>
      <c r="E127" s="175"/>
      <c r="F127" s="168"/>
      <c r="G127" s="168"/>
      <c r="H127" s="96"/>
      <c r="I127" s="168"/>
      <c r="J127" s="168"/>
      <c r="K127" s="96"/>
      <c r="L127" s="181"/>
      <c r="M127" s="96"/>
    </row>
    <row r="128" spans="1:16" s="94" customFormat="1">
      <c r="A128" s="83" t="s">
        <v>2589</v>
      </c>
      <c r="B128" s="174"/>
      <c r="E128" s="175"/>
      <c r="F128" s="168"/>
      <c r="G128" s="168"/>
      <c r="H128" s="96"/>
      <c r="I128" s="168"/>
      <c r="J128" s="168"/>
      <c r="K128" s="96"/>
      <c r="L128" s="181"/>
    </row>
    <row r="129" spans="1:12" s="94" customFormat="1">
      <c r="A129" s="83" t="s">
        <v>2590</v>
      </c>
      <c r="B129" s="174"/>
      <c r="E129" s="175"/>
      <c r="F129" s="168"/>
      <c r="G129" s="168"/>
      <c r="H129" s="96"/>
      <c r="I129" s="168"/>
      <c r="J129" s="168"/>
      <c r="K129" s="96"/>
      <c r="L129" s="181"/>
    </row>
    <row r="130" spans="1:12" s="94" customFormat="1">
      <c r="A130" s="83" t="s">
        <v>2591</v>
      </c>
      <c r="B130" s="174"/>
      <c r="E130" s="175"/>
      <c r="F130" s="168"/>
      <c r="G130" s="168"/>
      <c r="H130" s="96"/>
      <c r="I130" s="168"/>
      <c r="J130" s="168"/>
      <c r="K130" s="96"/>
      <c r="L130" s="181"/>
    </row>
    <row r="131" spans="1:12" s="94" customFormat="1">
      <c r="A131" s="83" t="s">
        <v>2592</v>
      </c>
      <c r="B131" s="174"/>
      <c r="E131" s="175"/>
      <c r="F131" s="168"/>
      <c r="G131" s="168"/>
      <c r="H131" s="96"/>
      <c r="I131" s="168"/>
      <c r="J131" s="168"/>
      <c r="K131" s="96"/>
      <c r="L131" s="181"/>
    </row>
    <row r="132" spans="1:12" s="94" customFormat="1">
      <c r="A132" s="83" t="s">
        <v>2593</v>
      </c>
      <c r="B132" s="174"/>
      <c r="E132" s="175"/>
      <c r="F132" s="168"/>
      <c r="G132" s="168"/>
      <c r="H132" s="96"/>
      <c r="I132" s="168"/>
      <c r="J132" s="168"/>
      <c r="K132" s="96"/>
      <c r="L132" s="181"/>
    </row>
  </sheetData>
  <mergeCells count="61">
    <mergeCell ref="A93:A95"/>
    <mergeCell ref="B93:B95"/>
    <mergeCell ref="C93:F93"/>
    <mergeCell ref="G93:G95"/>
    <mergeCell ref="H93:H95"/>
    <mergeCell ref="I76:I78"/>
    <mergeCell ref="J76:J77"/>
    <mergeCell ref="K76:K78"/>
    <mergeCell ref="L93:L94"/>
    <mergeCell ref="C94:F94"/>
    <mergeCell ref="L76:L77"/>
    <mergeCell ref="C77:F77"/>
    <mergeCell ref="I93:I95"/>
    <mergeCell ref="J93:J94"/>
    <mergeCell ref="K93:K95"/>
    <mergeCell ref="A76:A78"/>
    <mergeCell ref="B76:B78"/>
    <mergeCell ref="C76:F76"/>
    <mergeCell ref="G76:G78"/>
    <mergeCell ref="H76:H78"/>
    <mergeCell ref="I50:I52"/>
    <mergeCell ref="J50:J51"/>
    <mergeCell ref="K50:K52"/>
    <mergeCell ref="L50:L51"/>
    <mergeCell ref="C51:F51"/>
    <mergeCell ref="A50:A52"/>
    <mergeCell ref="B50:B52"/>
    <mergeCell ref="C50:F50"/>
    <mergeCell ref="G50:G52"/>
    <mergeCell ref="H50:H52"/>
    <mergeCell ref="I39:I41"/>
    <mergeCell ref="J39:J40"/>
    <mergeCell ref="K39:K41"/>
    <mergeCell ref="L39:L40"/>
    <mergeCell ref="C40:F40"/>
    <mergeCell ref="A39:A41"/>
    <mergeCell ref="B39:B41"/>
    <mergeCell ref="C39:F39"/>
    <mergeCell ref="G39:G41"/>
    <mergeCell ref="H39:H41"/>
    <mergeCell ref="L4:L5"/>
    <mergeCell ref="C5:F5"/>
    <mergeCell ref="A17:A19"/>
    <mergeCell ref="B17:B19"/>
    <mergeCell ref="C17:F17"/>
    <mergeCell ref="G17:G19"/>
    <mergeCell ref="H17:H19"/>
    <mergeCell ref="I17:I19"/>
    <mergeCell ref="J17:J18"/>
    <mergeCell ref="K17:K19"/>
    <mergeCell ref="L17:L18"/>
    <mergeCell ref="C18:F18"/>
    <mergeCell ref="A1:K1"/>
    <mergeCell ref="A4:A6"/>
    <mergeCell ref="B4:B6"/>
    <mergeCell ref="C4:F4"/>
    <mergeCell ref="G4:G6"/>
    <mergeCell ref="H4:H6"/>
    <mergeCell ref="I4:I6"/>
    <mergeCell ref="J4:J5"/>
    <mergeCell ref="K4:K6"/>
  </mergeCells>
  <hyperlinks>
    <hyperlink ref="J124" r:id="rId1" display="https://corporatefinanceinstitute.com/resources/knowledge/valuation/unlevered-beta-asset-beta/" xr:uid="{C1957DE7-1C11-4C67-896A-EB36F3AD97FE}"/>
  </hyperlinks>
  <printOptions horizontalCentered="1"/>
  <pageMargins left="0.27" right="0.27" top="0.86755952380952395" bottom="0.75" header="0.3" footer="0.3"/>
  <pageSetup scale="55" fitToWidth="0" fitToHeight="0" orientation="landscape" useFirstPageNumber="1" r:id="rId2"/>
  <headerFooter>
    <oddHeader>&amp;R&amp;"Century Gothic,Regular"&amp;11Ontario Energy Assn.
Exhibit CEA-7.1
Page &amp;P of 3</oddHeader>
  </headerFooter>
  <rowBreaks count="1" manualBreakCount="1">
    <brk id="3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5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197" t="s">
        <v>761</v>
      </c>
      <c r="B1" s="197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197" t="s">
        <v>792</v>
      </c>
      <c r="B11" s="197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197" t="s">
        <v>793</v>
      </c>
      <c r="B17" s="197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activeCell="D68" sqref="D68"/>
      <selection pane="bottomLeft" activeCell="I3" sqref="I3"/>
    </sheetView>
  </sheetViews>
  <sheetFormatPr defaultColWidth="9" defaultRowHeight="12.5"/>
  <cols>
    <col min="1" max="1" width="2.08203125" style="7" customWidth="1"/>
    <col min="2" max="2" width="15.33203125" style="7" bestFit="1" customWidth="1"/>
    <col min="3" max="3" width="32.08203125" style="7" bestFit="1" customWidth="1"/>
    <col min="4" max="9" width="9" style="7"/>
    <col min="10" max="10" width="13.83203125" style="7" bestFit="1" customWidth="1"/>
    <col min="11" max="11" width="39.83203125" style="7" bestFit="1" customWidth="1"/>
    <col min="12" max="12" width="6.08203125" style="7" bestFit="1" customWidth="1"/>
    <col min="13" max="13" width="11.58203125" style="7" bestFit="1" customWidth="1"/>
    <col min="14" max="14" width="6.08203125" style="7" bestFit="1" customWidth="1"/>
    <col min="15" max="15" width="16.832031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" thickBot="1"/>
    <row r="2" spans="2:20" ht="5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5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5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5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5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5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5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5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5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5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5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5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5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5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5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5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5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5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5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5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5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5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5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5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5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5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5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5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5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5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5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5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5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5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5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5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5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5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5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5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5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5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5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5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5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5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5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5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5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5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5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5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5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5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5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5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5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5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5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5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5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5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5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5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5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5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5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5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5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5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5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5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5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5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5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5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5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5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5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5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5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5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5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5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5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5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5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5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5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5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5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5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5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5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5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5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5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5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5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5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5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5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5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5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5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5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5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5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5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5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5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5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5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5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5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5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5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5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5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5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5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5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5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5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5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5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5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5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5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5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5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5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5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5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5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5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5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5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5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5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5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5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5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5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5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5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5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5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5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5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5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5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5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5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5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5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5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5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5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5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5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5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5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5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5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5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5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5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5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5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5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5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5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5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5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5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5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5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5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5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5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5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5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5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5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5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5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5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5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5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5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5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5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5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5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5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5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5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5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5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5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5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5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5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5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5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5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5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5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5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5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5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5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5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5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5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5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5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5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5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5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5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5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5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5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5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5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5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5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5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5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5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5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5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5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5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5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5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5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5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5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5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5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5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5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5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5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5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5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5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5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5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5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5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5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5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5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5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5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5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5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5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5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5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5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5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5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5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5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5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5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5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5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5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5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5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5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5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5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5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5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5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5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5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5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5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5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5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5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5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5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5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5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5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5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5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5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5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5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5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5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5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5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5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5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5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5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5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5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5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5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5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5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5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5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5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5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5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5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5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5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5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5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5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5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5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5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5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5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5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5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5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5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5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5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5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5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5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5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5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5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5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5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5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5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5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5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5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5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5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5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5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5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5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5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5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5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5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5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5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5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5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5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5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5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5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5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5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5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5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5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5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5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5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5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5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5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5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5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5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5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5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5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5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5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5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5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5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5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5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5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5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5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5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5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5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5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5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5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5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5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5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5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5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5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5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5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5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5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5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5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5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5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5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5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5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5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5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5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5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5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5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5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5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5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5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5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5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5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5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5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5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5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5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5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5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5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5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5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5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5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5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5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5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5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5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5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5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5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5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5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5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5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5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5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5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5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5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5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5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5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5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5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5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5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5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5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5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5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5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5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5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5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5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5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5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5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5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5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5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5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5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5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5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5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5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5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5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5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5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5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5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5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5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5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5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5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5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5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5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5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5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5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6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activeCell="A16" sqref="A16"/>
      <selection pane="bottomLeft" activeCell="K18" sqref="K18"/>
    </sheetView>
  </sheetViews>
  <sheetFormatPr defaultColWidth="8" defaultRowHeight="12.5"/>
  <cols>
    <col min="1" max="1" width="2.08203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5"/>
  <cols>
    <col min="1" max="1" width="37.8320312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3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93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topRight" activeCell="R27" sqref="R27"/>
      <selection pane="bottomLeft" activeCell="R27" sqref="R27"/>
      <selection pane="bottomRight" activeCell="H25" sqref="H25"/>
    </sheetView>
  </sheetViews>
  <sheetFormatPr defaultColWidth="9" defaultRowHeight="13.5"/>
  <cols>
    <col min="1" max="1" width="44.25" style="83" customWidth="1"/>
    <col min="2" max="2" width="10.58203125" style="83" customWidth="1"/>
    <col min="3" max="16" width="13.75" style="83" customWidth="1"/>
    <col min="17" max="16384" width="9" style="83"/>
  </cols>
  <sheetData>
    <row r="1" spans="1:16" s="101" customFormat="1" ht="18">
      <c r="A1" s="110" t="s">
        <v>2465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s="94" customForma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s="95" customFormat="1" ht="14" thickBot="1">
      <c r="C3" s="95" t="s">
        <v>2466</v>
      </c>
      <c r="D3" s="95" t="s">
        <v>2467</v>
      </c>
      <c r="E3" s="95" t="s">
        <v>2468</v>
      </c>
      <c r="F3" s="95" t="s">
        <v>2469</v>
      </c>
      <c r="G3" s="95" t="s">
        <v>2470</v>
      </c>
      <c r="H3" s="95" t="s">
        <v>2471</v>
      </c>
      <c r="I3" s="95" t="s">
        <v>2472</v>
      </c>
      <c r="J3" s="95" t="s">
        <v>2473</v>
      </c>
      <c r="K3" s="95" t="s">
        <v>2474</v>
      </c>
      <c r="L3" s="95" t="s">
        <v>2475</v>
      </c>
      <c r="M3" s="95" t="s">
        <v>2476</v>
      </c>
      <c r="N3" s="95" t="s">
        <v>2477</v>
      </c>
      <c r="O3" s="95" t="s">
        <v>2478</v>
      </c>
      <c r="P3" s="95" t="s">
        <v>2479</v>
      </c>
    </row>
    <row r="4" spans="1:16" ht="81">
      <c r="A4" s="84" t="s">
        <v>2350</v>
      </c>
      <c r="B4" s="84" t="s">
        <v>1</v>
      </c>
      <c r="C4" s="86" t="s">
        <v>2480</v>
      </c>
      <c r="D4" s="86" t="s">
        <v>2481</v>
      </c>
      <c r="E4" s="86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6" t="s">
        <v>2491</v>
      </c>
      <c r="O4" s="86" t="s">
        <v>2492</v>
      </c>
      <c r="P4" s="86" t="s">
        <v>2493</v>
      </c>
    </row>
    <row r="5" spans="1:16" s="94" customFormat="1">
      <c r="A5" s="87" t="s">
        <v>2494</v>
      </c>
      <c r="B5" s="88" t="s">
        <v>412</v>
      </c>
      <c r="C5" s="88" t="s">
        <v>2495</v>
      </c>
      <c r="D5" s="88" t="s">
        <v>2496</v>
      </c>
      <c r="E5" s="88" t="s">
        <v>2496</v>
      </c>
      <c r="F5" s="114">
        <v>263800</v>
      </c>
      <c r="G5" s="114">
        <v>320600</v>
      </c>
      <c r="H5" s="114">
        <v>9389</v>
      </c>
      <c r="I5" s="114">
        <v>10169.9</v>
      </c>
      <c r="J5" s="114" t="s">
        <v>2496</v>
      </c>
      <c r="K5" s="114" t="s">
        <v>2496</v>
      </c>
      <c r="L5" s="114">
        <v>1500</v>
      </c>
      <c r="M5" s="116" t="s">
        <v>2497</v>
      </c>
      <c r="N5" s="116">
        <v>0.81575435466243329</v>
      </c>
      <c r="O5" s="116">
        <v>1</v>
      </c>
      <c r="P5" s="88" t="s">
        <v>2498</v>
      </c>
    </row>
    <row r="6" spans="1:16" s="94" customFormat="1">
      <c r="A6" s="87" t="s">
        <v>2499</v>
      </c>
      <c r="B6" s="88" t="s">
        <v>430</v>
      </c>
      <c r="C6" s="88" t="s">
        <v>2500</v>
      </c>
      <c r="D6" s="88" t="s">
        <v>2496</v>
      </c>
      <c r="E6" s="88" t="s">
        <v>2496</v>
      </c>
      <c r="F6" s="114">
        <v>0</v>
      </c>
      <c r="G6" s="114">
        <v>1600000</v>
      </c>
      <c r="H6" s="114">
        <v>23487.7</v>
      </c>
      <c r="I6" s="114">
        <v>5570.3</v>
      </c>
      <c r="J6" s="114" t="s">
        <v>2496</v>
      </c>
      <c r="K6" s="114" t="s">
        <v>2496</v>
      </c>
      <c r="L6" s="114">
        <v>1105</v>
      </c>
      <c r="M6" s="116">
        <v>0</v>
      </c>
      <c r="N6" s="116">
        <v>0.65853205177598384</v>
      </c>
      <c r="O6" s="116">
        <v>0.60323365584241762</v>
      </c>
      <c r="P6" s="88" t="s">
        <v>2498</v>
      </c>
    </row>
    <row r="7" spans="1:16" s="94" customFormat="1">
      <c r="A7" s="87" t="s">
        <v>2459</v>
      </c>
      <c r="B7" s="88" t="s">
        <v>610</v>
      </c>
      <c r="C7" s="88" t="s">
        <v>2501</v>
      </c>
      <c r="D7" s="88" t="s">
        <v>2496</v>
      </c>
      <c r="E7" s="88" t="s">
        <v>2496</v>
      </c>
      <c r="F7" s="114">
        <v>258271</v>
      </c>
      <c r="G7" s="114">
        <v>1216819</v>
      </c>
      <c r="H7" s="114">
        <v>21819</v>
      </c>
      <c r="I7" s="114">
        <v>10911.7</v>
      </c>
      <c r="J7" s="114" t="s">
        <v>2496</v>
      </c>
      <c r="K7" s="114" t="s">
        <v>2498</v>
      </c>
      <c r="L7" s="114" t="s">
        <v>2497</v>
      </c>
      <c r="M7" s="116">
        <v>0</v>
      </c>
      <c r="N7" s="116">
        <v>0.99460500963391141</v>
      </c>
      <c r="O7" s="117" t="s">
        <v>2497</v>
      </c>
      <c r="P7" s="88" t="s">
        <v>2498</v>
      </c>
    </row>
    <row r="8" spans="1:16" s="94" customFormat="1">
      <c r="A8" s="87" t="s">
        <v>2460</v>
      </c>
      <c r="B8" s="88" t="s">
        <v>445</v>
      </c>
      <c r="C8" s="88" t="s">
        <v>2502</v>
      </c>
      <c r="D8" s="88" t="s">
        <v>2496</v>
      </c>
      <c r="E8" s="88" t="s">
        <v>2496</v>
      </c>
      <c r="F8" s="114">
        <f>764000+519000+159000+175000</f>
        <v>1617000</v>
      </c>
      <c r="G8" s="114">
        <f>530000+392000</f>
        <v>922000</v>
      </c>
      <c r="H8" s="114">
        <v>32314</v>
      </c>
      <c r="I8" s="114">
        <v>14130.7</v>
      </c>
      <c r="J8" s="114" t="s">
        <v>2496</v>
      </c>
      <c r="K8" s="114" t="s">
        <v>2496</v>
      </c>
      <c r="L8" s="114">
        <v>3078</v>
      </c>
      <c r="M8" s="116">
        <v>0.45</v>
      </c>
      <c r="N8" s="116">
        <v>0.84652861291526305</v>
      </c>
      <c r="O8" s="116">
        <v>1</v>
      </c>
      <c r="P8" s="88" t="s">
        <v>2496</v>
      </c>
    </row>
    <row r="9" spans="1:16" s="94" customFormat="1">
      <c r="A9" s="87" t="s">
        <v>2462</v>
      </c>
      <c r="B9" s="88" t="s">
        <v>637</v>
      </c>
      <c r="C9" s="88" t="s">
        <v>2501</v>
      </c>
      <c r="D9" s="88" t="s">
        <v>2496</v>
      </c>
      <c r="E9" s="88" t="s">
        <v>2496</v>
      </c>
      <c r="F9" s="114">
        <v>2000000</v>
      </c>
      <c r="G9" s="114">
        <v>1300000</v>
      </c>
      <c r="H9" s="114">
        <v>53051</v>
      </c>
      <c r="I9" s="114">
        <v>26290.9</v>
      </c>
      <c r="J9" s="114" t="s">
        <v>2496</v>
      </c>
      <c r="K9" s="114" t="s">
        <v>2496</v>
      </c>
      <c r="L9" s="114">
        <v>4593</v>
      </c>
      <c r="M9" s="116" t="s">
        <v>2497</v>
      </c>
      <c r="N9" s="116">
        <v>0.97459205307078722</v>
      </c>
      <c r="O9" s="116">
        <v>0.7156643916664045</v>
      </c>
      <c r="P9" s="88" t="s">
        <v>2498</v>
      </c>
    </row>
    <row r="10" spans="1:16" s="94" customFormat="1">
      <c r="A10" s="87" t="s">
        <v>2503</v>
      </c>
      <c r="B10" s="88" t="s">
        <v>2504</v>
      </c>
      <c r="C10" s="88" t="s">
        <v>2501</v>
      </c>
      <c r="D10" s="88" t="s">
        <v>2496</v>
      </c>
      <c r="E10" s="88" t="s">
        <v>2496</v>
      </c>
      <c r="F10" s="114">
        <v>1370819</v>
      </c>
      <c r="G10" s="114">
        <v>0</v>
      </c>
      <c r="H10" s="114">
        <v>25657</v>
      </c>
      <c r="I10" s="114">
        <v>15582.9</v>
      </c>
      <c r="J10" s="114" t="s">
        <v>2496</v>
      </c>
      <c r="K10" s="114" t="s">
        <v>2498</v>
      </c>
      <c r="L10" s="114">
        <v>0</v>
      </c>
      <c r="M10" s="116">
        <v>0</v>
      </c>
      <c r="N10" s="116">
        <v>1</v>
      </c>
      <c r="O10" s="116">
        <v>1</v>
      </c>
      <c r="P10" s="88" t="s">
        <v>2498</v>
      </c>
    </row>
    <row r="11" spans="1:16">
      <c r="A11" s="90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16" s="94" customFormat="1">
      <c r="A12" s="92" t="s">
        <v>2505</v>
      </c>
    </row>
    <row r="13" spans="1:16" s="94" customFormat="1">
      <c r="A13" s="83" t="s">
        <v>2506</v>
      </c>
    </row>
    <row r="14" spans="1:16" s="94" customFormat="1">
      <c r="A14" s="83" t="s">
        <v>2507</v>
      </c>
    </row>
    <row r="15" spans="1:16" s="94" customFormat="1">
      <c r="A15" s="83" t="s">
        <v>2508</v>
      </c>
    </row>
    <row r="16" spans="1:16" s="94" customFormat="1">
      <c r="A16" s="83" t="s">
        <v>2509</v>
      </c>
    </row>
    <row r="17" spans="1:16" s="94" customFormat="1">
      <c r="A17" s="83" t="s">
        <v>2510</v>
      </c>
    </row>
    <row r="18" spans="1:16" s="94" customFormat="1">
      <c r="A18" s="83" t="s">
        <v>2511</v>
      </c>
    </row>
    <row r="19" spans="1:16" s="94" customFormat="1">
      <c r="A19" s="83" t="s">
        <v>2512</v>
      </c>
    </row>
    <row r="20" spans="1:16" s="94" customFormat="1">
      <c r="A20" s="83" t="s">
        <v>2513</v>
      </c>
    </row>
    <row r="21" spans="1:16" s="94" customFormat="1">
      <c r="A21" s="83" t="s">
        <v>2514</v>
      </c>
    </row>
    <row r="22" spans="1:16" s="94" customFormat="1">
      <c r="A22" s="83" t="s">
        <v>2515</v>
      </c>
    </row>
    <row r="23" spans="1:16" s="94" customFormat="1">
      <c r="A23" s="83" t="s">
        <v>2516</v>
      </c>
    </row>
    <row r="24" spans="1:16" s="94" customFormat="1">
      <c r="A24" s="83" t="s">
        <v>2517</v>
      </c>
    </row>
    <row r="25" spans="1:16" s="94" customFormat="1">
      <c r="A25" s="83" t="s">
        <v>2518</v>
      </c>
    </row>
    <row r="26" spans="1:16" s="94" customFormat="1">
      <c r="A26" s="83" t="s">
        <v>2519</v>
      </c>
    </row>
    <row r="27" spans="1:16" s="94" customFormat="1">
      <c r="A27" s="83"/>
    </row>
    <row r="28" spans="1:16" s="94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01" customFormat="1" ht="18">
      <c r="A29" s="111" t="s">
        <v>2520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s="94" customFormat="1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</row>
    <row r="31" spans="1:16" s="95" customFormat="1" ht="14" thickBot="1">
      <c r="C31" s="95" t="s">
        <v>2466</v>
      </c>
      <c r="D31" s="95" t="s">
        <v>2467</v>
      </c>
      <c r="E31" s="95" t="s">
        <v>2468</v>
      </c>
      <c r="F31" s="95" t="s">
        <v>2469</v>
      </c>
      <c r="G31" s="95" t="s">
        <v>2470</v>
      </c>
      <c r="H31" s="95" t="s">
        <v>2471</v>
      </c>
      <c r="I31" s="95" t="s">
        <v>2472</v>
      </c>
      <c r="J31" s="95" t="s">
        <v>2473</v>
      </c>
      <c r="K31" s="95" t="s">
        <v>2474</v>
      </c>
      <c r="L31" s="95" t="s">
        <v>2475</v>
      </c>
      <c r="M31" s="95" t="s">
        <v>2476</v>
      </c>
      <c r="N31" s="95" t="s">
        <v>2477</v>
      </c>
      <c r="O31" s="95" t="s">
        <v>2478</v>
      </c>
      <c r="P31" s="95" t="s">
        <v>2479</v>
      </c>
    </row>
    <row r="32" spans="1:16" ht="81">
      <c r="A32" s="84" t="s">
        <v>2350</v>
      </c>
      <c r="B32" s="84" t="s">
        <v>1</v>
      </c>
      <c r="C32" s="86" t="s">
        <v>2480</v>
      </c>
      <c r="D32" s="86" t="s">
        <v>2481</v>
      </c>
      <c r="E32" s="86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6" t="s">
        <v>2491</v>
      </c>
      <c r="O32" s="86" t="s">
        <v>2524</v>
      </c>
      <c r="P32" s="86" t="s">
        <v>2493</v>
      </c>
    </row>
    <row r="33" spans="1:16" s="94" customFormat="1">
      <c r="A33" s="87" t="s">
        <v>2399</v>
      </c>
      <c r="B33" s="88" t="s">
        <v>762</v>
      </c>
      <c r="C33" s="88" t="s">
        <v>2502</v>
      </c>
      <c r="D33" s="88" t="s">
        <v>2496</v>
      </c>
      <c r="E33" s="88" t="s">
        <v>2496</v>
      </c>
      <c r="F33" s="112">
        <f>145000+15000</f>
        <v>160000</v>
      </c>
      <c r="G33" s="112">
        <f>13000</f>
        <v>13000</v>
      </c>
      <c r="H33" s="112">
        <v>5275.8</v>
      </c>
      <c r="I33" s="112">
        <v>4519.0969999999998</v>
      </c>
      <c r="J33" s="112" t="s">
        <v>2496</v>
      </c>
      <c r="K33" s="112" t="s">
        <v>2496</v>
      </c>
      <c r="L33" s="112">
        <v>538.20000000000005</v>
      </c>
      <c r="M33" s="113">
        <v>0.54250606631110132</v>
      </c>
      <c r="N33" s="113">
        <v>0.7504045507700402</v>
      </c>
      <c r="O33" s="113">
        <v>0.97428374366566428</v>
      </c>
      <c r="P33" s="88" t="s">
        <v>2498</v>
      </c>
    </row>
    <row r="34" spans="1:16" s="94" customFormat="1">
      <c r="A34" s="87" t="s">
        <v>2400</v>
      </c>
      <c r="B34" s="88" t="s">
        <v>2401</v>
      </c>
      <c r="C34" s="88" t="s">
        <v>2501</v>
      </c>
      <c r="D34" s="88" t="s">
        <v>2496</v>
      </c>
      <c r="E34" s="88" t="s">
        <v>2496</v>
      </c>
      <c r="F34" s="112">
        <v>965000</v>
      </c>
      <c r="G34" s="112">
        <v>415000</v>
      </c>
      <c r="H34" s="112">
        <v>16533.400000000001</v>
      </c>
      <c r="I34" s="112">
        <v>12961.6952</v>
      </c>
      <c r="J34" s="112" t="s">
        <v>2496</v>
      </c>
      <c r="K34" s="112" t="s">
        <v>2496</v>
      </c>
      <c r="L34" s="112">
        <v>112.5</v>
      </c>
      <c r="M34" s="113">
        <v>0.70506731604680595</v>
      </c>
      <c r="N34" s="113">
        <v>0.96867584984318622</v>
      </c>
      <c r="O34" s="113">
        <v>0.9389197487584191</v>
      </c>
      <c r="P34" s="88" t="s">
        <v>2498</v>
      </c>
    </row>
    <row r="35" spans="1:16" s="94" customFormat="1">
      <c r="A35" s="87" t="s">
        <v>2403</v>
      </c>
      <c r="B35" s="88" t="s">
        <v>946</v>
      </c>
      <c r="C35" s="88" t="s">
        <v>2501</v>
      </c>
      <c r="D35" s="88" t="s">
        <v>2496</v>
      </c>
      <c r="E35" s="88" t="s">
        <v>2496</v>
      </c>
      <c r="F35" s="112">
        <v>5400000</v>
      </c>
      <c r="G35" s="112">
        <v>0</v>
      </c>
      <c r="H35" s="112">
        <v>73900.7</v>
      </c>
      <c r="I35" s="112">
        <v>46276.870900000002</v>
      </c>
      <c r="J35" s="112" t="s">
        <v>2496</v>
      </c>
      <c r="K35" s="112" t="s">
        <v>2496</v>
      </c>
      <c r="L35" s="112">
        <v>2408.7737239999992</v>
      </c>
      <c r="M35" s="113">
        <v>0.56404409385810772</v>
      </c>
      <c r="N35" s="113">
        <v>0.95590275605458752</v>
      </c>
      <c r="O35" s="113">
        <v>1</v>
      </c>
      <c r="P35" s="88" t="s">
        <v>2498</v>
      </c>
    </row>
    <row r="36" spans="1:16" s="94" customFormat="1">
      <c r="A36" s="87" t="s">
        <v>2415</v>
      </c>
      <c r="B36" s="88" t="s">
        <v>763</v>
      </c>
      <c r="C36" s="88" t="s">
        <v>2501</v>
      </c>
      <c r="D36" s="88" t="s">
        <v>2496</v>
      </c>
      <c r="E36" s="88" t="s">
        <v>2496</v>
      </c>
      <c r="F36" s="112">
        <v>7700000</v>
      </c>
      <c r="G36" s="112">
        <v>1600000</v>
      </c>
      <c r="H36" s="112">
        <v>155917</v>
      </c>
      <c r="I36" s="112">
        <v>69881.94</v>
      </c>
      <c r="J36" s="112" t="s">
        <v>2496</v>
      </c>
      <c r="K36" s="112" t="s">
        <v>2496</v>
      </c>
      <c r="L36" s="112">
        <v>3222.8557000000001</v>
      </c>
      <c r="M36" s="113">
        <v>0.83212462706956269</v>
      </c>
      <c r="N36" s="113">
        <v>1</v>
      </c>
      <c r="O36" s="113">
        <v>0.93065820090598572</v>
      </c>
      <c r="P36" s="88" t="s">
        <v>2498</v>
      </c>
    </row>
    <row r="37" spans="1:16" s="94" customFormat="1">
      <c r="A37" s="87" t="s">
        <v>2420</v>
      </c>
      <c r="B37" s="88" t="s">
        <v>1115</v>
      </c>
      <c r="C37" s="88" t="s">
        <v>2502</v>
      </c>
      <c r="D37" s="88" t="s">
        <v>2496</v>
      </c>
      <c r="E37" s="88" t="s">
        <v>2496</v>
      </c>
      <c r="F37" s="112">
        <f>711000+1084000+450000+202000+454000</f>
        <v>2901000</v>
      </c>
      <c r="G37" s="112">
        <f>93000+107000</f>
        <v>200000</v>
      </c>
      <c r="H37" s="112">
        <v>50506.267999999996</v>
      </c>
      <c r="I37" s="112">
        <v>23364.8773</v>
      </c>
      <c r="J37" s="112" t="s">
        <v>2496</v>
      </c>
      <c r="K37" s="112" t="s">
        <v>2496</v>
      </c>
      <c r="L37" s="112">
        <v>4396.8</v>
      </c>
      <c r="M37" s="113">
        <v>0.65772255945259117</v>
      </c>
      <c r="N37" s="113">
        <v>1</v>
      </c>
      <c r="O37" s="113">
        <v>0.98851341342735743</v>
      </c>
      <c r="P37" s="88" t="s">
        <v>2498</v>
      </c>
    </row>
    <row r="38" spans="1:16" s="94" customFormat="1">
      <c r="A38" s="87" t="s">
        <v>1328</v>
      </c>
      <c r="B38" s="88" t="s">
        <v>764</v>
      </c>
      <c r="C38" s="88" t="s">
        <v>2501</v>
      </c>
      <c r="D38" s="88" t="s">
        <v>2496</v>
      </c>
      <c r="E38" s="88" t="s">
        <v>2496</v>
      </c>
      <c r="F38" s="112">
        <v>1250000</v>
      </c>
      <c r="G38" s="112">
        <v>237000</v>
      </c>
      <c r="H38" s="112">
        <v>39725.394</v>
      </c>
      <c r="I38" s="112">
        <v>27669.495699999999</v>
      </c>
      <c r="J38" s="112" t="s">
        <v>2496</v>
      </c>
      <c r="K38" s="112" t="s">
        <v>2496</v>
      </c>
      <c r="L38" s="112">
        <v>12.200000000000001</v>
      </c>
      <c r="M38" s="113">
        <v>7.1898570572697046E-3</v>
      </c>
      <c r="N38" s="113">
        <v>0.94859680623964859</v>
      </c>
      <c r="O38" s="113">
        <v>0.90634382664184121</v>
      </c>
      <c r="P38" s="88" t="s">
        <v>2498</v>
      </c>
    </row>
    <row r="39" spans="1:16" s="94" customFormat="1">
      <c r="A39" s="87" t="s">
        <v>2421</v>
      </c>
      <c r="B39" s="88" t="s">
        <v>1366</v>
      </c>
      <c r="C39" s="88" t="s">
        <v>2502</v>
      </c>
      <c r="D39" s="88" t="s">
        <v>2496</v>
      </c>
      <c r="E39" s="88" t="s">
        <v>2496</v>
      </c>
      <c r="F39" s="115" t="s">
        <v>2525</v>
      </c>
      <c r="G39" s="112">
        <v>1300000</v>
      </c>
      <c r="H39" s="112">
        <v>122738</v>
      </c>
      <c r="I39" s="112">
        <v>46957.32</v>
      </c>
      <c r="J39" s="112" t="s">
        <v>2496</v>
      </c>
      <c r="K39" s="112" t="s">
        <v>2498</v>
      </c>
      <c r="L39" s="112">
        <v>31759.644260000001</v>
      </c>
      <c r="M39" s="113">
        <v>0</v>
      </c>
      <c r="N39" s="113">
        <v>0.71692914063309188</v>
      </c>
      <c r="O39" s="113">
        <v>0.91619033469455857</v>
      </c>
      <c r="P39" s="88" t="s">
        <v>2498</v>
      </c>
    </row>
    <row r="40" spans="1:16" s="94" customFormat="1">
      <c r="A40" s="87" t="s">
        <v>2526</v>
      </c>
      <c r="B40" s="88" t="s">
        <v>2527</v>
      </c>
      <c r="C40" s="88" t="s">
        <v>2501</v>
      </c>
      <c r="D40" s="88" t="s">
        <v>2496</v>
      </c>
      <c r="E40" s="88" t="s">
        <v>2496</v>
      </c>
      <c r="F40" s="112">
        <v>1600000</v>
      </c>
      <c r="G40" s="112">
        <v>0</v>
      </c>
      <c r="H40" s="112">
        <v>25907.5</v>
      </c>
      <c r="I40" s="112">
        <v>15169.1276</v>
      </c>
      <c r="J40" s="112" t="s">
        <v>2496</v>
      </c>
      <c r="K40" s="112" t="s">
        <v>2496</v>
      </c>
      <c r="L40" s="112">
        <v>0</v>
      </c>
      <c r="M40" s="113">
        <v>0.67131060175180701</v>
      </c>
      <c r="N40" s="113">
        <v>1</v>
      </c>
      <c r="O40" s="113">
        <v>1</v>
      </c>
      <c r="P40" s="88" t="s">
        <v>2498</v>
      </c>
    </row>
    <row r="41" spans="1:16" s="94" customFormat="1">
      <c r="A41" s="87" t="s">
        <v>2432</v>
      </c>
      <c r="B41" s="88" t="s">
        <v>1138</v>
      </c>
      <c r="C41" s="88" t="s">
        <v>2501</v>
      </c>
      <c r="D41" s="88" t="s">
        <v>2496</v>
      </c>
      <c r="E41" s="88" t="s">
        <v>2496</v>
      </c>
      <c r="F41" s="112">
        <f>460000+5000000</f>
        <v>5460000</v>
      </c>
      <c r="G41" s="112">
        <v>0</v>
      </c>
      <c r="H41" s="112">
        <v>114222</v>
      </c>
      <c r="I41" s="112">
        <v>113932.11</v>
      </c>
      <c r="J41" s="112" t="s">
        <v>2496</v>
      </c>
      <c r="K41" s="112" t="s">
        <v>2496</v>
      </c>
      <c r="L41" s="112">
        <v>16768.525759999993</v>
      </c>
      <c r="M41" s="113">
        <v>0.98255023498337046</v>
      </c>
      <c r="N41" s="113">
        <v>0.70038165305249933</v>
      </c>
      <c r="O41" s="113">
        <v>1</v>
      </c>
      <c r="P41" s="88" t="s">
        <v>2498</v>
      </c>
    </row>
    <row r="42" spans="1:16" s="94" customFormat="1">
      <c r="A42" s="87" t="s">
        <v>2435</v>
      </c>
      <c r="B42" s="88" t="s">
        <v>766</v>
      </c>
      <c r="C42" s="88" t="s">
        <v>2502</v>
      </c>
      <c r="D42" s="88" t="s">
        <v>2496</v>
      </c>
      <c r="E42" s="88" t="s">
        <v>2496</v>
      </c>
      <c r="F42" s="112">
        <v>856000</v>
      </c>
      <c r="G42" s="112">
        <v>0</v>
      </c>
      <c r="H42" s="112">
        <v>11083.7</v>
      </c>
      <c r="I42" s="112">
        <v>9083.9966000000004</v>
      </c>
      <c r="J42" s="112" t="s">
        <v>2496</v>
      </c>
      <c r="K42" s="112" t="s">
        <v>2496</v>
      </c>
      <c r="L42" s="112">
        <v>320</v>
      </c>
      <c r="M42" s="113">
        <v>0.59202584338575759</v>
      </c>
      <c r="N42" s="113">
        <v>0.99548358793383063</v>
      </c>
      <c r="O42" s="113">
        <v>1</v>
      </c>
      <c r="P42" s="88" t="s">
        <v>2498</v>
      </c>
    </row>
    <row r="43" spans="1:16" s="94" customFormat="1">
      <c r="A43" s="87" t="s">
        <v>2442</v>
      </c>
      <c r="B43" s="88" t="s">
        <v>767</v>
      </c>
      <c r="C43" s="88" t="s">
        <v>2501</v>
      </c>
      <c r="D43" s="88" t="s">
        <v>2496</v>
      </c>
      <c r="E43" s="88" t="s">
        <v>2496</v>
      </c>
      <c r="F43" s="112">
        <v>1200000</v>
      </c>
      <c r="G43" s="112">
        <v>0</v>
      </c>
      <c r="H43" s="112">
        <v>18377.565999999999</v>
      </c>
      <c r="I43" s="112">
        <v>10905.4072</v>
      </c>
      <c r="J43" s="112" t="s">
        <v>2496</v>
      </c>
      <c r="K43" s="112" t="s">
        <v>2496</v>
      </c>
      <c r="L43" s="112">
        <v>0</v>
      </c>
      <c r="M43" s="113">
        <v>0.77196900252874812</v>
      </c>
      <c r="N43" s="113">
        <v>1</v>
      </c>
      <c r="O43" s="113">
        <v>1</v>
      </c>
      <c r="P43" s="88" t="s">
        <v>2498</v>
      </c>
    </row>
    <row r="44" spans="1:16" s="94" customFormat="1">
      <c r="A44" s="87" t="s">
        <v>2443</v>
      </c>
      <c r="B44" s="88" t="s">
        <v>2444</v>
      </c>
      <c r="C44" s="88" t="s">
        <v>2502</v>
      </c>
      <c r="D44" s="88" t="s">
        <v>2496</v>
      </c>
      <c r="E44" s="88" t="s">
        <v>2496</v>
      </c>
      <c r="F44" s="112">
        <v>530977</v>
      </c>
      <c r="G44" s="112">
        <v>0</v>
      </c>
      <c r="H44" s="112">
        <v>7200.9319999999998</v>
      </c>
      <c r="I44" s="112">
        <v>4148.3607000000002</v>
      </c>
      <c r="J44" s="112" t="s">
        <v>2496</v>
      </c>
      <c r="K44" s="112" t="s">
        <v>2496</v>
      </c>
      <c r="L44" s="112">
        <v>26</v>
      </c>
      <c r="M44" s="113">
        <v>0.77379459495049896</v>
      </c>
      <c r="N44" s="113">
        <v>0.99961281411270819</v>
      </c>
      <c r="O44" s="113">
        <v>1</v>
      </c>
      <c r="P44" s="88" t="s">
        <v>2498</v>
      </c>
    </row>
    <row r="45" spans="1:16" s="94" customFormat="1">
      <c r="A45" s="87" t="s">
        <v>2445</v>
      </c>
      <c r="B45" s="88" t="s">
        <v>2446</v>
      </c>
      <c r="C45" s="88" t="s">
        <v>2502</v>
      </c>
      <c r="D45" s="88" t="s">
        <v>2496</v>
      </c>
      <c r="E45" s="88" t="s">
        <v>2496</v>
      </c>
      <c r="F45" s="112">
        <v>892000</v>
      </c>
      <c r="G45" s="112">
        <v>0</v>
      </c>
      <c r="H45" s="112">
        <v>8154</v>
      </c>
      <c r="I45" s="112">
        <v>5037.8981999999996</v>
      </c>
      <c r="J45" s="112" t="s">
        <v>2496</v>
      </c>
      <c r="K45" s="112" t="s">
        <v>2496</v>
      </c>
      <c r="L45" s="112">
        <v>0</v>
      </c>
      <c r="M45" s="113">
        <v>0.61932434172098905</v>
      </c>
      <c r="N45" s="113">
        <v>1</v>
      </c>
      <c r="O45" s="113">
        <v>1</v>
      </c>
      <c r="P45" s="88" t="s">
        <v>2498</v>
      </c>
    </row>
    <row r="46" spans="1:16" s="94" customFormat="1">
      <c r="A46" s="87" t="s">
        <v>2447</v>
      </c>
      <c r="B46" s="88" t="s">
        <v>31</v>
      </c>
      <c r="C46" s="88" t="s">
        <v>2501</v>
      </c>
      <c r="D46" s="88" t="s">
        <v>2496</v>
      </c>
      <c r="E46" s="88" t="s">
        <v>2496</v>
      </c>
      <c r="F46" s="112">
        <f>7900000+1000000+1400000</f>
        <v>10300000</v>
      </c>
      <c r="G46" s="112">
        <f>300000</f>
        <v>300000</v>
      </c>
      <c r="H46" s="112">
        <v>44559</v>
      </c>
      <c r="I46" s="112">
        <v>22745.447400000001</v>
      </c>
      <c r="J46" s="112" t="s">
        <v>2496</v>
      </c>
      <c r="K46" s="112" t="s">
        <v>2496</v>
      </c>
      <c r="L46" s="112">
        <v>0</v>
      </c>
      <c r="M46" s="113">
        <v>0.44124009441859369</v>
      </c>
      <c r="N46" s="113">
        <v>1</v>
      </c>
      <c r="O46" s="113">
        <v>0.95794500135719629</v>
      </c>
      <c r="P46" s="88" t="s">
        <v>2498</v>
      </c>
    </row>
    <row r="47" spans="1:16" s="94" customFormat="1">
      <c r="A47" s="90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</row>
    <row r="48" spans="1:16">
      <c r="A48" s="92" t="s">
        <v>2505</v>
      </c>
    </row>
    <row r="49" spans="1:16" s="94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94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94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94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94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94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94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94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94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94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94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94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94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94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94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94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94" customFormat="1" ht="18">
      <c r="A65" s="110" t="s">
        <v>2534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</row>
    <row r="66" spans="1:16" s="94" customFormat="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</row>
    <row r="67" spans="1:16" s="95" customFormat="1" ht="14" thickBot="1">
      <c r="C67" s="95" t="s">
        <v>2466</v>
      </c>
      <c r="D67" s="95" t="s">
        <v>2467</v>
      </c>
      <c r="E67" s="95" t="s">
        <v>2468</v>
      </c>
      <c r="F67" s="95" t="s">
        <v>2469</v>
      </c>
      <c r="G67" s="95" t="s">
        <v>2470</v>
      </c>
      <c r="H67" s="95" t="s">
        <v>2471</v>
      </c>
      <c r="I67" s="95" t="s">
        <v>2472</v>
      </c>
      <c r="J67" s="95" t="s">
        <v>2473</v>
      </c>
      <c r="K67" s="95" t="s">
        <v>2474</v>
      </c>
      <c r="L67" s="95" t="s">
        <v>2475</v>
      </c>
      <c r="M67" s="95" t="s">
        <v>2476</v>
      </c>
      <c r="N67" s="95" t="s">
        <v>2477</v>
      </c>
      <c r="O67" s="95" t="s">
        <v>2478</v>
      </c>
      <c r="P67" s="95" t="s">
        <v>2479</v>
      </c>
    </row>
    <row r="68" spans="1:16" ht="81">
      <c r="A68" s="84" t="s">
        <v>2350</v>
      </c>
      <c r="B68" s="84" t="s">
        <v>1</v>
      </c>
      <c r="C68" s="86" t="s">
        <v>2480</v>
      </c>
      <c r="D68" s="86" t="s">
        <v>2481</v>
      </c>
      <c r="E68" s="86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6" t="s">
        <v>2491</v>
      </c>
      <c r="O68" s="86" t="s">
        <v>2535</v>
      </c>
      <c r="P68" s="86" t="s">
        <v>2493</v>
      </c>
    </row>
    <row r="69" spans="1:16">
      <c r="A69" s="87" t="s">
        <v>2387</v>
      </c>
      <c r="B69" s="88" t="s">
        <v>2388</v>
      </c>
      <c r="C69" s="88" t="s">
        <v>2536</v>
      </c>
      <c r="D69" s="88" t="s">
        <v>2496</v>
      </c>
      <c r="E69" s="88" t="s">
        <v>2496</v>
      </c>
      <c r="F69" s="112">
        <v>0</v>
      </c>
      <c r="G69" s="112">
        <v>750421</v>
      </c>
      <c r="H69" s="112">
        <v>3251.6179999999999</v>
      </c>
      <c r="I69" s="112">
        <v>2171.2329</v>
      </c>
      <c r="J69" s="112" t="s">
        <v>2498</v>
      </c>
      <c r="K69" s="112" t="s">
        <v>2537</v>
      </c>
      <c r="L69" s="112">
        <v>0</v>
      </c>
      <c r="M69" s="112">
        <v>0</v>
      </c>
      <c r="N69" s="113">
        <v>1</v>
      </c>
      <c r="O69" s="113">
        <v>0.90379111187965577</v>
      </c>
      <c r="P69" s="88" t="s">
        <v>2498</v>
      </c>
    </row>
    <row r="70" spans="1:16">
      <c r="A70" s="87" t="s">
        <v>2538</v>
      </c>
      <c r="B70" s="88" t="s">
        <v>2539</v>
      </c>
      <c r="C70" s="88" t="s">
        <v>2002</v>
      </c>
      <c r="D70" s="88" t="s">
        <v>2496</v>
      </c>
      <c r="E70" s="88" t="s">
        <v>2496</v>
      </c>
      <c r="F70" s="112">
        <v>0</v>
      </c>
      <c r="G70" s="112">
        <v>2200000</v>
      </c>
      <c r="H70" s="112">
        <v>5533.18</v>
      </c>
      <c r="I70" s="112">
        <v>5065.3352999999997</v>
      </c>
      <c r="J70" s="112" t="s">
        <v>2498</v>
      </c>
      <c r="K70" s="112" t="s">
        <v>2498</v>
      </c>
      <c r="L70" s="112">
        <v>0</v>
      </c>
      <c r="M70" s="112">
        <v>0</v>
      </c>
      <c r="N70" s="113">
        <v>1</v>
      </c>
      <c r="O70" s="113">
        <v>1</v>
      </c>
      <c r="P70" s="88" t="s">
        <v>2498</v>
      </c>
    </row>
    <row r="71" spans="1:16">
      <c r="A71" s="87" t="s">
        <v>2540</v>
      </c>
      <c r="B71" s="88" t="s">
        <v>2541</v>
      </c>
      <c r="C71" s="88" t="s">
        <v>2501</v>
      </c>
      <c r="D71" s="88" t="s">
        <v>2496</v>
      </c>
      <c r="E71" s="88" t="s">
        <v>2496</v>
      </c>
      <c r="F71" s="112">
        <v>0</v>
      </c>
      <c r="G71" s="112">
        <f>420600+83900+18500+1169900</f>
        <v>1692900</v>
      </c>
      <c r="H71" s="112">
        <v>7619.2</v>
      </c>
      <c r="I71" s="112">
        <v>4446.9294</v>
      </c>
      <c r="J71" s="112" t="s">
        <v>2498</v>
      </c>
      <c r="K71" s="112" t="s">
        <v>2537</v>
      </c>
      <c r="L71" s="112">
        <v>0</v>
      </c>
      <c r="M71" s="112">
        <v>0</v>
      </c>
      <c r="N71" s="113">
        <v>0.97431759728611711</v>
      </c>
      <c r="O71" s="113">
        <v>1</v>
      </c>
      <c r="P71" s="88" t="s">
        <v>2498</v>
      </c>
    </row>
    <row r="72" spans="1:16">
      <c r="A72" s="87" t="s">
        <v>2393</v>
      </c>
      <c r="B72" s="88" t="s">
        <v>2394</v>
      </c>
      <c r="C72" s="88" t="s">
        <v>2502</v>
      </c>
      <c r="D72" s="88" t="s">
        <v>2496</v>
      </c>
      <c r="E72" s="88" t="s">
        <v>2496</v>
      </c>
      <c r="F72" s="112">
        <v>0</v>
      </c>
      <c r="G72" s="112">
        <v>2047000</v>
      </c>
      <c r="H72" s="112">
        <v>7840.2110000000002</v>
      </c>
      <c r="I72" s="112">
        <v>4972.9772000000003</v>
      </c>
      <c r="J72" s="112" t="s">
        <v>2498</v>
      </c>
      <c r="K72" s="112" t="s">
        <v>2498</v>
      </c>
      <c r="L72" s="112">
        <v>0</v>
      </c>
      <c r="M72" s="112">
        <v>0</v>
      </c>
      <c r="N72" s="113">
        <v>0.82144588206042457</v>
      </c>
      <c r="O72" s="113">
        <v>1</v>
      </c>
      <c r="P72" s="88" t="s">
        <v>2498</v>
      </c>
    </row>
    <row r="73" spans="1:16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</row>
    <row r="74" spans="1:16">
      <c r="A74" s="92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94"/>
    </row>
    <row r="91" spans="1:16" ht="18">
      <c r="A91" s="110" t="s">
        <v>2542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</row>
    <row r="92" spans="1:16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</row>
    <row r="93" spans="1:16" s="95" customFormat="1" ht="14" thickBot="1">
      <c r="C93" s="95" t="s">
        <v>2466</v>
      </c>
      <c r="D93" s="95" t="s">
        <v>2467</v>
      </c>
      <c r="E93" s="95" t="s">
        <v>2468</v>
      </c>
      <c r="F93" s="95" t="s">
        <v>2469</v>
      </c>
      <c r="G93" s="95" t="s">
        <v>2470</v>
      </c>
      <c r="H93" s="95" t="s">
        <v>2472</v>
      </c>
      <c r="I93" s="95" t="s">
        <v>2473</v>
      </c>
      <c r="J93" s="95" t="s">
        <v>2474</v>
      </c>
      <c r="K93" s="95" t="s">
        <v>2475</v>
      </c>
      <c r="L93" s="95" t="s">
        <v>2476</v>
      </c>
      <c r="M93" s="95" t="s">
        <v>2477</v>
      </c>
      <c r="N93" s="95" t="s">
        <v>2478</v>
      </c>
      <c r="O93" s="95" t="s">
        <v>2479</v>
      </c>
      <c r="P93" s="95" t="s">
        <v>2543</v>
      </c>
    </row>
    <row r="94" spans="1:16" ht="81">
      <c r="A94" s="84" t="s">
        <v>2350</v>
      </c>
      <c r="B94" s="84" t="s">
        <v>1</v>
      </c>
      <c r="C94" s="86" t="s">
        <v>2480</v>
      </c>
      <c r="D94" s="86" t="s">
        <v>2481</v>
      </c>
      <c r="E94" s="86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6" t="s">
        <v>2547</v>
      </c>
      <c r="O94" s="86" t="s">
        <v>2548</v>
      </c>
      <c r="P94" s="86" t="s">
        <v>2493</v>
      </c>
    </row>
    <row r="95" spans="1:16">
      <c r="A95" s="87" t="s">
        <v>1328</v>
      </c>
      <c r="B95" s="88" t="s">
        <v>764</v>
      </c>
      <c r="C95" s="88" t="str">
        <f t="shared" ref="C95:I105" si="0">INDEX(C$5:C$72,MATCH($B95,$B$5:$B$72,0))</f>
        <v>A-</v>
      </c>
      <c r="D95" s="88" t="str">
        <f t="shared" si="0"/>
        <v>Yes</v>
      </c>
      <c r="E95" s="88" t="str">
        <f t="shared" si="0"/>
        <v>Yes</v>
      </c>
      <c r="F95" s="112">
        <f t="shared" si="0"/>
        <v>1250000</v>
      </c>
      <c r="G95" s="112">
        <f t="shared" si="0"/>
        <v>237000</v>
      </c>
      <c r="H95" s="112">
        <f t="shared" si="0"/>
        <v>39725.394</v>
      </c>
      <c r="I95" s="112">
        <f t="shared" si="0"/>
        <v>27669.495699999999</v>
      </c>
      <c r="J95" s="112" t="s">
        <v>2496</v>
      </c>
      <c r="K95" s="112" t="s">
        <v>2496</v>
      </c>
      <c r="L95" s="112">
        <v>12.200000000000001</v>
      </c>
      <c r="M95" s="113">
        <f t="shared" ref="M95:P105" si="1">INDEX(M$5:M$72,MATCH($B95,$B$5:$B$72,0))</f>
        <v>7.1898570572697046E-3</v>
      </c>
      <c r="N95" s="113">
        <f t="shared" si="1"/>
        <v>0.94859680623964859</v>
      </c>
      <c r="O95" s="113">
        <f t="shared" si="1"/>
        <v>0.90634382664184121</v>
      </c>
      <c r="P95" s="88" t="str">
        <f t="shared" si="1"/>
        <v>No</v>
      </c>
    </row>
    <row r="96" spans="1:16">
      <c r="A96" s="87" t="s">
        <v>2387</v>
      </c>
      <c r="B96" s="88" t="s">
        <v>2388</v>
      </c>
      <c r="C96" s="88" t="str">
        <f t="shared" si="0"/>
        <v>A+</v>
      </c>
      <c r="D96" s="88" t="str">
        <f t="shared" si="0"/>
        <v>Yes</v>
      </c>
      <c r="E96" s="88" t="str">
        <f t="shared" si="0"/>
        <v>Yes</v>
      </c>
      <c r="F96" s="112">
        <f t="shared" si="0"/>
        <v>0</v>
      </c>
      <c r="G96" s="112">
        <f t="shared" si="0"/>
        <v>750421</v>
      </c>
      <c r="H96" s="112">
        <f t="shared" si="0"/>
        <v>3251.6179999999999</v>
      </c>
      <c r="I96" s="112">
        <f t="shared" si="0"/>
        <v>2171.2329</v>
      </c>
      <c r="J96" s="112" t="s">
        <v>2498</v>
      </c>
      <c r="K96" s="112" t="s">
        <v>2537</v>
      </c>
      <c r="L96" s="112">
        <v>0</v>
      </c>
      <c r="M96" s="113">
        <f t="shared" si="1"/>
        <v>0</v>
      </c>
      <c r="N96" s="113">
        <f t="shared" si="1"/>
        <v>1</v>
      </c>
      <c r="O96" s="113">
        <f t="shared" si="1"/>
        <v>0.90379111187965577</v>
      </c>
      <c r="P96" s="88" t="str">
        <f t="shared" si="1"/>
        <v>No</v>
      </c>
    </row>
    <row r="97" spans="1:16">
      <c r="A97" s="87" t="s">
        <v>2538</v>
      </c>
      <c r="B97" s="88" t="s">
        <v>2539</v>
      </c>
      <c r="C97" s="88" t="str">
        <f t="shared" si="0"/>
        <v>A</v>
      </c>
      <c r="D97" s="88" t="str">
        <f t="shared" si="0"/>
        <v>Yes</v>
      </c>
      <c r="E97" s="88" t="str">
        <f t="shared" si="0"/>
        <v>Yes</v>
      </c>
      <c r="F97" s="112">
        <f t="shared" si="0"/>
        <v>0</v>
      </c>
      <c r="G97" s="112">
        <f t="shared" si="0"/>
        <v>2200000</v>
      </c>
      <c r="H97" s="112">
        <f t="shared" si="0"/>
        <v>5533.18</v>
      </c>
      <c r="I97" s="112">
        <f t="shared" si="0"/>
        <v>5065.3352999999997</v>
      </c>
      <c r="J97" s="112" t="s">
        <v>2498</v>
      </c>
      <c r="K97" s="112" t="s">
        <v>2498</v>
      </c>
      <c r="L97" s="112">
        <v>0</v>
      </c>
      <c r="M97" s="113">
        <f t="shared" si="1"/>
        <v>0</v>
      </c>
      <c r="N97" s="113">
        <f t="shared" si="1"/>
        <v>1</v>
      </c>
      <c r="O97" s="113">
        <f t="shared" si="1"/>
        <v>1</v>
      </c>
      <c r="P97" s="88" t="str">
        <f t="shared" si="1"/>
        <v>No</v>
      </c>
    </row>
    <row r="98" spans="1:16">
      <c r="A98" s="87" t="s">
        <v>2540</v>
      </c>
      <c r="B98" s="88" t="s">
        <v>2541</v>
      </c>
      <c r="C98" s="88" t="str">
        <f t="shared" si="0"/>
        <v>A-</v>
      </c>
      <c r="D98" s="88" t="str">
        <f t="shared" si="0"/>
        <v>Yes</v>
      </c>
      <c r="E98" s="88" t="str">
        <f t="shared" si="0"/>
        <v>Yes</v>
      </c>
      <c r="F98" s="112">
        <f t="shared" si="0"/>
        <v>0</v>
      </c>
      <c r="G98" s="112">
        <f t="shared" si="0"/>
        <v>1692900</v>
      </c>
      <c r="H98" s="112">
        <f t="shared" si="0"/>
        <v>7619.2</v>
      </c>
      <c r="I98" s="112">
        <f t="shared" si="0"/>
        <v>4446.9294</v>
      </c>
      <c r="J98" s="112" t="s">
        <v>2498</v>
      </c>
      <c r="K98" s="112" t="s">
        <v>2537</v>
      </c>
      <c r="L98" s="112">
        <v>0</v>
      </c>
      <c r="M98" s="113">
        <f t="shared" si="1"/>
        <v>0</v>
      </c>
      <c r="N98" s="113">
        <f t="shared" si="1"/>
        <v>0.97431759728611711</v>
      </c>
      <c r="O98" s="113">
        <f t="shared" si="1"/>
        <v>1</v>
      </c>
      <c r="P98" s="88" t="str">
        <f t="shared" si="1"/>
        <v>No</v>
      </c>
    </row>
    <row r="99" spans="1:16">
      <c r="A99" s="87" t="s">
        <v>2393</v>
      </c>
      <c r="B99" s="88" t="s">
        <v>2394</v>
      </c>
      <c r="C99" s="88" t="str">
        <f t="shared" si="0"/>
        <v>BBB+</v>
      </c>
      <c r="D99" s="88" t="str">
        <f t="shared" si="0"/>
        <v>Yes</v>
      </c>
      <c r="E99" s="88" t="str">
        <f t="shared" si="0"/>
        <v>Yes</v>
      </c>
      <c r="F99" s="112">
        <f t="shared" si="0"/>
        <v>0</v>
      </c>
      <c r="G99" s="112">
        <f t="shared" si="0"/>
        <v>2047000</v>
      </c>
      <c r="H99" s="112">
        <f t="shared" si="0"/>
        <v>7840.2110000000002</v>
      </c>
      <c r="I99" s="112">
        <f t="shared" si="0"/>
        <v>4972.9772000000003</v>
      </c>
      <c r="J99" s="112" t="s">
        <v>2498</v>
      </c>
      <c r="K99" s="112" t="s">
        <v>2498</v>
      </c>
      <c r="L99" s="112">
        <v>0</v>
      </c>
      <c r="M99" s="113">
        <f t="shared" si="1"/>
        <v>0</v>
      </c>
      <c r="N99" s="113">
        <f t="shared" si="1"/>
        <v>0.82144588206042457</v>
      </c>
      <c r="O99" s="113">
        <f t="shared" si="1"/>
        <v>1</v>
      </c>
      <c r="P99" s="88" t="str">
        <f t="shared" si="1"/>
        <v>No</v>
      </c>
    </row>
    <row r="100" spans="1:16">
      <c r="A100" s="87" t="s">
        <v>2494</v>
      </c>
      <c r="B100" s="88" t="s">
        <v>412</v>
      </c>
      <c r="C100" s="88" t="str">
        <f t="shared" si="0"/>
        <v>BBB</v>
      </c>
      <c r="D100" s="88" t="str">
        <f t="shared" si="0"/>
        <v>Yes</v>
      </c>
      <c r="E100" s="88" t="str">
        <f t="shared" si="0"/>
        <v>Yes</v>
      </c>
      <c r="F100" s="112">
        <f t="shared" si="0"/>
        <v>263800</v>
      </c>
      <c r="G100" s="112">
        <f t="shared" si="0"/>
        <v>320600</v>
      </c>
      <c r="H100" s="112">
        <f t="shared" si="0"/>
        <v>9389</v>
      </c>
      <c r="I100" s="112">
        <f t="shared" si="0"/>
        <v>10169.9</v>
      </c>
      <c r="J100" s="112" t="str">
        <f>INDEX(J$5:J$72,MATCH($B100,$B$5:$B$72,0))</f>
        <v>Yes</v>
      </c>
      <c r="K100" s="112" t="str">
        <f>INDEX(K$5:K$72,MATCH($B100,$B$5:$B$72,0))</f>
        <v>Yes</v>
      </c>
      <c r="L100" s="112">
        <f>INDEX(L$5:L$72,MATCH($B100,$B$5:$B$72,0))</f>
        <v>1500</v>
      </c>
      <c r="M100" s="113" t="str">
        <f t="shared" si="1"/>
        <v>Not Available</v>
      </c>
      <c r="N100" s="113">
        <f t="shared" si="1"/>
        <v>0.81575435466243329</v>
      </c>
      <c r="O100" s="113">
        <f t="shared" si="1"/>
        <v>1</v>
      </c>
      <c r="P100" s="88" t="str">
        <f t="shared" si="1"/>
        <v>No</v>
      </c>
    </row>
    <row r="101" spans="1:16">
      <c r="A101" s="87" t="s">
        <v>2499</v>
      </c>
      <c r="B101" s="88" t="s">
        <v>430</v>
      </c>
      <c r="C101" s="88" t="str">
        <f t="shared" si="0"/>
        <v>BBB-</v>
      </c>
      <c r="D101" s="88" t="str">
        <f t="shared" si="0"/>
        <v>Yes</v>
      </c>
      <c r="E101" s="88" t="str">
        <f t="shared" si="0"/>
        <v>Yes</v>
      </c>
      <c r="F101" s="112">
        <f t="shared" si="0"/>
        <v>0</v>
      </c>
      <c r="G101" s="112">
        <f t="shared" si="0"/>
        <v>1600000</v>
      </c>
      <c r="H101" s="112">
        <f t="shared" si="0"/>
        <v>23487.7</v>
      </c>
      <c r="I101" s="112">
        <f t="shared" si="0"/>
        <v>5570.3</v>
      </c>
      <c r="J101" s="112" t="s">
        <v>2496</v>
      </c>
      <c r="K101" s="112" t="s">
        <v>2496</v>
      </c>
      <c r="L101" s="112">
        <f>INDEX(L$5:L$72,MATCH($B101,$B$5:$B$72,0))</f>
        <v>1105</v>
      </c>
      <c r="M101" s="113">
        <f t="shared" si="1"/>
        <v>0</v>
      </c>
      <c r="N101" s="113">
        <f t="shared" si="1"/>
        <v>0.65853205177598384</v>
      </c>
      <c r="O101" s="113">
        <f t="shared" si="1"/>
        <v>0.60323365584241762</v>
      </c>
      <c r="P101" s="88" t="str">
        <f t="shared" si="1"/>
        <v>No</v>
      </c>
    </row>
    <row r="102" spans="1:16">
      <c r="A102" s="87" t="s">
        <v>2459</v>
      </c>
      <c r="B102" s="88" t="s">
        <v>610</v>
      </c>
      <c r="C102" s="88" t="str">
        <f t="shared" si="0"/>
        <v>A-</v>
      </c>
      <c r="D102" s="88" t="str">
        <f t="shared" si="0"/>
        <v>Yes</v>
      </c>
      <c r="E102" s="88" t="str">
        <f t="shared" si="0"/>
        <v>Yes</v>
      </c>
      <c r="F102" s="112">
        <f t="shared" si="0"/>
        <v>258271</v>
      </c>
      <c r="G102" s="112">
        <f t="shared" si="0"/>
        <v>1216819</v>
      </c>
      <c r="H102" s="112">
        <f t="shared" si="0"/>
        <v>21819</v>
      </c>
      <c r="I102" s="112">
        <f t="shared" si="0"/>
        <v>10911.7</v>
      </c>
      <c r="J102" s="112" t="s">
        <v>2496</v>
      </c>
      <c r="K102" s="112" t="s">
        <v>2498</v>
      </c>
      <c r="L102" s="112" t="str">
        <f>INDEX(L$5:L$72,MATCH($B102,$B$5:$B$72,0))</f>
        <v>Not Available</v>
      </c>
      <c r="M102" s="113">
        <f t="shared" si="1"/>
        <v>0</v>
      </c>
      <c r="N102" s="113">
        <f t="shared" si="1"/>
        <v>0.99460500963391141</v>
      </c>
      <c r="O102" s="113" t="str">
        <f t="shared" si="1"/>
        <v>Not Available</v>
      </c>
      <c r="P102" s="88" t="str">
        <f t="shared" si="1"/>
        <v>No</v>
      </c>
    </row>
    <row r="103" spans="1:16">
      <c r="A103" s="87" t="s">
        <v>2460</v>
      </c>
      <c r="B103" s="88" t="s">
        <v>445</v>
      </c>
      <c r="C103" s="88" t="str">
        <f t="shared" si="0"/>
        <v>BBB+</v>
      </c>
      <c r="D103" s="88" t="str">
        <f t="shared" si="0"/>
        <v>Yes</v>
      </c>
      <c r="E103" s="88" t="str">
        <f t="shared" si="0"/>
        <v>Yes</v>
      </c>
      <c r="F103" s="112">
        <f t="shared" si="0"/>
        <v>1617000</v>
      </c>
      <c r="G103" s="112">
        <f t="shared" si="0"/>
        <v>922000</v>
      </c>
      <c r="H103" s="112">
        <f t="shared" si="0"/>
        <v>32314</v>
      </c>
      <c r="I103" s="112">
        <f t="shared" si="0"/>
        <v>14130.7</v>
      </c>
      <c r="J103" s="112" t="s">
        <v>2496</v>
      </c>
      <c r="K103" s="112" t="s">
        <v>2496</v>
      </c>
      <c r="L103" s="112">
        <f>INDEX(L$5:L$72,MATCH($B103,$B$5:$B$72,0))</f>
        <v>3078</v>
      </c>
      <c r="M103" s="113">
        <f t="shared" si="1"/>
        <v>0.45</v>
      </c>
      <c r="N103" s="113">
        <f t="shared" si="1"/>
        <v>0.84652861291526305</v>
      </c>
      <c r="O103" s="113">
        <f t="shared" si="1"/>
        <v>1</v>
      </c>
      <c r="P103" s="88" t="str">
        <f t="shared" si="1"/>
        <v>Yes</v>
      </c>
    </row>
    <row r="104" spans="1:16">
      <c r="A104" s="87" t="s">
        <v>2462</v>
      </c>
      <c r="B104" s="88" t="s">
        <v>637</v>
      </c>
      <c r="C104" s="88" t="str">
        <f t="shared" si="0"/>
        <v>A-</v>
      </c>
      <c r="D104" s="88" t="str">
        <f t="shared" si="0"/>
        <v>Yes</v>
      </c>
      <c r="E104" s="88" t="str">
        <f t="shared" si="0"/>
        <v>Yes</v>
      </c>
      <c r="F104" s="112">
        <f t="shared" si="0"/>
        <v>2000000</v>
      </c>
      <c r="G104" s="112">
        <f t="shared" si="0"/>
        <v>1300000</v>
      </c>
      <c r="H104" s="112">
        <f t="shared" si="0"/>
        <v>53051</v>
      </c>
      <c r="I104" s="112">
        <f t="shared" si="0"/>
        <v>26290.9</v>
      </c>
      <c r="J104" s="112" t="s">
        <v>2496</v>
      </c>
      <c r="K104" s="112" t="s">
        <v>2496</v>
      </c>
      <c r="L104" s="112">
        <f>INDEX(L$5:L$72,MATCH($B104,$B$5:$B$72,0))</f>
        <v>4593</v>
      </c>
      <c r="M104" s="113" t="str">
        <f t="shared" si="1"/>
        <v>Not Available</v>
      </c>
      <c r="N104" s="113">
        <f t="shared" si="1"/>
        <v>0.97459205307078722</v>
      </c>
      <c r="O104" s="113">
        <f t="shared" si="1"/>
        <v>0.7156643916664045</v>
      </c>
      <c r="P104" s="88" t="str">
        <f t="shared" si="1"/>
        <v>No</v>
      </c>
    </row>
    <row r="105" spans="1:16">
      <c r="A105" s="87" t="s">
        <v>2549</v>
      </c>
      <c r="B105" s="88" t="s">
        <v>2504</v>
      </c>
      <c r="C105" s="88" t="str">
        <f t="shared" si="0"/>
        <v>A-</v>
      </c>
      <c r="D105" s="88" t="str">
        <f t="shared" si="0"/>
        <v>Yes</v>
      </c>
      <c r="E105" s="88" t="str">
        <f t="shared" si="0"/>
        <v>Yes</v>
      </c>
      <c r="F105" s="112">
        <f t="shared" si="0"/>
        <v>1370819</v>
      </c>
      <c r="G105" s="112">
        <f t="shared" si="0"/>
        <v>0</v>
      </c>
      <c r="H105" s="112">
        <f t="shared" si="0"/>
        <v>25657</v>
      </c>
      <c r="I105" s="112">
        <f t="shared" si="0"/>
        <v>15582.9</v>
      </c>
      <c r="J105" s="112" t="s">
        <v>2496</v>
      </c>
      <c r="K105" s="112" t="s">
        <v>2498</v>
      </c>
      <c r="L105" s="112">
        <v>0</v>
      </c>
      <c r="M105" s="113">
        <f t="shared" si="1"/>
        <v>0</v>
      </c>
      <c r="N105" s="113">
        <f t="shared" si="1"/>
        <v>1</v>
      </c>
      <c r="O105" s="113">
        <f t="shared" si="1"/>
        <v>1</v>
      </c>
      <c r="P105" s="88" t="str">
        <f t="shared" si="1"/>
        <v>No</v>
      </c>
    </row>
    <row r="106" spans="1:16">
      <c r="A106" s="90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</row>
    <row r="107" spans="1:16">
      <c r="A107" s="92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</row>
    <row r="111" spans="1:16">
      <c r="A111" s="83" t="s">
        <v>2509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</row>
    <row r="112" spans="1:16">
      <c r="A112" s="83" t="s">
        <v>2510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</row>
    <row r="113" spans="1:16">
      <c r="A113" s="83" t="s">
        <v>2511</v>
      </c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</row>
    <row r="114" spans="1:16">
      <c r="A114" s="83" t="s">
        <v>2512</v>
      </c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</row>
    <row r="115" spans="1:16">
      <c r="A115" s="83" t="s">
        <v>2513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</row>
    <row r="116" spans="1:16">
      <c r="A116" s="83" t="s">
        <v>2514</v>
      </c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</row>
    <row r="117" spans="1:16">
      <c r="A117" s="83" t="s">
        <v>2515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</row>
    <row r="118" spans="1:16">
      <c r="A118" s="83" t="s">
        <v>2516</v>
      </c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</row>
    <row r="119" spans="1:16">
      <c r="A119" s="83" t="s">
        <v>2517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</row>
    <row r="120" spans="1:16">
      <c r="A120" s="83" t="s">
        <v>2518</v>
      </c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</row>
    <row r="121" spans="1:16">
      <c r="A121" s="83" t="s">
        <v>2519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</row>
    <row r="122" spans="1:16"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</row>
    <row r="123" spans="1:16"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</row>
    <row r="124" spans="1:16"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</row>
    <row r="125" spans="1:16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F160-EC11-48A1-B99A-A7A3FF866A58}">
  <dimension ref="B2:E7"/>
  <sheetViews>
    <sheetView workbookViewId="0">
      <selection activeCell="B4" sqref="B4"/>
    </sheetView>
  </sheetViews>
  <sheetFormatPr defaultRowHeight="15.5"/>
  <cols>
    <col min="1" max="1" width="2.58203125" customWidth="1"/>
    <col min="2" max="2" width="22" bestFit="1" customWidth="1"/>
    <col min="3" max="5" width="21" customWidth="1"/>
  </cols>
  <sheetData>
    <row r="2" spans="2:5">
      <c r="B2" s="198" t="s">
        <v>2550</v>
      </c>
      <c r="C2" s="198"/>
      <c r="D2" s="198"/>
      <c r="E2" s="198"/>
    </row>
    <row r="4" spans="2:5">
      <c r="B4" s="187" t="s">
        <v>2551</v>
      </c>
      <c r="C4" s="188" t="s">
        <v>2552</v>
      </c>
      <c r="D4" s="188" t="s">
        <v>2553</v>
      </c>
      <c r="E4" s="188" t="s">
        <v>2554</v>
      </c>
    </row>
    <row r="5" spans="2:5">
      <c r="B5" s="185" t="s">
        <v>2555</v>
      </c>
      <c r="C5" s="186">
        <f>'CEA-7.1a Avg ERP Hamada Adj 40%'!L72*10000</f>
        <v>194.05137124766566</v>
      </c>
      <c r="D5" s="186">
        <f>'CEA-7.2a Fwd ERP Hamada Adj 40%'!L72*10000</f>
        <v>250.51332994516537</v>
      </c>
      <c r="E5" s="186">
        <f>'CEA-7.3a His ERP Hamada Adj 40%'!L72*10000</f>
        <v>137.58941255016583</v>
      </c>
    </row>
    <row r="6" spans="2:5">
      <c r="B6" s="185" t="s">
        <v>2556</v>
      </c>
      <c r="C6" s="186">
        <f>'CEA-7.1a Avg ERP Hamada Adj 45%'!L72*10000</f>
        <v>90.581955321273398</v>
      </c>
      <c r="D6" s="186">
        <f>'CEA-7.2a Fwd ERP Hamada Adj 45%'!L72*10000</f>
        <v>116.93804127523973</v>
      </c>
      <c r="E6" s="186">
        <f>'CEA-7.3a His ERP Hamada Adj 45%'!L72*10000</f>
        <v>64.225869367307055</v>
      </c>
    </row>
    <row r="7" spans="2:5">
      <c r="B7" s="185" t="s">
        <v>2557</v>
      </c>
      <c r="C7" s="186">
        <f>'CEA-7.1a Avg ERP Hamada Adj 40%'!L87*10000</f>
        <v>230.53666118698413</v>
      </c>
      <c r="D7" s="186">
        <f>'CEA-7.2a Fwd ERP Hamada Adj 40%'!L87*10000</f>
        <v>297.61452494289699</v>
      </c>
      <c r="E7" s="186">
        <f>'CEA-7.3a His ERP Hamada Adj 40%'!L87*10000</f>
        <v>163.45879743107119</v>
      </c>
    </row>
  </sheetData>
  <mergeCells count="1">
    <mergeCell ref="B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9013-89F9-411F-A0BB-232F8AA45356}">
  <dimension ref="A1:P132"/>
  <sheetViews>
    <sheetView zoomScale="90" zoomScaleNormal="90" zoomScaleSheetLayoutView="85" workbookViewId="0">
      <selection activeCell="P32" sqref="P32"/>
    </sheetView>
  </sheetViews>
  <sheetFormatPr defaultColWidth="9" defaultRowHeight="13.5"/>
  <cols>
    <col min="1" max="1" width="40.5" style="156" customWidth="1"/>
    <col min="2" max="4" width="14.5" style="122" customWidth="1"/>
    <col min="5" max="5" width="16.25" style="147" customWidth="1"/>
    <col min="6" max="7" width="14.5" style="147" customWidth="1"/>
    <col min="8" max="8" width="14.5" style="122" customWidth="1"/>
    <col min="9" max="10" width="14.5" style="147" customWidth="1"/>
    <col min="11" max="11" width="14.5" style="122" customWidth="1"/>
    <col min="12" max="12" width="22.75" style="179" customWidth="1"/>
    <col min="13" max="16" width="9" style="122"/>
    <col min="17" max="16384" width="9" style="102"/>
  </cols>
  <sheetData>
    <row r="1" spans="1:16" ht="17.5">
      <c r="A1" s="199" t="s">
        <v>2558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32"/>
      <c r="M1" s="88"/>
      <c r="N1" s="88"/>
      <c r="O1" s="88"/>
      <c r="P1" s="88"/>
    </row>
    <row r="2" spans="1:16" ht="14">
      <c r="A2" s="150"/>
      <c r="B2" s="121"/>
      <c r="C2" s="121"/>
      <c r="D2" s="121"/>
      <c r="E2" s="162"/>
      <c r="F2" s="162"/>
      <c r="G2" s="162"/>
      <c r="H2" s="121"/>
      <c r="I2" s="162"/>
      <c r="J2" s="162"/>
      <c r="K2" s="121"/>
      <c r="L2" s="176"/>
      <c r="M2" s="88"/>
      <c r="N2" s="88"/>
      <c r="O2" s="88"/>
      <c r="P2" s="88"/>
    </row>
    <row r="3" spans="1:16" ht="14" thickBot="1">
      <c r="A3" s="103"/>
      <c r="B3" s="88"/>
      <c r="C3" s="88" t="s">
        <v>2466</v>
      </c>
      <c r="D3" s="88"/>
      <c r="E3" s="120" t="s">
        <v>2467</v>
      </c>
      <c r="F3" s="120" t="s">
        <v>2468</v>
      </c>
      <c r="G3" s="120" t="s">
        <v>2469</v>
      </c>
      <c r="H3" s="88" t="s">
        <v>2470</v>
      </c>
      <c r="I3" s="120" t="s">
        <v>2471</v>
      </c>
      <c r="J3" s="120" t="s">
        <v>2472</v>
      </c>
      <c r="K3" s="88" t="s">
        <v>2473</v>
      </c>
      <c r="L3" s="132" t="s">
        <v>2474</v>
      </c>
      <c r="M3" s="88"/>
      <c r="N3" s="88"/>
      <c r="O3" s="88"/>
      <c r="P3" s="88"/>
    </row>
    <row r="4" spans="1:16" ht="15.4" customHeight="1">
      <c r="A4" s="206" t="s">
        <v>2559</v>
      </c>
      <c r="B4" s="209" t="s">
        <v>1</v>
      </c>
      <c r="C4" s="200" t="s">
        <v>2560</v>
      </c>
      <c r="D4" s="200"/>
      <c r="E4" s="200"/>
      <c r="F4" s="200"/>
      <c r="G4" s="202" t="s">
        <v>2561</v>
      </c>
      <c r="H4" s="200" t="s">
        <v>2562</v>
      </c>
      <c r="I4" s="202" t="s">
        <v>2563</v>
      </c>
      <c r="J4" s="202" t="s">
        <v>2564</v>
      </c>
      <c r="K4" s="200" t="s">
        <v>2565</v>
      </c>
      <c r="L4" s="212" t="s">
        <v>2566</v>
      </c>
      <c r="M4" s="88"/>
      <c r="N4" s="88"/>
      <c r="O4" s="88"/>
      <c r="P4" s="88"/>
    </row>
    <row r="5" spans="1:16">
      <c r="A5" s="207"/>
      <c r="B5" s="210"/>
      <c r="C5" s="201" t="s">
        <v>2567</v>
      </c>
      <c r="D5" s="201"/>
      <c r="E5" s="201"/>
      <c r="F5" s="201"/>
      <c r="G5" s="203"/>
      <c r="H5" s="201"/>
      <c r="I5" s="203"/>
      <c r="J5" s="203"/>
      <c r="K5" s="201"/>
      <c r="L5" s="213"/>
      <c r="M5" s="88"/>
      <c r="N5" s="88"/>
      <c r="O5" s="88"/>
      <c r="P5" s="88"/>
    </row>
    <row r="6" spans="1:16">
      <c r="A6" s="208"/>
      <c r="B6" s="211"/>
      <c r="C6" s="148" t="s">
        <v>2568</v>
      </c>
      <c r="D6" s="148" t="s">
        <v>2569</v>
      </c>
      <c r="E6" s="139" t="s">
        <v>2570</v>
      </c>
      <c r="F6" s="139" t="s">
        <v>2571</v>
      </c>
      <c r="G6" s="204"/>
      <c r="H6" s="205"/>
      <c r="I6" s="204"/>
      <c r="J6" s="173">
        <v>0.4</v>
      </c>
      <c r="K6" s="205"/>
      <c r="L6" s="149">
        <f>J6</f>
        <v>0.4</v>
      </c>
      <c r="M6" s="88"/>
      <c r="N6" s="88"/>
      <c r="O6" s="88"/>
      <c r="P6" s="88"/>
    </row>
    <row r="7" spans="1:16">
      <c r="A7" s="99" t="s">
        <v>2572</v>
      </c>
      <c r="B7" s="89" t="s">
        <v>430</v>
      </c>
      <c r="C7" s="157">
        <v>44.306914735654445</v>
      </c>
      <c r="D7" s="157">
        <v>5.3392152668460762</v>
      </c>
      <c r="E7" s="157">
        <v>50.35386999749948</v>
      </c>
      <c r="F7" s="104">
        <v>0</v>
      </c>
      <c r="G7" s="104">
        <v>1.15571</v>
      </c>
      <c r="H7" s="98">
        <v>0.245</v>
      </c>
      <c r="I7" s="104">
        <f>IFERROR(G7/(1+(1-H7)*((C7+D7+F7)/E7)),"n/a")</f>
        <v>0.66253026719921182</v>
      </c>
      <c r="J7" s="104">
        <f>IFERROR(I7*(1+(1-H7)*((1-J$6)/(J$6))),"n/a")</f>
        <v>1.4128457948023192</v>
      </c>
      <c r="K7" s="126">
        <v>9.0615988334979553E-2</v>
      </c>
      <c r="L7" s="133">
        <f>IFERROR(K7*(J7-G7),"n/a")</f>
        <v>2.3300614182312652E-2</v>
      </c>
      <c r="M7" s="141"/>
      <c r="N7" s="141"/>
      <c r="O7" s="135"/>
      <c r="P7" s="135"/>
    </row>
    <row r="8" spans="1:16">
      <c r="A8" s="99" t="s">
        <v>2459</v>
      </c>
      <c r="B8" s="89" t="s">
        <v>610</v>
      </c>
      <c r="C8" s="157">
        <v>62.448371719759479</v>
      </c>
      <c r="D8" s="157">
        <v>0</v>
      </c>
      <c r="E8" s="157">
        <v>35.916692549130055</v>
      </c>
      <c r="F8" s="104">
        <v>1.6349357311104638</v>
      </c>
      <c r="G8" s="104">
        <v>0.85877409999999998</v>
      </c>
      <c r="H8" s="98">
        <f>198/915</f>
        <v>0.21639344262295082</v>
      </c>
      <c r="I8" s="104">
        <f t="shared" ref="I8:I12" si="0">IFERROR(G8/(1+(1-H8)*((C8+D8+F8)/E8)),"n/a")</f>
        <v>0.35810200074326537</v>
      </c>
      <c r="J8" s="104">
        <f t="shared" ref="J8:J12" si="1">IFERROR(I8*(1+(1-H8)*((1-J$6)/(J$6))),"n/a")</f>
        <v>0.77901861473166079</v>
      </c>
      <c r="K8" s="126">
        <f>$K$7</f>
        <v>9.0615988334979553E-2</v>
      </c>
      <c r="L8" s="133">
        <f t="shared" ref="L8:L12" si="2">IFERROR(K8*(J8-G8),"n/a")</f>
        <v>-7.2271221227264582E-3</v>
      </c>
      <c r="M8" s="141"/>
      <c r="N8" s="141"/>
      <c r="O8" s="135"/>
      <c r="P8" s="135"/>
    </row>
    <row r="9" spans="1:16">
      <c r="A9" s="99" t="s">
        <v>2460</v>
      </c>
      <c r="B9" s="89" t="s">
        <v>445</v>
      </c>
      <c r="C9" s="157">
        <v>48.728250475051112</v>
      </c>
      <c r="D9" s="157">
        <v>4.8737641917640868</v>
      </c>
      <c r="E9" s="157">
        <v>46.397985333184806</v>
      </c>
      <c r="F9" s="104">
        <v>0</v>
      </c>
      <c r="G9" s="104">
        <v>0.71881010000000001</v>
      </c>
      <c r="H9" s="98">
        <v>0.11</v>
      </c>
      <c r="I9" s="104">
        <f t="shared" si="0"/>
        <v>0.3544102165601925</v>
      </c>
      <c r="J9" s="104">
        <f t="shared" si="1"/>
        <v>0.82754785566804945</v>
      </c>
      <c r="K9" s="126">
        <f t="shared" ref="K9:K12" si="3">$K$7</f>
        <v>9.0615988334979553E-2</v>
      </c>
      <c r="L9" s="133">
        <f t="shared" si="2"/>
        <v>9.8533791991878249E-3</v>
      </c>
      <c r="M9" s="141"/>
      <c r="N9" s="141"/>
      <c r="O9" s="135"/>
      <c r="P9" s="135"/>
    </row>
    <row r="10" spans="1:16">
      <c r="A10" s="99" t="s">
        <v>2461</v>
      </c>
      <c r="B10" s="89" t="s">
        <v>652</v>
      </c>
      <c r="C10" s="157">
        <v>46.71986217527315</v>
      </c>
      <c r="D10" s="157">
        <v>1.813483247948497</v>
      </c>
      <c r="E10" s="157">
        <v>51.466654576778346</v>
      </c>
      <c r="F10" s="104">
        <v>0</v>
      </c>
      <c r="G10" s="104">
        <v>0.93412499999999998</v>
      </c>
      <c r="H10" s="98">
        <v>0.23400000000000001</v>
      </c>
      <c r="I10" s="104">
        <f t="shared" si="0"/>
        <v>0.54235734090015209</v>
      </c>
      <c r="J10" s="104">
        <f t="shared" si="1"/>
        <v>1.1655259255944268</v>
      </c>
      <c r="K10" s="126">
        <f t="shared" si="3"/>
        <v>9.0615988334979553E-2</v>
      </c>
      <c r="L10" s="133">
        <f t="shared" si="2"/>
        <v>2.0968623574368052E-2</v>
      </c>
      <c r="M10" s="141"/>
      <c r="N10" s="141"/>
      <c r="O10" s="135"/>
      <c r="P10" s="135"/>
    </row>
    <row r="11" spans="1:16">
      <c r="A11" s="103" t="s">
        <v>2573</v>
      </c>
      <c r="B11" s="88" t="s">
        <v>637</v>
      </c>
      <c r="C11" s="157">
        <v>47.355037157675632</v>
      </c>
      <c r="D11" s="157">
        <v>0.31757233184007161</v>
      </c>
      <c r="E11" s="157">
        <v>52.327390510484292</v>
      </c>
      <c r="F11" s="104">
        <v>0</v>
      </c>
      <c r="G11" s="104">
        <v>0.72239589999999998</v>
      </c>
      <c r="H11" s="98">
        <v>0.14599999999999999</v>
      </c>
      <c r="I11" s="104">
        <f t="shared" si="0"/>
        <v>0.40628948861517949</v>
      </c>
      <c r="J11" s="104">
        <f t="shared" si="1"/>
        <v>0.92674632353122433</v>
      </c>
      <c r="K11" s="126">
        <f t="shared" si="3"/>
        <v>9.0615988334979553E-2</v>
      </c>
      <c r="L11" s="133">
        <f t="shared" si="2"/>
        <v>1.8517415594953558E-2</v>
      </c>
      <c r="M11" s="142"/>
      <c r="N11" s="141"/>
      <c r="O11" s="135"/>
      <c r="P11" s="135"/>
    </row>
    <row r="12" spans="1:16">
      <c r="A12" s="158" t="s">
        <v>2574</v>
      </c>
      <c r="B12" s="129" t="s">
        <v>2504</v>
      </c>
      <c r="C12" s="159">
        <v>53.684566532636879</v>
      </c>
      <c r="D12" s="159">
        <v>1.048438615610086</v>
      </c>
      <c r="E12" s="159">
        <v>45.266994851753033</v>
      </c>
      <c r="F12" s="118">
        <v>0</v>
      </c>
      <c r="G12" s="118">
        <v>0.69190260000000003</v>
      </c>
      <c r="H12" s="182">
        <f>178/1272</f>
        <v>0.13993710691823899</v>
      </c>
      <c r="I12" s="118">
        <f t="shared" si="0"/>
        <v>0.33918207448428689</v>
      </c>
      <c r="J12" s="118">
        <f t="shared" si="1"/>
        <v>0.7767589488779304</v>
      </c>
      <c r="K12" s="160">
        <f t="shared" si="3"/>
        <v>9.0615988334979553E-2</v>
      </c>
      <c r="L12" s="146">
        <f t="shared" si="2"/>
        <v>7.6893419200714935E-3</v>
      </c>
      <c r="M12" s="141"/>
      <c r="N12" s="141"/>
      <c r="O12" s="135"/>
      <c r="P12" s="135"/>
    </row>
    <row r="13" spans="1:16" ht="14" thickBot="1">
      <c r="A13" s="154" t="s">
        <v>2575</v>
      </c>
      <c r="B13" s="125"/>
      <c r="C13" s="123"/>
      <c r="D13" s="123"/>
      <c r="E13" s="161">
        <f>AVERAGE(E7:E12)</f>
        <v>46.954931303138345</v>
      </c>
      <c r="F13" s="123"/>
      <c r="G13" s="161">
        <f>AVERAGE(G7:G12)</f>
        <v>0.84695294999999993</v>
      </c>
      <c r="H13" s="124"/>
      <c r="I13" s="161"/>
      <c r="J13" s="161"/>
      <c r="K13" s="127"/>
      <c r="L13" s="177">
        <f>AVERAGE(L7:L12)</f>
        <v>1.2183708724694519E-2</v>
      </c>
      <c r="M13" s="88"/>
      <c r="N13" s="88"/>
      <c r="O13" s="88"/>
      <c r="P13" s="88"/>
    </row>
    <row r="14" spans="1:16">
      <c r="A14" s="140"/>
      <c r="B14" s="88"/>
      <c r="C14" s="95"/>
      <c r="D14" s="95"/>
      <c r="E14" s="120"/>
      <c r="F14" s="120"/>
      <c r="G14" s="120"/>
      <c r="H14" s="88"/>
      <c r="I14" s="120"/>
      <c r="J14" s="120"/>
      <c r="K14" s="88"/>
      <c r="L14" s="132"/>
      <c r="M14" s="88"/>
      <c r="N14" s="88"/>
      <c r="O14" s="88"/>
      <c r="P14" s="88"/>
    </row>
    <row r="15" spans="1:16">
      <c r="A15" s="140"/>
      <c r="B15" s="88"/>
      <c r="C15" s="95"/>
      <c r="D15" s="95"/>
      <c r="E15" s="120"/>
      <c r="F15" s="120"/>
      <c r="G15" s="120"/>
      <c r="H15" s="88"/>
      <c r="I15" s="120"/>
      <c r="J15" s="120"/>
      <c r="K15" s="88"/>
      <c r="L15" s="132"/>
      <c r="M15" s="88"/>
      <c r="N15" s="88"/>
      <c r="O15" s="88"/>
      <c r="P15" s="88"/>
    </row>
    <row r="16" spans="1:16" ht="14" thickBot="1">
      <c r="A16" s="103"/>
      <c r="B16" s="88"/>
      <c r="C16" s="88"/>
      <c r="D16" s="88"/>
      <c r="E16" s="120"/>
      <c r="F16" s="120"/>
      <c r="G16" s="120"/>
      <c r="H16" s="88"/>
      <c r="I16" s="120"/>
      <c r="J16" s="120"/>
      <c r="K16" s="88"/>
      <c r="L16" s="132"/>
      <c r="M16" s="88"/>
      <c r="N16" s="88"/>
      <c r="O16" s="88"/>
      <c r="P16" s="88"/>
    </row>
    <row r="17" spans="1:16" ht="14.25" customHeight="1">
      <c r="A17" s="206" t="s">
        <v>2576</v>
      </c>
      <c r="B17" s="209" t="s">
        <v>1</v>
      </c>
      <c r="C17" s="200" t="s">
        <v>2560</v>
      </c>
      <c r="D17" s="200"/>
      <c r="E17" s="200"/>
      <c r="F17" s="200"/>
      <c r="G17" s="202" t="s">
        <v>2561</v>
      </c>
      <c r="H17" s="200" t="s">
        <v>2562</v>
      </c>
      <c r="I17" s="202" t="s">
        <v>2563</v>
      </c>
      <c r="J17" s="202" t="s">
        <v>2564</v>
      </c>
      <c r="K17" s="200" t="str">
        <f>K4</f>
        <v>Average Equity Risk Premium</v>
      </c>
      <c r="L17" s="212" t="s">
        <v>2566</v>
      </c>
      <c r="M17" s="88"/>
      <c r="N17" s="88"/>
      <c r="O17" s="88"/>
      <c r="P17" s="88"/>
    </row>
    <row r="18" spans="1:16" ht="14.25" customHeight="1">
      <c r="A18" s="207"/>
      <c r="B18" s="210"/>
      <c r="C18" s="201" t="s">
        <v>2577</v>
      </c>
      <c r="D18" s="201"/>
      <c r="E18" s="201"/>
      <c r="F18" s="201"/>
      <c r="G18" s="203"/>
      <c r="H18" s="201"/>
      <c r="I18" s="203"/>
      <c r="J18" s="203"/>
      <c r="K18" s="201"/>
      <c r="L18" s="213"/>
      <c r="M18" s="88"/>
      <c r="N18" s="88"/>
      <c r="O18" s="88"/>
      <c r="P18" s="88"/>
    </row>
    <row r="19" spans="1:16">
      <c r="A19" s="208"/>
      <c r="B19" s="211"/>
      <c r="C19" s="148" t="s">
        <v>2568</v>
      </c>
      <c r="D19" s="148" t="s">
        <v>2569</v>
      </c>
      <c r="E19" s="139" t="s">
        <v>2570</v>
      </c>
      <c r="F19" s="139" t="s">
        <v>2571</v>
      </c>
      <c r="G19" s="204"/>
      <c r="H19" s="205"/>
      <c r="I19" s="204"/>
      <c r="J19" s="173">
        <v>0.4</v>
      </c>
      <c r="K19" s="205"/>
      <c r="L19" s="149">
        <f>J19</f>
        <v>0.4</v>
      </c>
      <c r="M19" s="88"/>
      <c r="N19" s="88"/>
      <c r="O19" s="88"/>
      <c r="P19" s="88"/>
    </row>
    <row r="20" spans="1:16">
      <c r="A20" s="152" t="s">
        <v>2400</v>
      </c>
      <c r="B20" s="128" t="s">
        <v>2401</v>
      </c>
      <c r="C20" s="137">
        <v>46.885162988888972</v>
      </c>
      <c r="D20" s="137">
        <v>2.1180154043814552</v>
      </c>
      <c r="E20" s="137">
        <v>50.996821606729569</v>
      </c>
      <c r="F20" s="137">
        <v>0</v>
      </c>
      <c r="G20" s="104">
        <v>0.87370040181842501</v>
      </c>
      <c r="H20" s="98">
        <v>6.0000000000000001E-3</v>
      </c>
      <c r="I20" s="104">
        <f>IFERROR(G20/(1+(1-H20)*((C20+D20+F20)/E20)),"n/a")</f>
        <v>0.44687332809757929</v>
      </c>
      <c r="J20" s="104">
        <f>IFERROR(I20*(1+(1-H20)*((1-J$19)/(J$19))),"n/a")</f>
        <v>1.1131614602910698</v>
      </c>
      <c r="K20" s="105">
        <f t="shared" ref="K20:K34" si="4">$K$7</f>
        <v>9.0615988334979553E-2</v>
      </c>
      <c r="L20" s="133">
        <f>IFERROR(K20*(J20-G20),"n/a")</f>
        <v>2.1699000481239034E-2</v>
      </c>
      <c r="M20" s="88"/>
      <c r="N20" s="88"/>
      <c r="O20" s="88"/>
      <c r="P20" s="88"/>
    </row>
    <row r="21" spans="1:16">
      <c r="A21" s="140" t="s">
        <v>2402</v>
      </c>
      <c r="B21" s="95" t="s">
        <v>1930</v>
      </c>
      <c r="C21" s="137">
        <v>44.137938601801629</v>
      </c>
      <c r="D21" s="137">
        <v>3.6925678334463385</v>
      </c>
      <c r="E21" s="137">
        <v>51.679468047752806</v>
      </c>
      <c r="F21" s="137">
        <v>0.49002551699922514</v>
      </c>
      <c r="G21" s="163">
        <v>0.83927651394938352</v>
      </c>
      <c r="H21" s="105">
        <v>0.12</v>
      </c>
      <c r="I21" s="104">
        <f t="shared" ref="I21:I34" si="5">IFERROR(G21/(1+(1-H21)*((C21+D21+F21)/E21)),"n/a")</f>
        <v>0.46043159752266721</v>
      </c>
      <c r="J21" s="163">
        <f t="shared" ref="J21:J34" si="6">IFERROR(I21*(1+(1-H21)*((1-J$19)/(J$19))),"n/a")</f>
        <v>1.0682013062525879</v>
      </c>
      <c r="K21" s="105">
        <f t="shared" si="4"/>
        <v>9.0615988334979553E-2</v>
      </c>
      <c r="L21" s="105">
        <f t="shared" ref="L21:L34" si="7">IFERROR(K21*(J21-G21),"n/a")</f>
        <v>2.0744246308934785E-2</v>
      </c>
      <c r="M21" s="141"/>
      <c r="N21" s="141"/>
      <c r="O21" s="135"/>
      <c r="P21" s="135"/>
    </row>
    <row r="22" spans="1:16">
      <c r="A22" s="140" t="s">
        <v>2403</v>
      </c>
      <c r="B22" s="95" t="s">
        <v>946</v>
      </c>
      <c r="C22" s="137">
        <v>50.695105118023719</v>
      </c>
      <c r="D22" s="137">
        <v>1.6546185080761218</v>
      </c>
      <c r="E22" s="137">
        <v>47.650276373900155</v>
      </c>
      <c r="F22" s="137">
        <v>0</v>
      </c>
      <c r="G22" s="163">
        <v>0.84497239355831155</v>
      </c>
      <c r="H22" s="105">
        <v>0.21</v>
      </c>
      <c r="I22" s="104">
        <f t="shared" si="5"/>
        <v>0.45236181432771438</v>
      </c>
      <c r="J22" s="163">
        <f t="shared" si="6"/>
        <v>0.98841056430605578</v>
      </c>
      <c r="K22" s="105">
        <f t="shared" si="4"/>
        <v>9.0615988334979553E-2</v>
      </c>
      <c r="L22" s="105">
        <f t="shared" si="7"/>
        <v>1.2997791607268397E-2</v>
      </c>
      <c r="M22" s="141"/>
      <c r="N22" s="141"/>
      <c r="O22" s="135"/>
      <c r="P22" s="135"/>
    </row>
    <row r="23" spans="1:16">
      <c r="A23" s="140" t="s">
        <v>2415</v>
      </c>
      <c r="B23" s="95" t="s">
        <v>763</v>
      </c>
      <c r="C23" s="137">
        <v>45.855890300126745</v>
      </c>
      <c r="D23" s="137">
        <v>2.708600944757023</v>
      </c>
      <c r="E23" s="137">
        <v>51.435508755116231</v>
      </c>
      <c r="F23" s="137">
        <v>0</v>
      </c>
      <c r="G23" s="163">
        <v>0.82378961834926434</v>
      </c>
      <c r="H23" s="105">
        <v>9.1999999999999998E-2</v>
      </c>
      <c r="I23" s="104">
        <f t="shared" si="5"/>
        <v>0.4435373330010588</v>
      </c>
      <c r="J23" s="163">
        <f t="shared" si="6"/>
        <v>1.0476351805485009</v>
      </c>
      <c r="K23" s="105">
        <f t="shared" si="4"/>
        <v>9.0615988334979553E-2</v>
      </c>
      <c r="L23" s="105">
        <f t="shared" si="7"/>
        <v>2.0283986853082962E-2</v>
      </c>
      <c r="M23" s="141"/>
      <c r="N23" s="141"/>
      <c r="O23" s="135"/>
      <c r="P23" s="135"/>
    </row>
    <row r="24" spans="1:16">
      <c r="A24" s="140" t="s">
        <v>2420</v>
      </c>
      <c r="B24" s="95" t="s">
        <v>1115</v>
      </c>
      <c r="C24" s="137">
        <v>47.990985455774066</v>
      </c>
      <c r="D24" s="137">
        <v>3.1016018350390078E-3</v>
      </c>
      <c r="E24" s="137">
        <v>51.911648572894606</v>
      </c>
      <c r="F24" s="137">
        <v>9.4264369496283557E-2</v>
      </c>
      <c r="G24" s="163">
        <v>0.97465009387607859</v>
      </c>
      <c r="H24" s="105">
        <v>0.161</v>
      </c>
      <c r="I24" s="104">
        <f t="shared" si="5"/>
        <v>0.54841657436860292</v>
      </c>
      <c r="J24" s="163">
        <f t="shared" si="6"/>
        <v>1.2385988332114894</v>
      </c>
      <c r="K24" s="105">
        <f t="shared" si="4"/>
        <v>9.0615988334979553E-2</v>
      </c>
      <c r="L24" s="105">
        <f t="shared" si="7"/>
        <v>2.3917975884650149E-2</v>
      </c>
      <c r="M24" s="141"/>
      <c r="N24" s="141"/>
      <c r="O24" s="135"/>
      <c r="P24" s="135"/>
    </row>
    <row r="25" spans="1:16">
      <c r="A25" s="140" t="s">
        <v>1328</v>
      </c>
      <c r="B25" s="95" t="s">
        <v>764</v>
      </c>
      <c r="C25" s="137">
        <v>41.03249822202735</v>
      </c>
      <c r="D25" s="137">
        <v>3.9376742073792692</v>
      </c>
      <c r="E25" s="137">
        <v>54.436051094018232</v>
      </c>
      <c r="F25" s="137">
        <v>0.59377647657514498</v>
      </c>
      <c r="G25" s="163">
        <v>0.90169525929291461</v>
      </c>
      <c r="H25" s="105">
        <v>0.19800000000000001</v>
      </c>
      <c r="I25" s="104">
        <f t="shared" si="5"/>
        <v>0.53952105767404257</v>
      </c>
      <c r="J25" s="163">
        <f t="shared" si="6"/>
        <v>1.1885648900559156</v>
      </c>
      <c r="K25" s="105">
        <f t="shared" si="4"/>
        <v>9.0615988334979553E-2</v>
      </c>
      <c r="L25" s="105">
        <f t="shared" si="7"/>
        <v>2.5994975114879987E-2</v>
      </c>
      <c r="M25" s="141"/>
      <c r="N25" s="141"/>
      <c r="O25" s="135"/>
      <c r="P25" s="135"/>
    </row>
    <row r="26" spans="1:16">
      <c r="A26" s="140" t="s">
        <v>2421</v>
      </c>
      <c r="B26" s="95" t="s">
        <v>1366</v>
      </c>
      <c r="C26" s="137">
        <v>45.657238909721279</v>
      </c>
      <c r="D26" s="137">
        <v>2.292903089536579</v>
      </c>
      <c r="E26" s="137">
        <v>52.049858000742141</v>
      </c>
      <c r="F26" s="137">
        <v>0</v>
      </c>
      <c r="G26" s="163">
        <v>0.98249693606702992</v>
      </c>
      <c r="H26" s="105">
        <v>0.13800000000000001</v>
      </c>
      <c r="I26" s="104">
        <f t="shared" si="5"/>
        <v>0.54762527978529307</v>
      </c>
      <c r="J26" s="163">
        <f t="shared" si="6"/>
        <v>1.2557047665476768</v>
      </c>
      <c r="K26" s="105">
        <f t="shared" si="4"/>
        <v>9.0615988334979553E-2</v>
      </c>
      <c r="L26" s="105">
        <f t="shared" si="7"/>
        <v>2.4756997579859372E-2</v>
      </c>
      <c r="M26" s="141"/>
      <c r="N26" s="141"/>
      <c r="O26" s="135"/>
      <c r="P26" s="135"/>
    </row>
    <row r="27" spans="1:16">
      <c r="A27" s="140" t="s">
        <v>2526</v>
      </c>
      <c r="B27" s="95" t="s">
        <v>2527</v>
      </c>
      <c r="C27" s="137">
        <v>37.11398538865344</v>
      </c>
      <c r="D27" s="137">
        <v>6.9546894248985778</v>
      </c>
      <c r="E27" s="137">
        <v>55.931325186447992</v>
      </c>
      <c r="F27" s="137">
        <v>0</v>
      </c>
      <c r="G27" s="163">
        <v>0.8927250421094256</v>
      </c>
      <c r="H27" s="105">
        <v>0.09</v>
      </c>
      <c r="I27" s="104">
        <f t="shared" si="5"/>
        <v>0.51993448780371287</v>
      </c>
      <c r="J27" s="163">
        <f t="shared" si="6"/>
        <v>1.2296450636557807</v>
      </c>
      <c r="K27" s="105">
        <f t="shared" si="4"/>
        <v>9.0615988334979553E-2</v>
      </c>
      <c r="L27" s="105">
        <f t="shared" si="7"/>
        <v>3.0530340742265578E-2</v>
      </c>
      <c r="M27" s="141"/>
      <c r="N27" s="141"/>
      <c r="O27" s="135"/>
      <c r="P27" s="135"/>
    </row>
    <row r="28" spans="1:16">
      <c r="A28" s="140" t="s">
        <v>2432</v>
      </c>
      <c r="B28" s="95" t="s">
        <v>1138</v>
      </c>
      <c r="C28" s="137">
        <v>39.63717632338421</v>
      </c>
      <c r="D28" s="137">
        <v>4.092051939106395</v>
      </c>
      <c r="E28" s="137">
        <v>56.270771737509392</v>
      </c>
      <c r="F28" s="137">
        <v>0</v>
      </c>
      <c r="G28" s="163">
        <v>0.91219232010489681</v>
      </c>
      <c r="H28" s="105">
        <v>0.125</v>
      </c>
      <c r="I28" s="104">
        <f t="shared" si="5"/>
        <v>0.54297765026569156</v>
      </c>
      <c r="J28" s="163">
        <f t="shared" si="6"/>
        <v>1.2556358162394117</v>
      </c>
      <c r="K28" s="105">
        <f t="shared" si="4"/>
        <v>9.0615988334979553E-2</v>
      </c>
      <c r="L28" s="105">
        <f t="shared" si="7"/>
        <v>3.1121471839449792E-2</v>
      </c>
      <c r="M28" s="141"/>
      <c r="N28" s="141"/>
      <c r="O28" s="135"/>
      <c r="P28" s="135"/>
    </row>
    <row r="29" spans="1:16">
      <c r="A29" s="140" t="s">
        <v>2435</v>
      </c>
      <c r="B29" s="95" t="s">
        <v>766</v>
      </c>
      <c r="C29" s="137">
        <v>46.068948359780592</v>
      </c>
      <c r="D29" s="137">
        <v>0.85899541095311693</v>
      </c>
      <c r="E29" s="137">
        <v>53.072056229266295</v>
      </c>
      <c r="F29" s="137">
        <v>0</v>
      </c>
      <c r="G29" s="163">
        <v>1.0177614823084606</v>
      </c>
      <c r="H29" s="105">
        <v>0.12</v>
      </c>
      <c r="I29" s="104">
        <f t="shared" si="5"/>
        <v>0.57237966717457611</v>
      </c>
      <c r="J29" s="163">
        <f t="shared" si="6"/>
        <v>1.3279208278450165</v>
      </c>
      <c r="K29" s="105">
        <f t="shared" si="4"/>
        <v>9.0615988334979553E-2</v>
      </c>
      <c r="L29" s="105">
        <f t="shared" si="7"/>
        <v>2.8105395637125441E-2</v>
      </c>
      <c r="M29" s="141"/>
      <c r="N29" s="141"/>
      <c r="O29" s="135"/>
      <c r="P29" s="135"/>
    </row>
    <row r="30" spans="1:16">
      <c r="A30" s="140" t="s">
        <v>2442</v>
      </c>
      <c r="B30" s="95" t="s">
        <v>767</v>
      </c>
      <c r="C30" s="137">
        <v>48.669564665105824</v>
      </c>
      <c r="D30" s="137">
        <v>3.517963765468378</v>
      </c>
      <c r="E30" s="137">
        <v>47.812471569425796</v>
      </c>
      <c r="F30" s="137">
        <v>0</v>
      </c>
      <c r="G30" s="163">
        <v>0.93579719106169845</v>
      </c>
      <c r="H30" s="105">
        <v>0.129</v>
      </c>
      <c r="I30" s="104">
        <f t="shared" si="5"/>
        <v>0.47972368121953884</v>
      </c>
      <c r="J30" s="163">
        <f t="shared" si="6"/>
        <v>1.1064826707328663</v>
      </c>
      <c r="K30" s="105">
        <f t="shared" si="4"/>
        <v>9.0615988334979553E-2</v>
      </c>
      <c r="L30" s="105">
        <f t="shared" si="7"/>
        <v>1.5466833434832938E-2</v>
      </c>
      <c r="M30" s="141"/>
      <c r="N30" s="141"/>
      <c r="O30" s="135"/>
      <c r="P30" s="135"/>
    </row>
    <row r="31" spans="1:16">
      <c r="A31" s="140" t="s">
        <v>2447</v>
      </c>
      <c r="B31" s="95" t="s">
        <v>31</v>
      </c>
      <c r="C31" s="137">
        <v>41.892933776472269</v>
      </c>
      <c r="D31" s="137">
        <v>3.7193170735697159</v>
      </c>
      <c r="E31" s="137">
        <v>54.387749149958019</v>
      </c>
      <c r="F31" s="137">
        <v>0</v>
      </c>
      <c r="G31" s="163">
        <v>1.0663522553431179</v>
      </c>
      <c r="H31" s="105">
        <v>0.19900000000000001</v>
      </c>
      <c r="I31" s="104">
        <f t="shared" si="5"/>
        <v>0.63786275841933004</v>
      </c>
      <c r="J31" s="163">
        <f t="shared" si="6"/>
        <v>1.404254862660155</v>
      </c>
      <c r="K31" s="105">
        <f t="shared" si="4"/>
        <v>9.0615988334979553E-2</v>
      </c>
      <c r="L31" s="105">
        <f t="shared" si="7"/>
        <v>3.0619378722999805E-2</v>
      </c>
      <c r="M31" s="141"/>
      <c r="N31" s="141"/>
      <c r="O31" s="135"/>
      <c r="P31" s="135"/>
    </row>
    <row r="32" spans="1:16">
      <c r="A32" s="140" t="s">
        <v>2445</v>
      </c>
      <c r="B32" s="95" t="s">
        <v>2446</v>
      </c>
      <c r="C32" s="137">
        <v>53.560996989944556</v>
      </c>
      <c r="D32" s="137">
        <v>1.9531805171947958</v>
      </c>
      <c r="E32" s="137">
        <v>44.485822492860642</v>
      </c>
      <c r="F32" s="137">
        <v>0</v>
      </c>
      <c r="G32" s="163">
        <v>0.87885600974494305</v>
      </c>
      <c r="H32" s="105">
        <v>0.16800000000000001</v>
      </c>
      <c r="I32" s="104">
        <f t="shared" si="5"/>
        <v>0.4311797988385348</v>
      </c>
      <c r="J32" s="163">
        <f t="shared" si="6"/>
        <v>0.96929218778902615</v>
      </c>
      <c r="K32" s="105">
        <f t="shared" si="4"/>
        <v>9.0615988334979553E-2</v>
      </c>
      <c r="L32" s="105">
        <f t="shared" si="7"/>
        <v>8.194963654702769E-3</v>
      </c>
      <c r="M32" s="141"/>
      <c r="N32" s="141"/>
      <c r="O32" s="135"/>
      <c r="P32" s="135"/>
    </row>
    <row r="33" spans="1:16">
      <c r="A33" s="140" t="s">
        <v>2450</v>
      </c>
      <c r="B33" s="95" t="s">
        <v>768</v>
      </c>
      <c r="C33" s="137">
        <v>44.253102338740064</v>
      </c>
      <c r="D33" s="137">
        <v>2.0601591204408196</v>
      </c>
      <c r="E33" s="137">
        <v>53.686738540819114</v>
      </c>
      <c r="F33" s="137">
        <v>0</v>
      </c>
      <c r="G33" s="163">
        <v>0.89737403966762719</v>
      </c>
      <c r="H33" s="105">
        <v>0.114</v>
      </c>
      <c r="I33" s="104">
        <f t="shared" si="5"/>
        <v>0.50862477680027351</v>
      </c>
      <c r="J33" s="163">
        <f t="shared" si="6"/>
        <v>1.1845871051678369</v>
      </c>
      <c r="K33" s="105">
        <f t="shared" si="4"/>
        <v>9.0615988334979553E-2</v>
      </c>
      <c r="L33" s="105">
        <f t="shared" si="7"/>
        <v>2.6026095793020725E-2</v>
      </c>
      <c r="M33" s="141"/>
      <c r="N33" s="141"/>
      <c r="O33" s="135"/>
      <c r="P33" s="135"/>
    </row>
    <row r="34" spans="1:16">
      <c r="A34" s="140" t="s">
        <v>2458</v>
      </c>
      <c r="B34" s="95" t="s">
        <v>2053</v>
      </c>
      <c r="C34" s="137">
        <v>44.796038316387978</v>
      </c>
      <c r="D34" s="137">
        <v>1.6055483333994263</v>
      </c>
      <c r="E34" s="137">
        <v>53.598413350212603</v>
      </c>
      <c r="F34" s="137">
        <v>0</v>
      </c>
      <c r="G34" s="164">
        <v>0.82948435931460662</v>
      </c>
      <c r="H34" s="119" t="s">
        <v>2440</v>
      </c>
      <c r="I34" s="118" t="str">
        <f t="shared" si="5"/>
        <v>n/a</v>
      </c>
      <c r="J34" s="164" t="str">
        <f t="shared" si="6"/>
        <v>n/a</v>
      </c>
      <c r="K34" s="119">
        <f t="shared" si="4"/>
        <v>9.0615988334979553E-2</v>
      </c>
      <c r="L34" s="119" t="str">
        <f t="shared" si="7"/>
        <v>n/a</v>
      </c>
      <c r="M34" s="141"/>
      <c r="N34" s="141"/>
      <c r="O34" s="135"/>
      <c r="P34" s="135"/>
    </row>
    <row r="35" spans="1:16" ht="14" thickBot="1">
      <c r="A35" s="151" t="s">
        <v>2575</v>
      </c>
      <c r="B35" s="106"/>
      <c r="C35" s="107"/>
      <c r="D35" s="107"/>
      <c r="E35" s="107">
        <f>AVERAGE(E20:E34)</f>
        <v>51.960332047176898</v>
      </c>
      <c r="F35" s="107"/>
      <c r="G35" s="107">
        <f>AVERAGE(G20:G34)</f>
        <v>0.9114082611044122</v>
      </c>
      <c r="H35" s="124"/>
      <c r="I35" s="161"/>
      <c r="J35" s="161"/>
      <c r="K35" s="127"/>
      <c r="L35" s="143">
        <f>AVERAGE(L20:L34)</f>
        <v>2.2889960975307985E-2</v>
      </c>
      <c r="M35" s="88"/>
      <c r="N35" s="88"/>
      <c r="O35" s="88"/>
      <c r="P35" s="88"/>
    </row>
    <row r="36" spans="1:16">
      <c r="A36" s="103"/>
      <c r="B36" s="95"/>
      <c r="C36" s="104"/>
      <c r="D36" s="104"/>
      <c r="E36" s="104"/>
      <c r="F36" s="104"/>
      <c r="G36" s="120"/>
      <c r="H36" s="88"/>
      <c r="I36" s="120"/>
      <c r="J36" s="120"/>
      <c r="K36" s="130"/>
      <c r="L36" s="132"/>
      <c r="M36" s="88"/>
      <c r="N36" s="88"/>
      <c r="O36" s="88"/>
      <c r="P36" s="88"/>
    </row>
    <row r="37" spans="1:16">
      <c r="A37" s="103"/>
      <c r="B37" s="95"/>
      <c r="C37" s="104"/>
      <c r="D37" s="104"/>
      <c r="E37" s="104"/>
      <c r="F37" s="104"/>
      <c r="G37" s="120"/>
      <c r="H37" s="88"/>
      <c r="I37" s="120"/>
      <c r="J37" s="120"/>
      <c r="K37" s="130"/>
      <c r="L37" s="132"/>
      <c r="M37" s="88"/>
      <c r="N37" s="88"/>
      <c r="O37" s="88"/>
      <c r="P37" s="88"/>
    </row>
    <row r="38" spans="1:16" ht="14" thickBot="1">
      <c r="A38" s="103"/>
      <c r="B38" s="88"/>
      <c r="C38" s="88"/>
      <c r="D38" s="88"/>
      <c r="E38" s="120"/>
      <c r="F38" s="120"/>
      <c r="G38" s="120"/>
      <c r="H38" s="88"/>
      <c r="I38" s="120"/>
      <c r="J38" s="120"/>
      <c r="K38" s="88"/>
      <c r="L38" s="132"/>
      <c r="M38" s="88"/>
      <c r="N38" s="88"/>
      <c r="O38" s="88"/>
      <c r="P38" s="88"/>
    </row>
    <row r="39" spans="1:16" ht="14.25" customHeight="1">
      <c r="A39" s="206" t="s">
        <v>2578</v>
      </c>
      <c r="B39" s="209" t="s">
        <v>1</v>
      </c>
      <c r="C39" s="200" t="s">
        <v>2560</v>
      </c>
      <c r="D39" s="200"/>
      <c r="E39" s="200"/>
      <c r="F39" s="200"/>
      <c r="G39" s="202" t="s">
        <v>2561</v>
      </c>
      <c r="H39" s="200" t="s">
        <v>2562</v>
      </c>
      <c r="I39" s="202" t="s">
        <v>2563</v>
      </c>
      <c r="J39" s="202" t="s">
        <v>2564</v>
      </c>
      <c r="K39" s="200" t="str">
        <f>K17</f>
        <v>Average Equity Risk Premium</v>
      </c>
      <c r="L39" s="212" t="s">
        <v>2566</v>
      </c>
      <c r="M39" s="88"/>
      <c r="N39" s="88"/>
      <c r="O39" s="88"/>
      <c r="P39" s="88"/>
    </row>
    <row r="40" spans="1:16" ht="14.25" customHeight="1">
      <c r="A40" s="207"/>
      <c r="B40" s="210"/>
      <c r="C40" s="201" t="s">
        <v>2567</v>
      </c>
      <c r="D40" s="201"/>
      <c r="E40" s="201"/>
      <c r="F40" s="201"/>
      <c r="G40" s="203"/>
      <c r="H40" s="201"/>
      <c r="I40" s="203"/>
      <c r="J40" s="203"/>
      <c r="K40" s="201"/>
      <c r="L40" s="213"/>
      <c r="M40" s="88"/>
      <c r="N40" s="88"/>
      <c r="O40" s="88"/>
      <c r="P40" s="88"/>
    </row>
    <row r="41" spans="1:16">
      <c r="A41" s="208"/>
      <c r="B41" s="211"/>
      <c r="C41" s="148" t="s">
        <v>2568</v>
      </c>
      <c r="D41" s="148" t="s">
        <v>2569</v>
      </c>
      <c r="E41" s="139" t="s">
        <v>2570</v>
      </c>
      <c r="F41" s="139" t="s">
        <v>2571</v>
      </c>
      <c r="G41" s="204"/>
      <c r="H41" s="205"/>
      <c r="I41" s="204"/>
      <c r="J41" s="173">
        <v>0.38</v>
      </c>
      <c r="K41" s="205"/>
      <c r="L41" s="149">
        <f>J41</f>
        <v>0.38</v>
      </c>
      <c r="M41" s="88"/>
      <c r="N41" s="88"/>
      <c r="O41" s="88"/>
      <c r="P41" s="88"/>
    </row>
    <row r="42" spans="1:16">
      <c r="A42" s="152" t="s">
        <v>2579</v>
      </c>
      <c r="B42" s="128" t="s">
        <v>2380</v>
      </c>
      <c r="C42" s="137">
        <v>39.79750803770947</v>
      </c>
      <c r="D42" s="137">
        <v>0</v>
      </c>
      <c r="E42" s="137">
        <v>60.202491962290537</v>
      </c>
      <c r="F42" s="104">
        <v>0</v>
      </c>
      <c r="G42" s="163">
        <v>0.82918805364407167</v>
      </c>
      <c r="H42" s="105">
        <v>0.114</v>
      </c>
      <c r="I42" s="104">
        <f t="shared" ref="I42:I45" si="8">IFERROR(G42/(1+(1-H42)*((C42+D42+F42)/E42)),"n/a")</f>
        <v>0.52291613678608884</v>
      </c>
      <c r="J42" s="163">
        <f>IFERROR(I42*(1+(1-H42)*((1-J$41)/(J$41))),"n/a")</f>
        <v>1.2788326953632845</v>
      </c>
      <c r="K42" s="105">
        <f t="shared" ref="K42:K45" si="9">$K$7</f>
        <v>9.0615988334979553E-2</v>
      </c>
      <c r="L42" s="105">
        <f t="shared" ref="L42:L43" si="10">IFERROR(K42*(J42-G42),"n/a")</f>
        <v>4.0744993608914246E-2</v>
      </c>
      <c r="M42" s="88"/>
      <c r="N42" s="88"/>
      <c r="O42" s="88"/>
      <c r="P42" s="88"/>
    </row>
    <row r="43" spans="1:16">
      <c r="A43" s="152" t="s">
        <v>2387</v>
      </c>
      <c r="B43" s="128" t="s">
        <v>2388</v>
      </c>
      <c r="C43" s="137">
        <v>52.398287974465219</v>
      </c>
      <c r="D43" s="137">
        <v>0.63958919925185598</v>
      </c>
      <c r="E43" s="137">
        <v>46.962122826282929</v>
      </c>
      <c r="F43" s="104">
        <v>0</v>
      </c>
      <c r="G43" s="163">
        <v>0.74464980030632322</v>
      </c>
      <c r="H43" s="105">
        <v>0.25700000000000001</v>
      </c>
      <c r="I43" s="163">
        <f t="shared" si="8"/>
        <v>0.40489328183167222</v>
      </c>
      <c r="J43" s="163">
        <f t="shared" ref="J43:J45" si="11">IFERROR(I43*(1+(1-H43)*((1-J$41)/(J$41))),"n/a")</f>
        <v>0.89573049027529872</v>
      </c>
      <c r="K43" s="105">
        <f t="shared" si="9"/>
        <v>9.0615988334979553E-2</v>
      </c>
      <c r="L43" s="105">
        <f t="shared" si="10"/>
        <v>1.3690326039869347E-2</v>
      </c>
      <c r="M43" s="88"/>
      <c r="N43" s="88"/>
      <c r="O43" s="88"/>
      <c r="P43" s="88"/>
    </row>
    <row r="44" spans="1:16">
      <c r="A44" s="140" t="s">
        <v>2538</v>
      </c>
      <c r="B44" s="95" t="s">
        <v>2539</v>
      </c>
      <c r="C44" s="137">
        <v>39.54935552780416</v>
      </c>
      <c r="D44" s="137">
        <v>4.0505407783519159E-4</v>
      </c>
      <c r="E44" s="137">
        <v>60.450239418118002</v>
      </c>
      <c r="F44" s="104">
        <v>0</v>
      </c>
      <c r="G44" s="163">
        <v>0.83247976724837924</v>
      </c>
      <c r="H44" s="105">
        <v>0.14899999999999999</v>
      </c>
      <c r="I44" s="163">
        <f t="shared" si="8"/>
        <v>0.53474826981260637</v>
      </c>
      <c r="J44" s="163">
        <f t="shared" si="11"/>
        <v>1.2772321701245204</v>
      </c>
      <c r="K44" s="105">
        <f t="shared" si="9"/>
        <v>9.0615988334979553E-2</v>
      </c>
      <c r="L44" s="105">
        <f t="shared" ref="L44:L45" si="12">IFERROR(K44*(J44-G44),"n/a")</f>
        <v>4.0301678550978534E-2</v>
      </c>
      <c r="M44" s="88"/>
      <c r="N44" s="88"/>
      <c r="O44" s="88"/>
      <c r="P44" s="88"/>
    </row>
    <row r="45" spans="1:16">
      <c r="A45" s="153" t="s">
        <v>2540</v>
      </c>
      <c r="B45" s="131" t="s">
        <v>2541</v>
      </c>
      <c r="C45" s="138">
        <v>42.863774092268784</v>
      </c>
      <c r="D45" s="138">
        <v>10.86671947546769</v>
      </c>
      <c r="E45" s="138">
        <v>46.269506432263526</v>
      </c>
      <c r="F45" s="118">
        <v>0</v>
      </c>
      <c r="G45" s="164">
        <v>0.86346076191264043</v>
      </c>
      <c r="H45" s="119">
        <v>0.151</v>
      </c>
      <c r="I45" s="164">
        <f t="shared" si="8"/>
        <v>0.43479529949811913</v>
      </c>
      <c r="J45" s="164">
        <f t="shared" si="11"/>
        <v>1.03707832515554</v>
      </c>
      <c r="K45" s="119">
        <f t="shared" si="9"/>
        <v>9.0615988334979553E-2</v>
      </c>
      <c r="L45" s="119">
        <f t="shared" si="12"/>
        <v>1.5732527085566161E-2</v>
      </c>
      <c r="M45" s="88"/>
      <c r="N45" s="88"/>
      <c r="O45" s="88"/>
      <c r="P45" s="88"/>
    </row>
    <row r="46" spans="1:16" ht="14" thickBot="1">
      <c r="A46" s="154" t="s">
        <v>2575</v>
      </c>
      <c r="B46" s="125"/>
      <c r="C46" s="123"/>
      <c r="D46" s="123"/>
      <c r="E46" s="123">
        <f>AVERAGE(E42:E45)</f>
        <v>53.47109015973875</v>
      </c>
      <c r="F46" s="123"/>
      <c r="G46" s="123">
        <f>AVERAGE(G42:G45)</f>
        <v>0.81744459577785367</v>
      </c>
      <c r="H46" s="124"/>
      <c r="I46" s="161"/>
      <c r="J46" s="161"/>
      <c r="K46" s="127"/>
      <c r="L46" s="178">
        <f>AVERAGE(L42:L45)</f>
        <v>2.7617381321332072E-2</v>
      </c>
      <c r="M46" s="88"/>
      <c r="N46" s="88"/>
      <c r="O46" s="88"/>
      <c r="P46" s="88"/>
    </row>
    <row r="47" spans="1:16">
      <c r="A47" s="103"/>
      <c r="B47" s="95"/>
      <c r="C47" s="104"/>
      <c r="D47" s="104"/>
      <c r="E47" s="104"/>
      <c r="F47" s="104"/>
      <c r="G47" s="120"/>
      <c r="H47" s="88"/>
      <c r="I47" s="120"/>
      <c r="J47" s="120"/>
      <c r="K47" s="130"/>
      <c r="L47" s="132"/>
      <c r="M47" s="88"/>
      <c r="N47" s="88"/>
      <c r="O47" s="88"/>
      <c r="P47" s="88"/>
    </row>
    <row r="48" spans="1:16">
      <c r="A48" s="140"/>
      <c r="B48" s="95"/>
      <c r="C48" s="95"/>
      <c r="D48" s="95"/>
      <c r="E48" s="120"/>
      <c r="F48" s="120"/>
      <c r="G48" s="120"/>
      <c r="H48" s="105"/>
      <c r="I48" s="120"/>
      <c r="J48" s="120"/>
      <c r="K48" s="88"/>
      <c r="L48" s="132"/>
      <c r="M48" s="88"/>
      <c r="N48" s="88"/>
      <c r="O48" s="88"/>
      <c r="P48" s="88"/>
    </row>
    <row r="49" spans="1:16" ht="14" thickBot="1">
      <c r="A49" s="140"/>
      <c r="B49" s="95"/>
      <c r="C49" s="95"/>
      <c r="D49" s="95"/>
      <c r="E49" s="120"/>
      <c r="F49" s="120"/>
      <c r="G49" s="120"/>
      <c r="H49" s="105"/>
      <c r="I49" s="120"/>
      <c r="J49" s="120"/>
      <c r="K49" s="88"/>
      <c r="L49" s="132"/>
      <c r="M49" s="88"/>
      <c r="N49" s="88"/>
      <c r="O49" s="88"/>
      <c r="P49" s="88"/>
    </row>
    <row r="50" spans="1:16" ht="14.25" customHeight="1">
      <c r="A50" s="206" t="s">
        <v>2580</v>
      </c>
      <c r="B50" s="209" t="s">
        <v>1</v>
      </c>
      <c r="C50" s="200" t="s">
        <v>2560</v>
      </c>
      <c r="D50" s="200"/>
      <c r="E50" s="200"/>
      <c r="F50" s="200"/>
      <c r="G50" s="202" t="s">
        <v>2561</v>
      </c>
      <c r="H50" s="200" t="s">
        <v>2562</v>
      </c>
      <c r="I50" s="202" t="s">
        <v>2563</v>
      </c>
      <c r="J50" s="202" t="s">
        <v>2564</v>
      </c>
      <c r="K50" s="200" t="str">
        <f>K39</f>
        <v>Average Equity Risk Premium</v>
      </c>
      <c r="L50" s="212" t="s">
        <v>2566</v>
      </c>
      <c r="M50" s="88"/>
      <c r="N50" s="88"/>
      <c r="O50" s="88"/>
      <c r="P50" s="88"/>
    </row>
    <row r="51" spans="1:16" ht="14.25" customHeight="1">
      <c r="A51" s="207"/>
      <c r="B51" s="210"/>
      <c r="C51" s="201" t="s">
        <v>2567</v>
      </c>
      <c r="D51" s="201"/>
      <c r="E51" s="201"/>
      <c r="F51" s="201"/>
      <c r="G51" s="203"/>
      <c r="H51" s="201"/>
      <c r="I51" s="203"/>
      <c r="J51" s="203"/>
      <c r="K51" s="201"/>
      <c r="L51" s="213"/>
      <c r="M51" s="88"/>
      <c r="N51" s="88"/>
      <c r="O51" s="88"/>
      <c r="P51" s="88"/>
    </row>
    <row r="52" spans="1:16">
      <c r="A52" s="208"/>
      <c r="B52" s="211"/>
      <c r="C52" s="148" t="s">
        <v>2568</v>
      </c>
      <c r="D52" s="148" t="s">
        <v>2569</v>
      </c>
      <c r="E52" s="139" t="s">
        <v>2570</v>
      </c>
      <c r="F52" s="139" t="s">
        <v>2571</v>
      </c>
      <c r="G52" s="204"/>
      <c r="H52" s="205"/>
      <c r="I52" s="204"/>
      <c r="J52" s="172">
        <v>0.4</v>
      </c>
      <c r="K52" s="205"/>
      <c r="L52" s="149">
        <f>J52</f>
        <v>0.4</v>
      </c>
      <c r="M52" s="88"/>
      <c r="N52" s="88"/>
      <c r="O52" s="88"/>
      <c r="P52" s="88"/>
    </row>
    <row r="53" spans="1:16">
      <c r="A53" s="103" t="s">
        <v>2459</v>
      </c>
      <c r="B53" s="88" t="s">
        <v>610</v>
      </c>
      <c r="C53" s="120">
        <f>_xlfn.XLOOKUP($B53, $B$4:$B$45, C$4:C$45)</f>
        <v>62.448371719759479</v>
      </c>
      <c r="D53" s="120">
        <f>_xlfn.XLOOKUP($B53, $B$4:$B$45, D$4:D$45)</f>
        <v>0</v>
      </c>
      <c r="E53" s="120">
        <f t="shared" ref="E53:I68" si="13">_xlfn.XLOOKUP($B53, $B$4:$B$45, E$4:E$45)</f>
        <v>35.916692549130055</v>
      </c>
      <c r="F53" s="120">
        <f t="shared" si="13"/>
        <v>1.6349357311104638</v>
      </c>
      <c r="G53" s="163">
        <f t="shared" si="13"/>
        <v>0.85877409999999998</v>
      </c>
      <c r="H53" s="105">
        <f>_xlfn.XLOOKUP($B53, $B$4:$B$45, H$4:H$45)</f>
        <v>0.21639344262295082</v>
      </c>
      <c r="I53" s="163">
        <f t="shared" si="13"/>
        <v>0.35810200074326537</v>
      </c>
      <c r="J53" s="104">
        <f>IFERROR(I53*(1+(1-H53)*((1-J$52)/(J$52))),"n/a")</f>
        <v>0.77901861473166079</v>
      </c>
      <c r="K53" s="136">
        <f t="shared" ref="K53:K71" si="14">_xlfn.XLOOKUP($B53, $B$4:$B$45, K$4:K$45)</f>
        <v>9.0615988334979553E-2</v>
      </c>
      <c r="L53" s="105">
        <f t="shared" ref="L53" si="15">IFERROR(K53*(J53-G53),"n/a")</f>
        <v>-7.2271221227264582E-3</v>
      </c>
      <c r="M53" s="141"/>
      <c r="N53" s="141"/>
      <c r="O53" s="135"/>
      <c r="P53" s="135"/>
    </row>
    <row r="54" spans="1:16">
      <c r="A54" s="103" t="s">
        <v>2460</v>
      </c>
      <c r="B54" s="88" t="s">
        <v>445</v>
      </c>
      <c r="C54" s="120">
        <f t="shared" ref="C54:I71" si="16">_xlfn.XLOOKUP($B54, $B$4:$B$45, C$4:C$45)</f>
        <v>48.728250475051112</v>
      </c>
      <c r="D54" s="120">
        <f t="shared" si="16"/>
        <v>4.8737641917640868</v>
      </c>
      <c r="E54" s="120">
        <f t="shared" si="16"/>
        <v>46.397985333184806</v>
      </c>
      <c r="F54" s="120">
        <f t="shared" si="16"/>
        <v>0</v>
      </c>
      <c r="G54" s="163">
        <f t="shared" si="16"/>
        <v>0.71881010000000001</v>
      </c>
      <c r="H54" s="105">
        <f t="shared" si="16"/>
        <v>0.11</v>
      </c>
      <c r="I54" s="165">
        <f t="shared" si="13"/>
        <v>0.3544102165601925</v>
      </c>
      <c r="J54" s="165">
        <f t="shared" ref="J54:J71" si="17">IFERROR(I54*(1+(1-H54)*((1-J$52)/(J$52))),"n/a")</f>
        <v>0.82754785566804945</v>
      </c>
      <c r="K54" s="136">
        <f t="shared" si="14"/>
        <v>9.0615988334979553E-2</v>
      </c>
      <c r="L54" s="136">
        <f t="shared" ref="L54:L71" si="18">IFERROR(K54*(J54-G54),"n/a")</f>
        <v>9.8533791991878249E-3</v>
      </c>
      <c r="M54" s="141"/>
      <c r="N54" s="141"/>
      <c r="O54" s="135"/>
      <c r="P54" s="135"/>
    </row>
    <row r="55" spans="1:16">
      <c r="A55" s="103" t="s">
        <v>2573</v>
      </c>
      <c r="B55" s="88" t="s">
        <v>637</v>
      </c>
      <c r="C55" s="120">
        <f t="shared" si="16"/>
        <v>47.355037157675632</v>
      </c>
      <c r="D55" s="120">
        <f t="shared" si="16"/>
        <v>0.31757233184007161</v>
      </c>
      <c r="E55" s="120">
        <f t="shared" si="16"/>
        <v>52.327390510484292</v>
      </c>
      <c r="F55" s="120">
        <f t="shared" si="16"/>
        <v>0</v>
      </c>
      <c r="G55" s="163">
        <f t="shared" si="16"/>
        <v>0.72239589999999998</v>
      </c>
      <c r="H55" s="105">
        <f t="shared" si="16"/>
        <v>0.14599999999999999</v>
      </c>
      <c r="I55" s="165">
        <f t="shared" si="13"/>
        <v>0.40628948861517949</v>
      </c>
      <c r="J55" s="165">
        <f t="shared" si="17"/>
        <v>0.92674632353122433</v>
      </c>
      <c r="K55" s="136">
        <f t="shared" si="14"/>
        <v>9.0615988334979553E-2</v>
      </c>
      <c r="L55" s="136">
        <f t="shared" si="18"/>
        <v>1.8517415594953558E-2</v>
      </c>
      <c r="M55" s="141"/>
      <c r="N55" s="141"/>
      <c r="O55" s="135"/>
      <c r="P55" s="135"/>
    </row>
    <row r="56" spans="1:16">
      <c r="A56" s="103" t="s">
        <v>2574</v>
      </c>
      <c r="B56" s="88" t="s">
        <v>2504</v>
      </c>
      <c r="C56" s="120">
        <f t="shared" si="16"/>
        <v>53.684566532636879</v>
      </c>
      <c r="D56" s="120">
        <f t="shared" si="16"/>
        <v>1.048438615610086</v>
      </c>
      <c r="E56" s="120">
        <f t="shared" si="16"/>
        <v>45.266994851753033</v>
      </c>
      <c r="F56" s="120">
        <f t="shared" si="16"/>
        <v>0</v>
      </c>
      <c r="G56" s="163">
        <f t="shared" si="16"/>
        <v>0.69190260000000003</v>
      </c>
      <c r="H56" s="105">
        <f t="shared" si="16"/>
        <v>0.13993710691823899</v>
      </c>
      <c r="I56" s="165">
        <f t="shared" si="13"/>
        <v>0.33918207448428689</v>
      </c>
      <c r="J56" s="165">
        <f t="shared" si="17"/>
        <v>0.7767589488779304</v>
      </c>
      <c r="K56" s="136">
        <f t="shared" si="14"/>
        <v>9.0615988334979553E-2</v>
      </c>
      <c r="L56" s="136">
        <f t="shared" si="18"/>
        <v>7.6893419200714935E-3</v>
      </c>
      <c r="M56" s="141"/>
      <c r="N56" s="141"/>
      <c r="O56" s="135"/>
      <c r="P56" s="135"/>
    </row>
    <row r="57" spans="1:16">
      <c r="A57" s="103" t="s">
        <v>2400</v>
      </c>
      <c r="B57" s="88" t="s">
        <v>2401</v>
      </c>
      <c r="C57" s="120">
        <f t="shared" si="16"/>
        <v>46.885162988888972</v>
      </c>
      <c r="D57" s="120">
        <f t="shared" si="16"/>
        <v>2.1180154043814552</v>
      </c>
      <c r="E57" s="120">
        <f t="shared" si="16"/>
        <v>50.996821606729569</v>
      </c>
      <c r="F57" s="120">
        <f t="shared" si="16"/>
        <v>0</v>
      </c>
      <c r="G57" s="163">
        <f t="shared" si="16"/>
        <v>0.87370040181842501</v>
      </c>
      <c r="H57" s="105">
        <f t="shared" si="16"/>
        <v>6.0000000000000001E-3</v>
      </c>
      <c r="I57" s="165">
        <f t="shared" si="13"/>
        <v>0.44687332809757929</v>
      </c>
      <c r="J57" s="165">
        <f t="shared" si="17"/>
        <v>1.1131614602910698</v>
      </c>
      <c r="K57" s="136">
        <f t="shared" si="14"/>
        <v>9.0615988334979553E-2</v>
      </c>
      <c r="L57" s="136">
        <f t="shared" si="18"/>
        <v>2.1699000481239034E-2</v>
      </c>
      <c r="M57" s="141"/>
      <c r="N57" s="141"/>
      <c r="O57" s="135"/>
      <c r="P57" s="135"/>
    </row>
    <row r="58" spans="1:16">
      <c r="A58" s="103" t="s">
        <v>2402</v>
      </c>
      <c r="B58" s="88" t="s">
        <v>1930</v>
      </c>
      <c r="C58" s="120">
        <f t="shared" si="16"/>
        <v>44.137938601801629</v>
      </c>
      <c r="D58" s="120">
        <f t="shared" si="16"/>
        <v>3.6925678334463385</v>
      </c>
      <c r="E58" s="120">
        <f t="shared" si="16"/>
        <v>51.679468047752806</v>
      </c>
      <c r="F58" s="120">
        <f t="shared" si="16"/>
        <v>0.49002551699922514</v>
      </c>
      <c r="G58" s="163">
        <f t="shared" si="16"/>
        <v>0.83927651394938352</v>
      </c>
      <c r="H58" s="105">
        <f t="shared" si="16"/>
        <v>0.12</v>
      </c>
      <c r="I58" s="165">
        <f t="shared" si="13"/>
        <v>0.46043159752266721</v>
      </c>
      <c r="J58" s="165">
        <f t="shared" si="17"/>
        <v>1.0682013062525879</v>
      </c>
      <c r="K58" s="136">
        <f t="shared" si="14"/>
        <v>9.0615988334979553E-2</v>
      </c>
      <c r="L58" s="136">
        <f t="shared" si="18"/>
        <v>2.0744246308934785E-2</v>
      </c>
      <c r="M58" s="141"/>
      <c r="N58" s="141"/>
      <c r="O58" s="135"/>
      <c r="P58" s="135"/>
    </row>
    <row r="59" spans="1:16">
      <c r="A59" s="103" t="s">
        <v>2403</v>
      </c>
      <c r="B59" s="88" t="s">
        <v>946</v>
      </c>
      <c r="C59" s="120">
        <f t="shared" si="16"/>
        <v>50.695105118023719</v>
      </c>
      <c r="D59" s="120">
        <f t="shared" si="16"/>
        <v>1.6546185080761218</v>
      </c>
      <c r="E59" s="120">
        <f t="shared" si="16"/>
        <v>47.650276373900155</v>
      </c>
      <c r="F59" s="120">
        <f t="shared" si="16"/>
        <v>0</v>
      </c>
      <c r="G59" s="163">
        <f t="shared" si="16"/>
        <v>0.84497239355831155</v>
      </c>
      <c r="H59" s="105">
        <f t="shared" si="16"/>
        <v>0.21</v>
      </c>
      <c r="I59" s="165">
        <f t="shared" si="13"/>
        <v>0.45236181432771438</v>
      </c>
      <c r="J59" s="165">
        <f t="shared" si="17"/>
        <v>0.98841056430605578</v>
      </c>
      <c r="K59" s="136">
        <f t="shared" si="14"/>
        <v>9.0615988334979553E-2</v>
      </c>
      <c r="L59" s="136">
        <f t="shared" si="18"/>
        <v>1.2997791607268397E-2</v>
      </c>
      <c r="M59" s="141"/>
      <c r="N59" s="141"/>
      <c r="O59" s="135"/>
      <c r="P59" s="135"/>
    </row>
    <row r="60" spans="1:16">
      <c r="A60" s="103" t="s">
        <v>2415</v>
      </c>
      <c r="B60" s="88" t="s">
        <v>763</v>
      </c>
      <c r="C60" s="120">
        <f t="shared" si="16"/>
        <v>45.855890300126745</v>
      </c>
      <c r="D60" s="120">
        <f t="shared" si="16"/>
        <v>2.708600944757023</v>
      </c>
      <c r="E60" s="120">
        <f t="shared" si="16"/>
        <v>51.435508755116231</v>
      </c>
      <c r="F60" s="120">
        <f t="shared" si="16"/>
        <v>0</v>
      </c>
      <c r="G60" s="163">
        <f t="shared" si="16"/>
        <v>0.82378961834926434</v>
      </c>
      <c r="H60" s="105">
        <f t="shared" si="16"/>
        <v>9.1999999999999998E-2</v>
      </c>
      <c r="I60" s="165">
        <f t="shared" si="13"/>
        <v>0.4435373330010588</v>
      </c>
      <c r="J60" s="165">
        <f t="shared" si="17"/>
        <v>1.0476351805485009</v>
      </c>
      <c r="K60" s="136">
        <f t="shared" si="14"/>
        <v>9.0615988334979553E-2</v>
      </c>
      <c r="L60" s="136">
        <f t="shared" si="18"/>
        <v>2.0283986853082962E-2</v>
      </c>
      <c r="M60" s="141"/>
      <c r="N60" s="141"/>
      <c r="O60" s="135"/>
      <c r="P60" s="135"/>
    </row>
    <row r="61" spans="1:16">
      <c r="A61" s="103" t="s">
        <v>2420</v>
      </c>
      <c r="B61" s="88" t="s">
        <v>1115</v>
      </c>
      <c r="C61" s="120">
        <f t="shared" si="16"/>
        <v>47.990985455774066</v>
      </c>
      <c r="D61" s="120">
        <f t="shared" si="16"/>
        <v>3.1016018350390078E-3</v>
      </c>
      <c r="E61" s="120">
        <f t="shared" si="16"/>
        <v>51.911648572894606</v>
      </c>
      <c r="F61" s="120">
        <f t="shared" si="16"/>
        <v>9.4264369496283557E-2</v>
      </c>
      <c r="G61" s="163">
        <f t="shared" si="16"/>
        <v>0.97465009387607859</v>
      </c>
      <c r="H61" s="105">
        <f t="shared" si="16"/>
        <v>0.161</v>
      </c>
      <c r="I61" s="165">
        <f t="shared" si="13"/>
        <v>0.54841657436860292</v>
      </c>
      <c r="J61" s="165">
        <f t="shared" si="17"/>
        <v>1.2385988332114894</v>
      </c>
      <c r="K61" s="136">
        <f t="shared" si="14"/>
        <v>9.0615988334979553E-2</v>
      </c>
      <c r="L61" s="136">
        <f t="shared" si="18"/>
        <v>2.3917975884650149E-2</v>
      </c>
      <c r="M61" s="141"/>
      <c r="N61" s="141"/>
      <c r="O61" s="135"/>
      <c r="P61" s="135"/>
    </row>
    <row r="62" spans="1:16">
      <c r="A62" s="103" t="s">
        <v>1328</v>
      </c>
      <c r="B62" s="88" t="s">
        <v>764</v>
      </c>
      <c r="C62" s="120">
        <f t="shared" si="16"/>
        <v>41.03249822202735</v>
      </c>
      <c r="D62" s="120">
        <f t="shared" si="16"/>
        <v>3.9376742073792692</v>
      </c>
      <c r="E62" s="120">
        <f t="shared" si="16"/>
        <v>54.436051094018232</v>
      </c>
      <c r="F62" s="120">
        <f t="shared" si="16"/>
        <v>0.59377647657514498</v>
      </c>
      <c r="G62" s="163">
        <f t="shared" si="16"/>
        <v>0.90169525929291461</v>
      </c>
      <c r="H62" s="105">
        <f t="shared" si="16"/>
        <v>0.19800000000000001</v>
      </c>
      <c r="I62" s="165">
        <f t="shared" si="13"/>
        <v>0.53952105767404257</v>
      </c>
      <c r="J62" s="165">
        <f t="shared" si="17"/>
        <v>1.1885648900559156</v>
      </c>
      <c r="K62" s="136">
        <f t="shared" si="14"/>
        <v>9.0615988334979553E-2</v>
      </c>
      <c r="L62" s="136">
        <f t="shared" si="18"/>
        <v>2.5994975114879987E-2</v>
      </c>
      <c r="M62" s="141"/>
      <c r="N62" s="141"/>
      <c r="O62" s="135"/>
      <c r="P62" s="135"/>
    </row>
    <row r="63" spans="1:16">
      <c r="A63" s="103" t="s">
        <v>2421</v>
      </c>
      <c r="B63" s="88" t="s">
        <v>1366</v>
      </c>
      <c r="C63" s="120">
        <f t="shared" si="16"/>
        <v>45.657238909721279</v>
      </c>
      <c r="D63" s="120">
        <f t="shared" si="16"/>
        <v>2.292903089536579</v>
      </c>
      <c r="E63" s="120">
        <f t="shared" si="16"/>
        <v>52.049858000742141</v>
      </c>
      <c r="F63" s="120">
        <f t="shared" si="16"/>
        <v>0</v>
      </c>
      <c r="G63" s="163">
        <f t="shared" si="16"/>
        <v>0.98249693606702992</v>
      </c>
      <c r="H63" s="105">
        <f t="shared" si="16"/>
        <v>0.13800000000000001</v>
      </c>
      <c r="I63" s="165">
        <f t="shared" si="13"/>
        <v>0.54762527978529307</v>
      </c>
      <c r="J63" s="165">
        <f t="shared" si="17"/>
        <v>1.2557047665476768</v>
      </c>
      <c r="K63" s="136">
        <f t="shared" si="14"/>
        <v>9.0615988334979553E-2</v>
      </c>
      <c r="L63" s="136">
        <f t="shared" si="18"/>
        <v>2.4756997579859372E-2</v>
      </c>
      <c r="M63" s="141"/>
      <c r="N63" s="141"/>
      <c r="O63" s="135"/>
      <c r="P63" s="135"/>
    </row>
    <row r="64" spans="1:16">
      <c r="A64" s="103" t="s">
        <v>2526</v>
      </c>
      <c r="B64" s="88" t="s">
        <v>2527</v>
      </c>
      <c r="C64" s="120">
        <f t="shared" si="16"/>
        <v>37.11398538865344</v>
      </c>
      <c r="D64" s="120">
        <f t="shared" si="16"/>
        <v>6.9546894248985778</v>
      </c>
      <c r="E64" s="120">
        <f t="shared" si="16"/>
        <v>55.931325186447992</v>
      </c>
      <c r="F64" s="120">
        <f t="shared" si="16"/>
        <v>0</v>
      </c>
      <c r="G64" s="163">
        <f t="shared" si="16"/>
        <v>0.8927250421094256</v>
      </c>
      <c r="H64" s="105">
        <f t="shared" si="16"/>
        <v>0.09</v>
      </c>
      <c r="I64" s="165">
        <f t="shared" si="13"/>
        <v>0.51993448780371287</v>
      </c>
      <c r="J64" s="165">
        <f t="shared" si="17"/>
        <v>1.2296450636557807</v>
      </c>
      <c r="K64" s="136">
        <f t="shared" si="14"/>
        <v>9.0615988334979553E-2</v>
      </c>
      <c r="L64" s="136">
        <f t="shared" si="18"/>
        <v>3.0530340742265578E-2</v>
      </c>
      <c r="M64" s="141"/>
      <c r="N64" s="141"/>
      <c r="O64" s="135"/>
      <c r="P64" s="135"/>
    </row>
    <row r="65" spans="1:16">
      <c r="A65" s="103" t="s">
        <v>2432</v>
      </c>
      <c r="B65" s="88" t="s">
        <v>1138</v>
      </c>
      <c r="C65" s="120">
        <f t="shared" si="16"/>
        <v>39.63717632338421</v>
      </c>
      <c r="D65" s="120">
        <f t="shared" si="16"/>
        <v>4.092051939106395</v>
      </c>
      <c r="E65" s="120">
        <f t="shared" si="16"/>
        <v>56.270771737509392</v>
      </c>
      <c r="F65" s="120">
        <f t="shared" si="16"/>
        <v>0</v>
      </c>
      <c r="G65" s="163">
        <f t="shared" si="16"/>
        <v>0.91219232010489681</v>
      </c>
      <c r="H65" s="105">
        <f t="shared" si="16"/>
        <v>0.125</v>
      </c>
      <c r="I65" s="165">
        <f t="shared" si="13"/>
        <v>0.54297765026569156</v>
      </c>
      <c r="J65" s="165">
        <f t="shared" si="17"/>
        <v>1.2556358162394117</v>
      </c>
      <c r="K65" s="136">
        <f t="shared" si="14"/>
        <v>9.0615988334979553E-2</v>
      </c>
      <c r="L65" s="136">
        <f t="shared" si="18"/>
        <v>3.1121471839449792E-2</v>
      </c>
      <c r="M65" s="141"/>
      <c r="N65" s="141"/>
      <c r="O65" s="135"/>
      <c r="P65" s="135"/>
    </row>
    <row r="66" spans="1:16">
      <c r="A66" s="103" t="s">
        <v>2435</v>
      </c>
      <c r="B66" s="88" t="s">
        <v>766</v>
      </c>
      <c r="C66" s="120">
        <f t="shared" si="16"/>
        <v>46.068948359780592</v>
      </c>
      <c r="D66" s="120">
        <f t="shared" si="16"/>
        <v>0.85899541095311693</v>
      </c>
      <c r="E66" s="120">
        <f t="shared" si="16"/>
        <v>53.072056229266295</v>
      </c>
      <c r="F66" s="120">
        <f t="shared" si="16"/>
        <v>0</v>
      </c>
      <c r="G66" s="163">
        <f t="shared" si="16"/>
        <v>1.0177614823084606</v>
      </c>
      <c r="H66" s="105">
        <f t="shared" si="16"/>
        <v>0.12</v>
      </c>
      <c r="I66" s="165">
        <f t="shared" si="13"/>
        <v>0.57237966717457611</v>
      </c>
      <c r="J66" s="165">
        <f t="shared" si="17"/>
        <v>1.3279208278450165</v>
      </c>
      <c r="K66" s="136">
        <f t="shared" si="14"/>
        <v>9.0615988334979553E-2</v>
      </c>
      <c r="L66" s="136">
        <f t="shared" si="18"/>
        <v>2.8105395637125441E-2</v>
      </c>
      <c r="M66" s="141"/>
      <c r="N66" s="141"/>
      <c r="O66" s="135"/>
      <c r="P66" s="135"/>
    </row>
    <row r="67" spans="1:16">
      <c r="A67" s="103" t="s">
        <v>2442</v>
      </c>
      <c r="B67" s="88" t="s">
        <v>767</v>
      </c>
      <c r="C67" s="120">
        <f t="shared" si="16"/>
        <v>48.669564665105824</v>
      </c>
      <c r="D67" s="120">
        <f t="shared" si="16"/>
        <v>3.517963765468378</v>
      </c>
      <c r="E67" s="120">
        <f t="shared" si="16"/>
        <v>47.812471569425796</v>
      </c>
      <c r="F67" s="120">
        <f t="shared" si="16"/>
        <v>0</v>
      </c>
      <c r="G67" s="163">
        <f t="shared" si="16"/>
        <v>0.93579719106169845</v>
      </c>
      <c r="H67" s="105">
        <f t="shared" si="16"/>
        <v>0.129</v>
      </c>
      <c r="I67" s="165">
        <f t="shared" si="13"/>
        <v>0.47972368121953884</v>
      </c>
      <c r="J67" s="165">
        <f t="shared" si="17"/>
        <v>1.1064826707328663</v>
      </c>
      <c r="K67" s="136">
        <f t="shared" si="14"/>
        <v>9.0615988334979553E-2</v>
      </c>
      <c r="L67" s="136">
        <f t="shared" si="18"/>
        <v>1.5466833434832938E-2</v>
      </c>
      <c r="M67" s="141"/>
      <c r="N67" s="141"/>
      <c r="O67" s="135"/>
      <c r="P67" s="135"/>
    </row>
    <row r="68" spans="1:16">
      <c r="A68" s="103" t="s">
        <v>2447</v>
      </c>
      <c r="B68" s="95" t="s">
        <v>31</v>
      </c>
      <c r="C68" s="120">
        <f t="shared" si="16"/>
        <v>41.892933776472269</v>
      </c>
      <c r="D68" s="120">
        <f t="shared" si="16"/>
        <v>3.7193170735697159</v>
      </c>
      <c r="E68" s="120">
        <f t="shared" si="16"/>
        <v>54.387749149958019</v>
      </c>
      <c r="F68" s="120">
        <f t="shared" si="16"/>
        <v>0</v>
      </c>
      <c r="G68" s="163">
        <f t="shared" si="16"/>
        <v>1.0663522553431179</v>
      </c>
      <c r="H68" s="105">
        <f t="shared" si="16"/>
        <v>0.19900000000000001</v>
      </c>
      <c r="I68" s="165">
        <f t="shared" si="13"/>
        <v>0.63786275841933004</v>
      </c>
      <c r="J68" s="165">
        <f t="shared" si="17"/>
        <v>1.404254862660155</v>
      </c>
      <c r="K68" s="136">
        <f t="shared" si="14"/>
        <v>9.0615988334979553E-2</v>
      </c>
      <c r="L68" s="136">
        <f t="shared" si="18"/>
        <v>3.0619378722999805E-2</v>
      </c>
      <c r="M68" s="141"/>
      <c r="N68" s="141"/>
      <c r="O68" s="135"/>
      <c r="P68" s="135"/>
    </row>
    <row r="69" spans="1:16">
      <c r="A69" s="103" t="s">
        <v>2445</v>
      </c>
      <c r="B69" s="88" t="s">
        <v>2446</v>
      </c>
      <c r="C69" s="120">
        <f t="shared" si="16"/>
        <v>53.560996989944556</v>
      </c>
      <c r="D69" s="120">
        <f t="shared" si="16"/>
        <v>1.9531805171947958</v>
      </c>
      <c r="E69" s="120">
        <f t="shared" si="16"/>
        <v>44.485822492860642</v>
      </c>
      <c r="F69" s="120">
        <f t="shared" si="16"/>
        <v>0</v>
      </c>
      <c r="G69" s="163">
        <f t="shared" si="16"/>
        <v>0.87885600974494305</v>
      </c>
      <c r="H69" s="105">
        <f t="shared" si="16"/>
        <v>0.16800000000000001</v>
      </c>
      <c r="I69" s="165">
        <f t="shared" si="16"/>
        <v>0.4311797988385348</v>
      </c>
      <c r="J69" s="165">
        <f t="shared" si="17"/>
        <v>0.96929218778902615</v>
      </c>
      <c r="K69" s="136">
        <f t="shared" si="14"/>
        <v>9.0615988334979553E-2</v>
      </c>
      <c r="L69" s="136">
        <f t="shared" si="18"/>
        <v>8.194963654702769E-3</v>
      </c>
      <c r="M69" s="141"/>
      <c r="N69" s="141"/>
      <c r="O69" s="135"/>
      <c r="P69" s="135"/>
    </row>
    <row r="70" spans="1:16">
      <c r="A70" s="103" t="s">
        <v>2450</v>
      </c>
      <c r="B70" s="88" t="s">
        <v>768</v>
      </c>
      <c r="C70" s="120">
        <f t="shared" si="16"/>
        <v>44.253102338740064</v>
      </c>
      <c r="D70" s="120">
        <f t="shared" si="16"/>
        <v>2.0601591204408196</v>
      </c>
      <c r="E70" s="120">
        <f t="shared" si="16"/>
        <v>53.686738540819114</v>
      </c>
      <c r="F70" s="120">
        <f t="shared" si="16"/>
        <v>0</v>
      </c>
      <c r="G70" s="163">
        <f t="shared" si="16"/>
        <v>0.89737403966762719</v>
      </c>
      <c r="H70" s="105">
        <f t="shared" si="16"/>
        <v>0.114</v>
      </c>
      <c r="I70" s="165">
        <f t="shared" si="16"/>
        <v>0.50862477680027351</v>
      </c>
      <c r="J70" s="165">
        <f t="shared" si="17"/>
        <v>1.1845871051678369</v>
      </c>
      <c r="K70" s="136">
        <f t="shared" si="14"/>
        <v>9.0615988334979553E-2</v>
      </c>
      <c r="L70" s="136">
        <f t="shared" si="18"/>
        <v>2.6026095793020725E-2</v>
      </c>
      <c r="M70" s="141"/>
      <c r="N70" s="141"/>
      <c r="O70" s="135"/>
      <c r="P70" s="135"/>
    </row>
    <row r="71" spans="1:16">
      <c r="A71" s="155" t="s">
        <v>2458</v>
      </c>
      <c r="B71" s="88" t="s">
        <v>2053</v>
      </c>
      <c r="C71" s="120">
        <f t="shared" si="16"/>
        <v>44.796038316387978</v>
      </c>
      <c r="D71" s="120">
        <f t="shared" si="16"/>
        <v>1.6055483333994263</v>
      </c>
      <c r="E71" s="120">
        <f t="shared" si="16"/>
        <v>53.598413350212603</v>
      </c>
      <c r="F71" s="120">
        <f t="shared" si="16"/>
        <v>0</v>
      </c>
      <c r="G71" s="163">
        <f t="shared" si="16"/>
        <v>0.82948435931460662</v>
      </c>
      <c r="H71" s="105" t="str">
        <f t="shared" si="16"/>
        <v>NMF</v>
      </c>
      <c r="I71" s="165" t="str">
        <f t="shared" si="16"/>
        <v>n/a</v>
      </c>
      <c r="J71" s="165" t="str">
        <f t="shared" si="17"/>
        <v>n/a</v>
      </c>
      <c r="K71" s="136">
        <f t="shared" si="14"/>
        <v>9.0615988334979553E-2</v>
      </c>
      <c r="L71" s="136" t="str">
        <f t="shared" si="18"/>
        <v>n/a</v>
      </c>
      <c r="M71" s="141"/>
      <c r="N71" s="141"/>
      <c r="O71" s="135"/>
      <c r="P71" s="135"/>
    </row>
    <row r="72" spans="1:16" ht="14" thickBot="1">
      <c r="A72" s="154" t="s">
        <v>2575</v>
      </c>
      <c r="B72" s="106"/>
      <c r="C72" s="107"/>
      <c r="D72" s="107"/>
      <c r="E72" s="107">
        <f>AVERAGE(E53:E71)</f>
        <v>50.49021283958978</v>
      </c>
      <c r="F72" s="107"/>
      <c r="G72" s="166">
        <f>AVERAGE(G53:G71)</f>
        <v>0.87700034824032536</v>
      </c>
      <c r="H72" s="108"/>
      <c r="I72" s="169"/>
      <c r="J72" s="166"/>
      <c r="K72" s="109"/>
      <c r="L72" s="183">
        <f>AVERAGE(L53:L71)</f>
        <v>1.9405137124766565E-2</v>
      </c>
      <c r="M72" s="88"/>
      <c r="N72" s="88"/>
      <c r="O72" s="88"/>
      <c r="P72" s="88"/>
    </row>
    <row r="73" spans="1:16">
      <c r="A73" s="103"/>
      <c r="B73" s="95"/>
      <c r="C73" s="104"/>
      <c r="D73" s="104"/>
      <c r="E73" s="104"/>
      <c r="F73" s="104"/>
      <c r="G73" s="120"/>
      <c r="H73" s="88"/>
      <c r="I73" s="157"/>
      <c r="J73" s="120"/>
      <c r="K73" s="98"/>
      <c r="L73" s="98"/>
      <c r="M73" s="88"/>
      <c r="N73" s="88"/>
      <c r="O73" s="88"/>
      <c r="P73" s="88"/>
    </row>
    <row r="74" spans="1:16">
      <c r="A74" s="103"/>
      <c r="B74" s="95"/>
      <c r="C74" s="104"/>
      <c r="D74" s="104"/>
      <c r="E74" s="104"/>
      <c r="F74" s="104"/>
      <c r="G74" s="120"/>
      <c r="H74" s="88"/>
      <c r="I74" s="157"/>
      <c r="J74" s="120"/>
      <c r="K74" s="98"/>
      <c r="L74" s="98"/>
      <c r="M74" s="88"/>
      <c r="N74" s="88"/>
      <c r="O74" s="88"/>
      <c r="P74" s="88"/>
    </row>
    <row r="75" spans="1:16" ht="14" thickBot="1">
      <c r="A75" s="140"/>
      <c r="B75" s="88"/>
      <c r="C75" s="95"/>
      <c r="D75" s="95"/>
      <c r="E75" s="120"/>
      <c r="F75" s="120"/>
      <c r="G75" s="120"/>
      <c r="H75" s="88"/>
      <c r="I75" s="120"/>
      <c r="J75" s="120"/>
      <c r="K75" s="88"/>
      <c r="L75" s="132"/>
      <c r="M75" s="88"/>
      <c r="N75" s="88"/>
      <c r="O75" s="88"/>
      <c r="P75" s="88"/>
    </row>
    <row r="76" spans="1:16">
      <c r="A76" s="206" t="s">
        <v>2581</v>
      </c>
      <c r="B76" s="209" t="s">
        <v>1</v>
      </c>
      <c r="C76" s="200" t="s">
        <v>2560</v>
      </c>
      <c r="D76" s="200"/>
      <c r="E76" s="200"/>
      <c r="F76" s="200"/>
      <c r="G76" s="202" t="s">
        <v>2561</v>
      </c>
      <c r="H76" s="200" t="s">
        <v>2562</v>
      </c>
      <c r="I76" s="202" t="s">
        <v>2563</v>
      </c>
      <c r="J76" s="202" t="s">
        <v>2564</v>
      </c>
      <c r="K76" s="200" t="str">
        <f>K50</f>
        <v>Average Equity Risk Premium</v>
      </c>
      <c r="L76" s="212" t="s">
        <v>2566</v>
      </c>
      <c r="M76" s="88"/>
      <c r="N76" s="88"/>
      <c r="O76" s="88"/>
      <c r="P76" s="88"/>
    </row>
    <row r="77" spans="1:16" ht="14.25" customHeight="1">
      <c r="A77" s="207"/>
      <c r="B77" s="210"/>
      <c r="C77" s="201" t="s">
        <v>2567</v>
      </c>
      <c r="D77" s="201"/>
      <c r="E77" s="201"/>
      <c r="F77" s="201"/>
      <c r="G77" s="203"/>
      <c r="H77" s="201"/>
      <c r="I77" s="203"/>
      <c r="J77" s="203"/>
      <c r="K77" s="201"/>
      <c r="L77" s="213"/>
      <c r="M77" s="88"/>
      <c r="N77" s="88"/>
      <c r="O77" s="88"/>
      <c r="P77" s="88"/>
    </row>
    <row r="78" spans="1:16" ht="14.25" customHeight="1">
      <c r="A78" s="208"/>
      <c r="B78" s="211"/>
      <c r="C78" s="148" t="s">
        <v>2568</v>
      </c>
      <c r="D78" s="148" t="s">
        <v>2569</v>
      </c>
      <c r="E78" s="139" t="s">
        <v>2570</v>
      </c>
      <c r="F78" s="139" t="s">
        <v>2571</v>
      </c>
      <c r="G78" s="204"/>
      <c r="H78" s="205"/>
      <c r="I78" s="204"/>
      <c r="J78" s="172">
        <v>0.38</v>
      </c>
      <c r="K78" s="205"/>
      <c r="L78" s="149">
        <f>J78</f>
        <v>0.38</v>
      </c>
      <c r="M78" s="88"/>
      <c r="N78" s="88"/>
      <c r="O78" s="88"/>
      <c r="P78" s="88"/>
    </row>
    <row r="79" spans="1:16" ht="14.25" customHeight="1">
      <c r="A79" s="103" t="s">
        <v>2572</v>
      </c>
      <c r="B79" s="88" t="s">
        <v>430</v>
      </c>
      <c r="C79" s="120">
        <f>_xlfn.XLOOKUP($B79, $B$4:$B$45, C$4:C$45)</f>
        <v>44.306914735654445</v>
      </c>
      <c r="D79" s="120">
        <f>_xlfn.XLOOKUP($B79, $B$4:$B$45, D$4:D$45)</f>
        <v>5.3392152668460762</v>
      </c>
      <c r="E79" s="120">
        <f t="shared" ref="E79:H86" si="19">_xlfn.XLOOKUP($B79, $B$4:$B$45, E$4:E$45)</f>
        <v>50.35386999749948</v>
      </c>
      <c r="F79" s="120">
        <f t="shared" si="19"/>
        <v>0</v>
      </c>
      <c r="G79" s="163">
        <f t="shared" si="19"/>
        <v>1.15571</v>
      </c>
      <c r="H79" s="105">
        <f>_xlfn.XLOOKUP($B79, $B$4:$B$45, H$4:H$45)</f>
        <v>0.245</v>
      </c>
      <c r="I79" s="165">
        <f t="shared" ref="I79:I86" si="20">_xlfn.XLOOKUP($B79, $B$4:$B$45, I$4:I$45)</f>
        <v>0.66253026719921182</v>
      </c>
      <c r="J79" s="165">
        <f>IFERROR(I79*(1+(1-H79)*((1-J$78)/(J$78))),"n/a")</f>
        <v>1.4786629463464513</v>
      </c>
      <c r="K79" s="136">
        <f t="shared" ref="K79:K86" si="21">_xlfn.XLOOKUP($B79, $B$4:$B$45, K$4:K$45)</f>
        <v>9.0615988334979553E-2</v>
      </c>
      <c r="L79" s="105">
        <f t="shared" ref="L79" si="22">IFERROR(K79*(J79-G79),"n/a")</f>
        <v>2.9264700418877312E-2</v>
      </c>
      <c r="M79" s="134"/>
      <c r="N79" s="134"/>
      <c r="O79" s="135"/>
      <c r="P79" s="135"/>
    </row>
    <row r="80" spans="1:16">
      <c r="A80" s="103" t="s">
        <v>2459</v>
      </c>
      <c r="B80" s="88" t="s">
        <v>610</v>
      </c>
      <c r="C80" s="120">
        <f t="shared" ref="C80:D86" si="23">_xlfn.XLOOKUP($B80, $B$4:$B$45, C$4:C$45)</f>
        <v>62.448371719759479</v>
      </c>
      <c r="D80" s="120">
        <f t="shared" si="23"/>
        <v>0</v>
      </c>
      <c r="E80" s="120">
        <f t="shared" si="19"/>
        <v>35.916692549130055</v>
      </c>
      <c r="F80" s="120">
        <f t="shared" si="19"/>
        <v>1.6349357311104638</v>
      </c>
      <c r="G80" s="167">
        <f t="shared" si="19"/>
        <v>0.85877409999999998</v>
      </c>
      <c r="H80" s="132">
        <f t="shared" si="19"/>
        <v>0.21639344262295082</v>
      </c>
      <c r="I80" s="167">
        <f t="shared" si="20"/>
        <v>0.35810200074326537</v>
      </c>
      <c r="J80" s="167">
        <f t="shared" ref="J80:J86" si="24">IFERROR(I80*(1+(1-H80)*((1-J$78)/(J$78))),"n/a")</f>
        <v>0.81594112473064284</v>
      </c>
      <c r="K80" s="132">
        <f t="shared" si="21"/>
        <v>9.0615988334979553E-2</v>
      </c>
      <c r="L80" s="132">
        <f t="shared" ref="L80:L86" si="25">IFERROR(K80*(J80-G80),"n/a")</f>
        <v>-3.8813523873605345E-3</v>
      </c>
      <c r="M80" s="134"/>
      <c r="N80" s="134"/>
      <c r="O80" s="135"/>
      <c r="P80" s="135"/>
    </row>
    <row r="81" spans="1:16">
      <c r="A81" s="103" t="s">
        <v>2461</v>
      </c>
      <c r="B81" s="88" t="s">
        <v>652</v>
      </c>
      <c r="C81" s="120">
        <f t="shared" si="23"/>
        <v>46.71986217527315</v>
      </c>
      <c r="D81" s="120">
        <f t="shared" si="23"/>
        <v>1.813483247948497</v>
      </c>
      <c r="E81" s="120">
        <f t="shared" si="19"/>
        <v>51.466654576778346</v>
      </c>
      <c r="F81" s="120">
        <f t="shared" si="19"/>
        <v>0</v>
      </c>
      <c r="G81" s="167">
        <f t="shared" si="19"/>
        <v>0.93412499999999998</v>
      </c>
      <c r="H81" s="132">
        <f t="shared" si="19"/>
        <v>0.23400000000000001</v>
      </c>
      <c r="I81" s="167">
        <f t="shared" si="20"/>
        <v>0.54235734090015209</v>
      </c>
      <c r="J81" s="167">
        <f t="shared" si="24"/>
        <v>1.2201898365325212</v>
      </c>
      <c r="K81" s="132">
        <f t="shared" si="21"/>
        <v>9.0615988334979553E-2</v>
      </c>
      <c r="L81" s="132">
        <f t="shared" si="25"/>
        <v>2.5922047890278778E-2</v>
      </c>
      <c r="M81" s="134"/>
      <c r="N81" s="134"/>
      <c r="O81" s="135"/>
      <c r="P81" s="135"/>
    </row>
    <row r="82" spans="1:16">
      <c r="A82" s="103" t="s">
        <v>2573</v>
      </c>
      <c r="B82" s="88" t="s">
        <v>637</v>
      </c>
      <c r="C82" s="120">
        <f t="shared" si="23"/>
        <v>47.355037157675632</v>
      </c>
      <c r="D82" s="120">
        <f t="shared" si="23"/>
        <v>0.31757233184007161</v>
      </c>
      <c r="E82" s="120">
        <f t="shared" si="19"/>
        <v>52.327390510484292</v>
      </c>
      <c r="F82" s="120">
        <f t="shared" si="19"/>
        <v>0</v>
      </c>
      <c r="G82" s="167">
        <f t="shared" si="19"/>
        <v>0.72239589999999998</v>
      </c>
      <c r="H82" s="132">
        <f t="shared" si="19"/>
        <v>0.14599999999999999</v>
      </c>
      <c r="I82" s="167">
        <f t="shared" si="20"/>
        <v>0.40628948861517949</v>
      </c>
      <c r="J82" s="167">
        <f t="shared" si="24"/>
        <v>0.97240043185719327</v>
      </c>
      <c r="K82" s="132">
        <f t="shared" si="21"/>
        <v>9.0615988334979553E-2</v>
      </c>
      <c r="L82" s="132">
        <f t="shared" si="25"/>
        <v>2.265440774246345E-2</v>
      </c>
      <c r="M82" s="134"/>
      <c r="N82" s="134"/>
      <c r="O82" s="135"/>
      <c r="P82" s="135"/>
    </row>
    <row r="83" spans="1:16">
      <c r="A83" s="103" t="s">
        <v>2579</v>
      </c>
      <c r="B83" s="88" t="s">
        <v>2380</v>
      </c>
      <c r="C83" s="120">
        <f t="shared" si="23"/>
        <v>39.79750803770947</v>
      </c>
      <c r="D83" s="120">
        <f t="shared" si="23"/>
        <v>0</v>
      </c>
      <c r="E83" s="120">
        <f t="shared" si="19"/>
        <v>60.202491962290537</v>
      </c>
      <c r="F83" s="120">
        <f t="shared" si="19"/>
        <v>0</v>
      </c>
      <c r="G83" s="167">
        <f t="shared" si="19"/>
        <v>0.82918805364407167</v>
      </c>
      <c r="H83" s="132">
        <f t="shared" si="19"/>
        <v>0.114</v>
      </c>
      <c r="I83" s="167">
        <f t="shared" si="20"/>
        <v>0.52291613678608884</v>
      </c>
      <c r="J83" s="167">
        <f t="shared" si="24"/>
        <v>1.2788326953632845</v>
      </c>
      <c r="K83" s="132">
        <f t="shared" si="21"/>
        <v>9.0615988334979553E-2</v>
      </c>
      <c r="L83" s="132">
        <f t="shared" si="25"/>
        <v>4.0744993608914246E-2</v>
      </c>
      <c r="M83" s="134"/>
      <c r="N83" s="134"/>
      <c r="O83" s="135"/>
      <c r="P83" s="135"/>
    </row>
    <row r="84" spans="1:16">
      <c r="A84" s="103" t="s">
        <v>2387</v>
      </c>
      <c r="B84" s="88" t="s">
        <v>2388</v>
      </c>
      <c r="C84" s="120">
        <f t="shared" si="23"/>
        <v>52.398287974465219</v>
      </c>
      <c r="D84" s="120">
        <f t="shared" si="23"/>
        <v>0.63958919925185598</v>
      </c>
      <c r="E84" s="120">
        <f t="shared" si="19"/>
        <v>46.962122826282929</v>
      </c>
      <c r="F84" s="120">
        <f t="shared" si="19"/>
        <v>0</v>
      </c>
      <c r="G84" s="167">
        <f t="shared" si="19"/>
        <v>0.74464980030632322</v>
      </c>
      <c r="H84" s="132">
        <f t="shared" si="19"/>
        <v>0.25700000000000001</v>
      </c>
      <c r="I84" s="167">
        <f t="shared" si="20"/>
        <v>0.40489328183167222</v>
      </c>
      <c r="J84" s="167">
        <f t="shared" si="24"/>
        <v>0.89573049027529872</v>
      </c>
      <c r="K84" s="132">
        <f t="shared" si="21"/>
        <v>9.0615988334979553E-2</v>
      </c>
      <c r="L84" s="132">
        <f t="shared" si="25"/>
        <v>1.3690326039869347E-2</v>
      </c>
      <c r="M84" s="134"/>
      <c r="N84" s="134"/>
      <c r="O84" s="135"/>
      <c r="P84" s="135"/>
    </row>
    <row r="85" spans="1:16">
      <c r="A85" s="103" t="s">
        <v>2538</v>
      </c>
      <c r="B85" s="88" t="s">
        <v>2539</v>
      </c>
      <c r="C85" s="120">
        <f t="shared" si="23"/>
        <v>39.54935552780416</v>
      </c>
      <c r="D85" s="120">
        <f t="shared" si="23"/>
        <v>4.0505407783519159E-4</v>
      </c>
      <c r="E85" s="120">
        <f t="shared" si="19"/>
        <v>60.450239418118002</v>
      </c>
      <c r="F85" s="120">
        <f t="shared" si="19"/>
        <v>0</v>
      </c>
      <c r="G85" s="167">
        <f t="shared" si="19"/>
        <v>0.83247976724837924</v>
      </c>
      <c r="H85" s="132">
        <f t="shared" si="19"/>
        <v>0.14899999999999999</v>
      </c>
      <c r="I85" s="167">
        <f t="shared" si="20"/>
        <v>0.53474826981260637</v>
      </c>
      <c r="J85" s="167">
        <f t="shared" si="24"/>
        <v>1.2772321701245204</v>
      </c>
      <c r="K85" s="132">
        <f t="shared" si="21"/>
        <v>9.0615988334979553E-2</v>
      </c>
      <c r="L85" s="132">
        <f t="shared" si="25"/>
        <v>4.0301678550978534E-2</v>
      </c>
      <c r="M85" s="134"/>
      <c r="N85" s="134"/>
      <c r="O85" s="135"/>
      <c r="P85" s="135"/>
    </row>
    <row r="86" spans="1:16">
      <c r="A86" s="155" t="s">
        <v>2540</v>
      </c>
      <c r="B86" s="88" t="s">
        <v>2541</v>
      </c>
      <c r="C86" s="120">
        <f t="shared" si="23"/>
        <v>42.863774092268784</v>
      </c>
      <c r="D86" s="120">
        <f t="shared" si="23"/>
        <v>10.86671947546769</v>
      </c>
      <c r="E86" s="120">
        <f t="shared" si="19"/>
        <v>46.269506432263526</v>
      </c>
      <c r="F86" s="120">
        <f t="shared" si="19"/>
        <v>0</v>
      </c>
      <c r="G86" s="167">
        <f t="shared" si="19"/>
        <v>0.86346076191264043</v>
      </c>
      <c r="H86" s="132">
        <f t="shared" si="19"/>
        <v>0.151</v>
      </c>
      <c r="I86" s="167">
        <f t="shared" si="20"/>
        <v>0.43479529949811913</v>
      </c>
      <c r="J86" s="167">
        <f t="shared" si="24"/>
        <v>1.03707832515554</v>
      </c>
      <c r="K86" s="132">
        <f t="shared" si="21"/>
        <v>9.0615988334979553E-2</v>
      </c>
      <c r="L86" s="132">
        <f t="shared" si="25"/>
        <v>1.5732527085566161E-2</v>
      </c>
      <c r="M86" s="134"/>
      <c r="N86" s="134"/>
      <c r="O86" s="135"/>
      <c r="P86" s="135"/>
    </row>
    <row r="87" spans="1:16" ht="14" thickBot="1">
      <c r="A87" s="154" t="s">
        <v>2575</v>
      </c>
      <c r="B87" s="106"/>
      <c r="C87" s="107"/>
      <c r="D87" s="107"/>
      <c r="E87" s="107">
        <f>AVERAGE(E79:E86)</f>
        <v>50.493621034105892</v>
      </c>
      <c r="F87" s="107"/>
      <c r="G87" s="107">
        <f>AVERAGE(G79:G86)</f>
        <v>0.8675979228889269</v>
      </c>
      <c r="H87" s="108"/>
      <c r="I87" s="170"/>
      <c r="J87" s="166"/>
      <c r="K87" s="143"/>
      <c r="L87" s="184">
        <f>AVERAGE(L79:L86)</f>
        <v>2.3053666118698413E-2</v>
      </c>
      <c r="M87" s="88"/>
      <c r="N87" s="88"/>
      <c r="O87" s="88"/>
      <c r="P87" s="88"/>
    </row>
    <row r="88" spans="1:16">
      <c r="A88" s="103"/>
      <c r="B88" s="95"/>
      <c r="C88" s="104"/>
      <c r="D88" s="104"/>
      <c r="E88" s="104"/>
      <c r="F88" s="104"/>
      <c r="G88" s="120"/>
      <c r="H88" s="88"/>
      <c r="I88" s="171"/>
      <c r="J88" s="120"/>
      <c r="K88" s="144"/>
      <c r="L88" s="144"/>
      <c r="M88" s="88"/>
      <c r="N88" s="88"/>
      <c r="O88" s="88"/>
      <c r="P88" s="88"/>
    </row>
    <row r="89" spans="1:16">
      <c r="A89" s="103"/>
      <c r="B89" s="95"/>
      <c r="C89" s="104"/>
      <c r="D89" s="104"/>
      <c r="E89" s="104"/>
      <c r="F89" s="104"/>
      <c r="G89" s="120"/>
      <c r="H89" s="88"/>
      <c r="I89" s="171"/>
      <c r="J89" s="120"/>
      <c r="K89" s="144"/>
      <c r="L89" s="144"/>
      <c r="M89" s="88"/>
      <c r="N89" s="88"/>
      <c r="O89" s="88"/>
      <c r="P89" s="88"/>
    </row>
    <row r="90" spans="1:16">
      <c r="A90" s="103"/>
      <c r="B90" s="88"/>
      <c r="C90" s="88"/>
      <c r="D90" s="88"/>
      <c r="E90" s="120"/>
      <c r="F90" s="120"/>
      <c r="G90" s="120"/>
      <c r="H90" s="88"/>
      <c r="I90" s="120"/>
      <c r="J90" s="120"/>
      <c r="K90" s="88"/>
      <c r="L90" s="132"/>
      <c r="M90" s="87"/>
      <c r="N90" s="87"/>
      <c r="O90" s="87"/>
      <c r="P90" s="87"/>
    </row>
    <row r="91" spans="1:16">
      <c r="A91" s="103"/>
      <c r="B91" s="88"/>
      <c r="C91" s="88"/>
      <c r="D91" s="88"/>
      <c r="E91" s="120"/>
      <c r="F91" s="120"/>
      <c r="G91" s="120"/>
      <c r="H91" s="88"/>
      <c r="I91" s="120"/>
      <c r="J91" s="120"/>
      <c r="K91" s="88"/>
      <c r="L91" s="132"/>
      <c r="M91" s="87"/>
      <c r="N91" s="87"/>
      <c r="O91" s="87"/>
      <c r="P91" s="87"/>
    </row>
    <row r="92" spans="1:16" ht="14" thickBot="1">
      <c r="A92" s="103"/>
      <c r="B92" s="88"/>
      <c r="C92" s="88"/>
      <c r="D92" s="88"/>
      <c r="E92" s="120"/>
      <c r="F92" s="120"/>
      <c r="G92" s="120"/>
      <c r="H92" s="88"/>
      <c r="I92" s="120"/>
      <c r="J92" s="120"/>
      <c r="K92" s="88"/>
      <c r="L92" s="132"/>
      <c r="M92" s="87"/>
      <c r="N92" s="87"/>
      <c r="O92" s="87"/>
      <c r="P92" s="87"/>
    </row>
    <row r="93" spans="1:16">
      <c r="A93" s="206" t="s">
        <v>2582</v>
      </c>
      <c r="B93" s="209" t="s">
        <v>1</v>
      </c>
      <c r="C93" s="200" t="s">
        <v>2560</v>
      </c>
      <c r="D93" s="200"/>
      <c r="E93" s="200"/>
      <c r="F93" s="200"/>
      <c r="G93" s="202" t="s">
        <v>2561</v>
      </c>
      <c r="H93" s="200" t="s">
        <v>2562</v>
      </c>
      <c r="I93" s="202" t="s">
        <v>2563</v>
      </c>
      <c r="J93" s="202" t="s">
        <v>2564</v>
      </c>
      <c r="K93" s="200" t="s">
        <v>2583</v>
      </c>
      <c r="L93" s="212" t="s">
        <v>2566</v>
      </c>
      <c r="M93" s="87"/>
      <c r="N93" s="87"/>
      <c r="O93" s="87"/>
      <c r="P93" s="87"/>
    </row>
    <row r="94" spans="1:16" ht="14.25" customHeight="1">
      <c r="A94" s="207"/>
      <c r="B94" s="210"/>
      <c r="C94" s="201" t="s">
        <v>2567</v>
      </c>
      <c r="D94" s="201"/>
      <c r="E94" s="201"/>
      <c r="F94" s="201"/>
      <c r="G94" s="203"/>
      <c r="H94" s="201"/>
      <c r="I94" s="203"/>
      <c r="J94" s="203"/>
      <c r="K94" s="201"/>
      <c r="L94" s="213"/>
      <c r="M94" s="87"/>
      <c r="N94" s="87"/>
      <c r="O94" s="87"/>
      <c r="P94" s="87"/>
    </row>
    <row r="95" spans="1:16">
      <c r="A95" s="208"/>
      <c r="B95" s="211"/>
      <c r="C95" s="148" t="s">
        <v>2568</v>
      </c>
      <c r="D95" s="148" t="s">
        <v>2569</v>
      </c>
      <c r="E95" s="139" t="s">
        <v>2570</v>
      </c>
      <c r="F95" s="139" t="s">
        <v>2571</v>
      </c>
      <c r="G95" s="204"/>
      <c r="H95" s="205"/>
      <c r="I95" s="204"/>
      <c r="J95" s="173" t="s">
        <v>2584</v>
      </c>
      <c r="K95" s="205"/>
      <c r="L95" s="149" t="str">
        <f>J95</f>
        <v>40% or 38%</v>
      </c>
      <c r="M95" s="87"/>
      <c r="N95" s="87"/>
      <c r="O95" s="87"/>
      <c r="P95" s="87"/>
    </row>
    <row r="96" spans="1:16">
      <c r="A96" s="192" t="s">
        <v>2572</v>
      </c>
      <c r="B96" s="193" t="s">
        <v>430</v>
      </c>
      <c r="C96" s="120">
        <f>_xlfn.XLOOKUP($B96, $B$4:$B$45, C$4:C$45)</f>
        <v>44.306914735654445</v>
      </c>
      <c r="D96" s="120">
        <f>_xlfn.XLOOKUP($B96, $B$4:$B$45, D$4:D$45)</f>
        <v>5.3392152668460762</v>
      </c>
      <c r="E96" s="120">
        <f t="shared" ref="E96:J111" si="26">_xlfn.XLOOKUP($B96, $B$4:$B$45, E$4:E$45)</f>
        <v>50.35386999749948</v>
      </c>
      <c r="F96" s="120">
        <f t="shared" si="26"/>
        <v>0</v>
      </c>
      <c r="G96" s="163">
        <f t="shared" si="26"/>
        <v>1.15571</v>
      </c>
      <c r="H96" s="105">
        <f>_xlfn.XLOOKUP($B96, $B$4:$B$45, H$4:H$45)</f>
        <v>0.245</v>
      </c>
      <c r="I96" s="167">
        <f t="shared" ref="I96:I120" si="27">_xlfn.XLOOKUP($B96, $B$4:$B$45, I$4:I$45)</f>
        <v>0.66253026719921182</v>
      </c>
      <c r="J96" s="163">
        <f t="shared" si="26"/>
        <v>1.4128457948023192</v>
      </c>
      <c r="K96" s="136">
        <f t="shared" ref="K96:K120" si="28">_xlfn.XLOOKUP($B96, $B$4:$B$45, K$4:K$45)</f>
        <v>9.0615988334979553E-2</v>
      </c>
      <c r="L96" s="105">
        <f t="shared" ref="L96" si="29">IFERROR(K96*(J96-G96),"n/a")</f>
        <v>2.3300614182312652E-2</v>
      </c>
      <c r="M96" s="87"/>
      <c r="N96" s="87"/>
      <c r="O96" s="87"/>
      <c r="P96" s="87"/>
    </row>
    <row r="97" spans="1:16">
      <c r="A97" s="192" t="s">
        <v>2459</v>
      </c>
      <c r="B97" s="193" t="s">
        <v>610</v>
      </c>
      <c r="C97" s="137">
        <f t="shared" ref="C97:D120" si="30">_xlfn.XLOOKUP($B97, $B$4:$B$45, C$4:C$45)</f>
        <v>62.448371719759479</v>
      </c>
      <c r="D97" s="137">
        <f t="shared" si="30"/>
        <v>0</v>
      </c>
      <c r="E97" s="137">
        <f t="shared" si="26"/>
        <v>35.916692549130055</v>
      </c>
      <c r="F97" s="137">
        <f t="shared" si="26"/>
        <v>1.6349357311104638</v>
      </c>
      <c r="G97" s="120">
        <f t="shared" si="26"/>
        <v>0.85877409999999998</v>
      </c>
      <c r="H97" s="132">
        <f t="shared" si="26"/>
        <v>0.21639344262295082</v>
      </c>
      <c r="I97" s="120">
        <f t="shared" si="27"/>
        <v>0.35810200074326537</v>
      </c>
      <c r="J97" s="120">
        <f t="shared" si="26"/>
        <v>0.77901861473166079</v>
      </c>
      <c r="K97" s="145">
        <f t="shared" si="28"/>
        <v>9.0615988334979553E-2</v>
      </c>
      <c r="L97" s="180">
        <f t="shared" ref="L97:L120" si="31">IFERROR(K97*(J97-G97),"n/a")</f>
        <v>-7.2271221227264582E-3</v>
      </c>
      <c r="M97" s="87"/>
      <c r="N97" s="87"/>
      <c r="O97" s="87"/>
      <c r="P97" s="87"/>
    </row>
    <row r="98" spans="1:16">
      <c r="A98" s="192" t="s">
        <v>2460</v>
      </c>
      <c r="B98" s="193" t="s">
        <v>445</v>
      </c>
      <c r="C98" s="137">
        <f t="shared" si="30"/>
        <v>48.728250475051112</v>
      </c>
      <c r="D98" s="137">
        <f t="shared" si="30"/>
        <v>4.8737641917640868</v>
      </c>
      <c r="E98" s="137">
        <f t="shared" si="26"/>
        <v>46.397985333184806</v>
      </c>
      <c r="F98" s="137">
        <f t="shared" si="26"/>
        <v>0</v>
      </c>
      <c r="G98" s="120">
        <f t="shared" si="26"/>
        <v>0.71881010000000001</v>
      </c>
      <c r="H98" s="132">
        <f t="shared" si="26"/>
        <v>0.11</v>
      </c>
      <c r="I98" s="120">
        <f t="shared" si="27"/>
        <v>0.3544102165601925</v>
      </c>
      <c r="J98" s="120">
        <f t="shared" si="26"/>
        <v>0.82754785566804945</v>
      </c>
      <c r="K98" s="145">
        <f t="shared" si="28"/>
        <v>9.0615988334979553E-2</v>
      </c>
      <c r="L98" s="180">
        <f t="shared" si="31"/>
        <v>9.8533791991878249E-3</v>
      </c>
      <c r="M98" s="87"/>
      <c r="N98" s="87"/>
      <c r="O98" s="87"/>
      <c r="P98" s="87"/>
    </row>
    <row r="99" spans="1:16">
      <c r="A99" s="192" t="s">
        <v>2461</v>
      </c>
      <c r="B99" s="193" t="s">
        <v>652</v>
      </c>
      <c r="C99" s="137">
        <f t="shared" si="30"/>
        <v>46.71986217527315</v>
      </c>
      <c r="D99" s="137">
        <f t="shared" si="30"/>
        <v>1.813483247948497</v>
      </c>
      <c r="E99" s="137">
        <f t="shared" si="26"/>
        <v>51.466654576778346</v>
      </c>
      <c r="F99" s="137">
        <f t="shared" si="26"/>
        <v>0</v>
      </c>
      <c r="G99" s="120">
        <f t="shared" si="26"/>
        <v>0.93412499999999998</v>
      </c>
      <c r="H99" s="132">
        <f t="shared" si="26"/>
        <v>0.23400000000000001</v>
      </c>
      <c r="I99" s="120">
        <f t="shared" si="27"/>
        <v>0.54235734090015209</v>
      </c>
      <c r="J99" s="120">
        <f t="shared" si="26"/>
        <v>1.1655259255944268</v>
      </c>
      <c r="K99" s="145">
        <f t="shared" si="28"/>
        <v>9.0615988334979553E-2</v>
      </c>
      <c r="L99" s="180">
        <f t="shared" si="31"/>
        <v>2.0968623574368052E-2</v>
      </c>
      <c r="M99" s="87"/>
      <c r="N99" s="87"/>
      <c r="O99" s="87"/>
      <c r="P99" s="87"/>
    </row>
    <row r="100" spans="1:16">
      <c r="A100" s="103" t="s">
        <v>2573</v>
      </c>
      <c r="B100" s="88" t="s">
        <v>637</v>
      </c>
      <c r="C100" s="120">
        <f t="shared" si="30"/>
        <v>47.355037157675632</v>
      </c>
      <c r="D100" s="120">
        <f t="shared" si="30"/>
        <v>0.31757233184007161</v>
      </c>
      <c r="E100" s="120">
        <f t="shared" si="26"/>
        <v>52.327390510484292</v>
      </c>
      <c r="F100" s="120">
        <f t="shared" si="26"/>
        <v>0</v>
      </c>
      <c r="G100" s="120">
        <f t="shared" si="26"/>
        <v>0.72239589999999998</v>
      </c>
      <c r="H100" s="132">
        <f t="shared" si="26"/>
        <v>0.14599999999999999</v>
      </c>
      <c r="I100" s="120">
        <f t="shared" si="27"/>
        <v>0.40628948861517949</v>
      </c>
      <c r="J100" s="120">
        <f>_xlfn.XLOOKUP($B100, $B$4:$B$45, J$4:J$45)</f>
        <v>0.92674632353122433</v>
      </c>
      <c r="K100" s="130">
        <f t="shared" si="28"/>
        <v>9.0615988334979553E-2</v>
      </c>
      <c r="L100" s="132">
        <f t="shared" si="31"/>
        <v>1.8517415594953558E-2</v>
      </c>
      <c r="M100" s="87"/>
      <c r="N100" s="87"/>
      <c r="O100" s="87"/>
      <c r="P100" s="87"/>
    </row>
    <row r="101" spans="1:16">
      <c r="A101" s="103" t="s">
        <v>2574</v>
      </c>
      <c r="B101" s="88" t="s">
        <v>2504</v>
      </c>
      <c r="C101" s="120">
        <f t="shared" si="30"/>
        <v>53.684566532636879</v>
      </c>
      <c r="D101" s="120">
        <f t="shared" si="30"/>
        <v>1.048438615610086</v>
      </c>
      <c r="E101" s="120">
        <f t="shared" si="26"/>
        <v>45.266994851753033</v>
      </c>
      <c r="F101" s="120">
        <f t="shared" si="26"/>
        <v>0</v>
      </c>
      <c r="G101" s="120">
        <f t="shared" si="26"/>
        <v>0.69190260000000003</v>
      </c>
      <c r="H101" s="132">
        <f t="shared" si="26"/>
        <v>0.13993710691823899</v>
      </c>
      <c r="I101" s="120">
        <f t="shared" si="27"/>
        <v>0.33918207448428689</v>
      </c>
      <c r="J101" s="120">
        <f t="shared" si="26"/>
        <v>0.7767589488779304</v>
      </c>
      <c r="K101" s="130">
        <f t="shared" si="28"/>
        <v>9.0615988334979553E-2</v>
      </c>
      <c r="L101" s="132">
        <f t="shared" si="31"/>
        <v>7.6893419200714935E-3</v>
      </c>
      <c r="M101" s="87"/>
      <c r="N101" s="87"/>
      <c r="O101" s="87"/>
      <c r="P101" s="87"/>
    </row>
    <row r="102" spans="1:16">
      <c r="A102" s="103" t="s">
        <v>2400</v>
      </c>
      <c r="B102" s="88" t="s">
        <v>2401</v>
      </c>
      <c r="C102" s="120">
        <f t="shared" si="30"/>
        <v>46.885162988888972</v>
      </c>
      <c r="D102" s="120">
        <f t="shared" si="30"/>
        <v>2.1180154043814552</v>
      </c>
      <c r="E102" s="120">
        <f t="shared" si="26"/>
        <v>50.996821606729569</v>
      </c>
      <c r="F102" s="120">
        <f t="shared" si="26"/>
        <v>0</v>
      </c>
      <c r="G102" s="120">
        <f t="shared" si="26"/>
        <v>0.87370040181842501</v>
      </c>
      <c r="H102" s="132">
        <f t="shared" si="26"/>
        <v>6.0000000000000001E-3</v>
      </c>
      <c r="I102" s="120">
        <f t="shared" si="27"/>
        <v>0.44687332809757929</v>
      </c>
      <c r="J102" s="120">
        <f t="shared" si="26"/>
        <v>1.1131614602910698</v>
      </c>
      <c r="K102" s="130">
        <f t="shared" si="28"/>
        <v>9.0615988334979553E-2</v>
      </c>
      <c r="L102" s="132">
        <f t="shared" si="31"/>
        <v>2.1699000481239034E-2</v>
      </c>
      <c r="M102" s="87"/>
      <c r="N102" s="87"/>
      <c r="O102" s="87"/>
      <c r="P102" s="87"/>
    </row>
    <row r="103" spans="1:16">
      <c r="A103" s="103" t="s">
        <v>2402</v>
      </c>
      <c r="B103" s="88" t="s">
        <v>1930</v>
      </c>
      <c r="C103" s="120">
        <f t="shared" si="30"/>
        <v>44.137938601801629</v>
      </c>
      <c r="D103" s="120">
        <f t="shared" si="30"/>
        <v>3.6925678334463385</v>
      </c>
      <c r="E103" s="120">
        <f t="shared" si="26"/>
        <v>51.679468047752806</v>
      </c>
      <c r="F103" s="120">
        <f t="shared" si="26"/>
        <v>0.49002551699922514</v>
      </c>
      <c r="G103" s="120">
        <f t="shared" si="26"/>
        <v>0.83927651394938352</v>
      </c>
      <c r="H103" s="132">
        <f t="shared" si="26"/>
        <v>0.12</v>
      </c>
      <c r="I103" s="120">
        <f t="shared" si="27"/>
        <v>0.46043159752266721</v>
      </c>
      <c r="J103" s="120">
        <f t="shared" si="26"/>
        <v>1.0682013062525879</v>
      </c>
      <c r="K103" s="130">
        <f t="shared" si="28"/>
        <v>9.0615988334979553E-2</v>
      </c>
      <c r="L103" s="132">
        <f t="shared" si="31"/>
        <v>2.0744246308934785E-2</v>
      </c>
      <c r="M103" s="87"/>
      <c r="N103" s="87"/>
      <c r="O103" s="87"/>
      <c r="P103" s="87"/>
    </row>
    <row r="104" spans="1:16">
      <c r="A104" s="103" t="s">
        <v>2403</v>
      </c>
      <c r="B104" s="88" t="s">
        <v>946</v>
      </c>
      <c r="C104" s="120">
        <f t="shared" si="30"/>
        <v>50.695105118023719</v>
      </c>
      <c r="D104" s="120">
        <f t="shared" si="30"/>
        <v>1.6546185080761218</v>
      </c>
      <c r="E104" s="120">
        <f t="shared" si="26"/>
        <v>47.650276373900155</v>
      </c>
      <c r="F104" s="120">
        <f t="shared" si="26"/>
        <v>0</v>
      </c>
      <c r="G104" s="120">
        <f t="shared" si="26"/>
        <v>0.84497239355831155</v>
      </c>
      <c r="H104" s="132">
        <f t="shared" si="26"/>
        <v>0.21</v>
      </c>
      <c r="I104" s="120">
        <f t="shared" si="27"/>
        <v>0.45236181432771438</v>
      </c>
      <c r="J104" s="120">
        <f t="shared" si="26"/>
        <v>0.98841056430605578</v>
      </c>
      <c r="K104" s="130">
        <f t="shared" si="28"/>
        <v>9.0615988334979553E-2</v>
      </c>
      <c r="L104" s="132">
        <f t="shared" si="31"/>
        <v>1.2997791607268397E-2</v>
      </c>
      <c r="M104" s="87"/>
      <c r="N104" s="87"/>
      <c r="O104" s="87"/>
      <c r="P104" s="87"/>
    </row>
    <row r="105" spans="1:16">
      <c r="A105" s="103" t="s">
        <v>2415</v>
      </c>
      <c r="B105" s="88" t="s">
        <v>763</v>
      </c>
      <c r="C105" s="120">
        <f t="shared" si="30"/>
        <v>45.855890300126745</v>
      </c>
      <c r="D105" s="120">
        <f t="shared" si="30"/>
        <v>2.708600944757023</v>
      </c>
      <c r="E105" s="120">
        <f t="shared" si="26"/>
        <v>51.435508755116231</v>
      </c>
      <c r="F105" s="120">
        <f t="shared" si="26"/>
        <v>0</v>
      </c>
      <c r="G105" s="120">
        <f t="shared" si="26"/>
        <v>0.82378961834926434</v>
      </c>
      <c r="H105" s="132">
        <f t="shared" si="26"/>
        <v>9.1999999999999998E-2</v>
      </c>
      <c r="I105" s="120">
        <f t="shared" si="27"/>
        <v>0.4435373330010588</v>
      </c>
      <c r="J105" s="120">
        <f t="shared" si="26"/>
        <v>1.0476351805485009</v>
      </c>
      <c r="K105" s="130">
        <f t="shared" si="28"/>
        <v>9.0615988334979553E-2</v>
      </c>
      <c r="L105" s="132">
        <f t="shared" si="31"/>
        <v>2.0283986853082962E-2</v>
      </c>
      <c r="M105" s="87"/>
      <c r="N105" s="87"/>
      <c r="O105" s="87"/>
      <c r="P105" s="87"/>
    </row>
    <row r="106" spans="1:16">
      <c r="A106" s="103" t="s">
        <v>2420</v>
      </c>
      <c r="B106" s="88" t="s">
        <v>1115</v>
      </c>
      <c r="C106" s="120">
        <f t="shared" si="30"/>
        <v>47.990985455774066</v>
      </c>
      <c r="D106" s="120">
        <f t="shared" si="30"/>
        <v>3.1016018350390078E-3</v>
      </c>
      <c r="E106" s="120">
        <f t="shared" si="26"/>
        <v>51.911648572894606</v>
      </c>
      <c r="F106" s="120">
        <f t="shared" si="26"/>
        <v>9.4264369496283557E-2</v>
      </c>
      <c r="G106" s="120">
        <f t="shared" si="26"/>
        <v>0.97465009387607859</v>
      </c>
      <c r="H106" s="132">
        <f t="shared" si="26"/>
        <v>0.161</v>
      </c>
      <c r="I106" s="120">
        <f t="shared" si="27"/>
        <v>0.54841657436860292</v>
      </c>
      <c r="J106" s="120">
        <f t="shared" si="26"/>
        <v>1.2385988332114894</v>
      </c>
      <c r="K106" s="130">
        <f t="shared" si="28"/>
        <v>9.0615988334979553E-2</v>
      </c>
      <c r="L106" s="132">
        <f t="shared" si="31"/>
        <v>2.3917975884650149E-2</v>
      </c>
      <c r="M106" s="87"/>
      <c r="N106" s="87"/>
      <c r="O106" s="87"/>
      <c r="P106" s="87"/>
    </row>
    <row r="107" spans="1:16">
      <c r="A107" s="103" t="s">
        <v>1328</v>
      </c>
      <c r="B107" s="88" t="s">
        <v>764</v>
      </c>
      <c r="C107" s="120">
        <f t="shared" si="30"/>
        <v>41.03249822202735</v>
      </c>
      <c r="D107" s="120">
        <f t="shared" si="30"/>
        <v>3.9376742073792692</v>
      </c>
      <c r="E107" s="120">
        <f t="shared" si="26"/>
        <v>54.436051094018232</v>
      </c>
      <c r="F107" s="120">
        <f t="shared" si="26"/>
        <v>0.59377647657514498</v>
      </c>
      <c r="G107" s="120">
        <f t="shared" si="26"/>
        <v>0.90169525929291461</v>
      </c>
      <c r="H107" s="132">
        <f t="shared" si="26"/>
        <v>0.19800000000000001</v>
      </c>
      <c r="I107" s="120">
        <f t="shared" si="27"/>
        <v>0.53952105767404257</v>
      </c>
      <c r="J107" s="120">
        <f t="shared" si="26"/>
        <v>1.1885648900559156</v>
      </c>
      <c r="K107" s="130">
        <f t="shared" si="28"/>
        <v>9.0615988334979553E-2</v>
      </c>
      <c r="L107" s="132">
        <f t="shared" si="31"/>
        <v>2.5994975114879987E-2</v>
      </c>
      <c r="M107" s="87"/>
      <c r="N107" s="87"/>
      <c r="O107" s="87"/>
      <c r="P107" s="87"/>
    </row>
    <row r="108" spans="1:16">
      <c r="A108" s="103" t="s">
        <v>2421</v>
      </c>
      <c r="B108" s="88" t="s">
        <v>1366</v>
      </c>
      <c r="C108" s="120">
        <f t="shared" si="30"/>
        <v>45.657238909721279</v>
      </c>
      <c r="D108" s="120">
        <f t="shared" si="30"/>
        <v>2.292903089536579</v>
      </c>
      <c r="E108" s="120">
        <f t="shared" si="26"/>
        <v>52.049858000742141</v>
      </c>
      <c r="F108" s="120">
        <f t="shared" si="26"/>
        <v>0</v>
      </c>
      <c r="G108" s="120">
        <f t="shared" si="26"/>
        <v>0.98249693606702992</v>
      </c>
      <c r="H108" s="132">
        <f t="shared" si="26"/>
        <v>0.13800000000000001</v>
      </c>
      <c r="I108" s="120">
        <f t="shared" si="27"/>
        <v>0.54762527978529307</v>
      </c>
      <c r="J108" s="120">
        <f t="shared" si="26"/>
        <v>1.2557047665476768</v>
      </c>
      <c r="K108" s="130">
        <f t="shared" si="28"/>
        <v>9.0615988334979553E-2</v>
      </c>
      <c r="L108" s="132">
        <f t="shared" si="31"/>
        <v>2.4756997579859372E-2</v>
      </c>
      <c r="M108" s="87"/>
      <c r="N108" s="87"/>
      <c r="O108" s="87"/>
      <c r="P108" s="87"/>
    </row>
    <row r="109" spans="1:16">
      <c r="A109" s="103" t="s">
        <v>2526</v>
      </c>
      <c r="B109" s="88" t="s">
        <v>2527</v>
      </c>
      <c r="C109" s="120">
        <f t="shared" si="30"/>
        <v>37.11398538865344</v>
      </c>
      <c r="D109" s="120">
        <f t="shared" si="30"/>
        <v>6.9546894248985778</v>
      </c>
      <c r="E109" s="120">
        <f t="shared" si="26"/>
        <v>55.931325186447992</v>
      </c>
      <c r="F109" s="120">
        <f t="shared" si="26"/>
        <v>0</v>
      </c>
      <c r="G109" s="120">
        <f t="shared" si="26"/>
        <v>0.8927250421094256</v>
      </c>
      <c r="H109" s="132">
        <f t="shared" si="26"/>
        <v>0.09</v>
      </c>
      <c r="I109" s="120">
        <f t="shared" si="27"/>
        <v>0.51993448780371287</v>
      </c>
      <c r="J109" s="120">
        <f>_xlfn.XLOOKUP($B109, $B$4:$B$45, J$4:J$45)</f>
        <v>1.2296450636557807</v>
      </c>
      <c r="K109" s="130">
        <f t="shared" si="28"/>
        <v>9.0615988334979553E-2</v>
      </c>
      <c r="L109" s="132">
        <f t="shared" si="31"/>
        <v>3.0530340742265578E-2</v>
      </c>
      <c r="M109" s="87"/>
      <c r="N109" s="87"/>
      <c r="O109" s="87"/>
      <c r="P109" s="87"/>
    </row>
    <row r="110" spans="1:16">
      <c r="A110" s="103" t="s">
        <v>2432</v>
      </c>
      <c r="B110" s="88" t="s">
        <v>1138</v>
      </c>
      <c r="C110" s="120">
        <f t="shared" si="30"/>
        <v>39.63717632338421</v>
      </c>
      <c r="D110" s="120">
        <f t="shared" si="30"/>
        <v>4.092051939106395</v>
      </c>
      <c r="E110" s="120">
        <f t="shared" si="26"/>
        <v>56.270771737509392</v>
      </c>
      <c r="F110" s="120">
        <f t="shared" si="26"/>
        <v>0</v>
      </c>
      <c r="G110" s="120">
        <f t="shared" si="26"/>
        <v>0.91219232010489681</v>
      </c>
      <c r="H110" s="132">
        <f t="shared" si="26"/>
        <v>0.125</v>
      </c>
      <c r="I110" s="120">
        <f t="shared" si="27"/>
        <v>0.54297765026569156</v>
      </c>
      <c r="J110" s="120">
        <f t="shared" si="26"/>
        <v>1.2556358162394117</v>
      </c>
      <c r="K110" s="130">
        <f t="shared" si="28"/>
        <v>9.0615988334979553E-2</v>
      </c>
      <c r="L110" s="132">
        <f t="shared" si="31"/>
        <v>3.1121471839449792E-2</v>
      </c>
      <c r="M110" s="87"/>
      <c r="N110" s="87"/>
      <c r="O110" s="87"/>
      <c r="P110" s="87"/>
    </row>
    <row r="111" spans="1:16">
      <c r="A111" s="103" t="s">
        <v>2435</v>
      </c>
      <c r="B111" s="88" t="s">
        <v>766</v>
      </c>
      <c r="C111" s="120">
        <f t="shared" si="30"/>
        <v>46.068948359780592</v>
      </c>
      <c r="D111" s="120">
        <f t="shared" si="30"/>
        <v>0.85899541095311693</v>
      </c>
      <c r="E111" s="120">
        <f t="shared" si="26"/>
        <v>53.072056229266295</v>
      </c>
      <c r="F111" s="120">
        <f t="shared" si="26"/>
        <v>0</v>
      </c>
      <c r="G111" s="120">
        <f t="shared" si="26"/>
        <v>1.0177614823084606</v>
      </c>
      <c r="H111" s="132">
        <f t="shared" si="26"/>
        <v>0.12</v>
      </c>
      <c r="I111" s="120">
        <f t="shared" si="27"/>
        <v>0.57237966717457611</v>
      </c>
      <c r="J111" s="120">
        <f t="shared" si="26"/>
        <v>1.3279208278450165</v>
      </c>
      <c r="K111" s="130">
        <f t="shared" si="28"/>
        <v>9.0615988334979553E-2</v>
      </c>
      <c r="L111" s="132">
        <f t="shared" si="31"/>
        <v>2.8105395637125441E-2</v>
      </c>
      <c r="M111" s="87"/>
      <c r="N111" s="87"/>
      <c r="O111" s="87"/>
      <c r="P111" s="87"/>
    </row>
    <row r="112" spans="1:16">
      <c r="A112" s="103" t="s">
        <v>2442</v>
      </c>
      <c r="B112" s="88" t="s">
        <v>767</v>
      </c>
      <c r="C112" s="120">
        <f t="shared" si="30"/>
        <v>48.669564665105824</v>
      </c>
      <c r="D112" s="120">
        <f t="shared" si="30"/>
        <v>3.517963765468378</v>
      </c>
      <c r="E112" s="120">
        <f t="shared" ref="E112:H120" si="32">_xlfn.XLOOKUP($B112, $B$4:$B$45, E$4:E$45)</f>
        <v>47.812471569425796</v>
      </c>
      <c r="F112" s="120">
        <f t="shared" si="32"/>
        <v>0</v>
      </c>
      <c r="G112" s="120">
        <f t="shared" si="32"/>
        <v>0.93579719106169845</v>
      </c>
      <c r="H112" s="132">
        <f t="shared" si="32"/>
        <v>0.129</v>
      </c>
      <c r="I112" s="120">
        <f t="shared" si="27"/>
        <v>0.47972368121953884</v>
      </c>
      <c r="J112" s="120">
        <f t="shared" ref="J112:J120" si="33">_xlfn.XLOOKUP($B112, $B$4:$B$45, J$4:J$45)</f>
        <v>1.1064826707328663</v>
      </c>
      <c r="K112" s="130">
        <f t="shared" si="28"/>
        <v>9.0615988334979553E-2</v>
      </c>
      <c r="L112" s="132">
        <f t="shared" si="31"/>
        <v>1.5466833434832938E-2</v>
      </c>
      <c r="M112" s="87"/>
      <c r="N112" s="87"/>
      <c r="O112" s="87"/>
      <c r="P112" s="87"/>
    </row>
    <row r="113" spans="1:16">
      <c r="A113" s="103" t="s">
        <v>2447</v>
      </c>
      <c r="B113" s="88" t="s">
        <v>31</v>
      </c>
      <c r="C113" s="120">
        <f t="shared" si="30"/>
        <v>41.892933776472269</v>
      </c>
      <c r="D113" s="120">
        <f t="shared" si="30"/>
        <v>3.7193170735697159</v>
      </c>
      <c r="E113" s="120">
        <f t="shared" si="32"/>
        <v>54.387749149958019</v>
      </c>
      <c r="F113" s="120">
        <f t="shared" si="32"/>
        <v>0</v>
      </c>
      <c r="G113" s="120">
        <f t="shared" si="32"/>
        <v>1.0663522553431179</v>
      </c>
      <c r="H113" s="132">
        <f t="shared" si="32"/>
        <v>0.19900000000000001</v>
      </c>
      <c r="I113" s="120">
        <f t="shared" si="27"/>
        <v>0.63786275841933004</v>
      </c>
      <c r="J113" s="120">
        <f t="shared" si="33"/>
        <v>1.404254862660155</v>
      </c>
      <c r="K113" s="130">
        <f t="shared" si="28"/>
        <v>9.0615988334979553E-2</v>
      </c>
      <c r="L113" s="132">
        <f t="shared" si="31"/>
        <v>3.0619378722999805E-2</v>
      </c>
      <c r="M113" s="87"/>
      <c r="N113" s="87"/>
      <c r="O113" s="87"/>
      <c r="P113" s="87"/>
    </row>
    <row r="114" spans="1:16">
      <c r="A114" s="103" t="s">
        <v>2445</v>
      </c>
      <c r="B114" s="88" t="s">
        <v>2446</v>
      </c>
      <c r="C114" s="120">
        <f t="shared" si="30"/>
        <v>53.560996989944556</v>
      </c>
      <c r="D114" s="120">
        <f t="shared" si="30"/>
        <v>1.9531805171947958</v>
      </c>
      <c r="E114" s="120">
        <f t="shared" si="32"/>
        <v>44.485822492860642</v>
      </c>
      <c r="F114" s="120">
        <f t="shared" si="32"/>
        <v>0</v>
      </c>
      <c r="G114" s="120">
        <f t="shared" si="32"/>
        <v>0.87885600974494305</v>
      </c>
      <c r="H114" s="132">
        <f t="shared" si="32"/>
        <v>0.16800000000000001</v>
      </c>
      <c r="I114" s="120">
        <f t="shared" si="27"/>
        <v>0.4311797988385348</v>
      </c>
      <c r="J114" s="120">
        <f t="shared" si="33"/>
        <v>0.96929218778902615</v>
      </c>
      <c r="K114" s="130">
        <f t="shared" si="28"/>
        <v>9.0615988334979553E-2</v>
      </c>
      <c r="L114" s="132">
        <f t="shared" si="31"/>
        <v>8.194963654702769E-3</v>
      </c>
      <c r="M114" s="87"/>
      <c r="N114" s="87"/>
      <c r="O114" s="87"/>
      <c r="P114" s="87"/>
    </row>
    <row r="115" spans="1:16">
      <c r="A115" s="103" t="s">
        <v>2450</v>
      </c>
      <c r="B115" s="88" t="s">
        <v>768</v>
      </c>
      <c r="C115" s="120">
        <f t="shared" si="30"/>
        <v>44.253102338740064</v>
      </c>
      <c r="D115" s="120">
        <f t="shared" si="30"/>
        <v>2.0601591204408196</v>
      </c>
      <c r="E115" s="120">
        <f t="shared" si="32"/>
        <v>53.686738540819114</v>
      </c>
      <c r="F115" s="120">
        <f t="shared" si="32"/>
        <v>0</v>
      </c>
      <c r="G115" s="120">
        <f t="shared" si="32"/>
        <v>0.89737403966762719</v>
      </c>
      <c r="H115" s="132">
        <f t="shared" si="32"/>
        <v>0.114</v>
      </c>
      <c r="I115" s="120">
        <f t="shared" si="27"/>
        <v>0.50862477680027351</v>
      </c>
      <c r="J115" s="120">
        <f t="shared" si="33"/>
        <v>1.1845871051678369</v>
      </c>
      <c r="K115" s="130">
        <f t="shared" si="28"/>
        <v>9.0615988334979553E-2</v>
      </c>
      <c r="L115" s="132">
        <f t="shared" si="31"/>
        <v>2.6026095793020725E-2</v>
      </c>
      <c r="M115" s="87"/>
      <c r="N115" s="87"/>
      <c r="O115" s="87"/>
      <c r="P115" s="87"/>
    </row>
    <row r="116" spans="1:16">
      <c r="A116" s="103" t="s">
        <v>2458</v>
      </c>
      <c r="B116" s="88" t="s">
        <v>2053</v>
      </c>
      <c r="C116" s="120">
        <f t="shared" si="30"/>
        <v>44.796038316387978</v>
      </c>
      <c r="D116" s="120">
        <f t="shared" si="30"/>
        <v>1.6055483333994263</v>
      </c>
      <c r="E116" s="120">
        <f t="shared" si="32"/>
        <v>53.598413350212603</v>
      </c>
      <c r="F116" s="120">
        <f t="shared" si="32"/>
        <v>0</v>
      </c>
      <c r="G116" s="120">
        <f t="shared" si="32"/>
        <v>0.82948435931460662</v>
      </c>
      <c r="H116" s="132" t="str">
        <f t="shared" si="32"/>
        <v>NMF</v>
      </c>
      <c r="I116" s="120" t="str">
        <f t="shared" si="27"/>
        <v>n/a</v>
      </c>
      <c r="J116" s="120" t="str">
        <f t="shared" si="33"/>
        <v>n/a</v>
      </c>
      <c r="K116" s="130">
        <f t="shared" si="28"/>
        <v>9.0615988334979553E-2</v>
      </c>
      <c r="L116" s="132" t="str">
        <f t="shared" si="31"/>
        <v>n/a</v>
      </c>
      <c r="M116" s="87"/>
      <c r="N116" s="87"/>
      <c r="O116" s="87"/>
      <c r="P116" s="87"/>
    </row>
    <row r="117" spans="1:16">
      <c r="A117" s="103" t="s">
        <v>2579</v>
      </c>
      <c r="B117" s="88" t="s">
        <v>2380</v>
      </c>
      <c r="C117" s="120">
        <f t="shared" si="30"/>
        <v>39.79750803770947</v>
      </c>
      <c r="D117" s="120">
        <f t="shared" si="30"/>
        <v>0</v>
      </c>
      <c r="E117" s="120">
        <f t="shared" si="32"/>
        <v>60.202491962290537</v>
      </c>
      <c r="F117" s="120">
        <f t="shared" si="32"/>
        <v>0</v>
      </c>
      <c r="G117" s="120">
        <f t="shared" si="32"/>
        <v>0.82918805364407167</v>
      </c>
      <c r="H117" s="132">
        <f t="shared" si="32"/>
        <v>0.114</v>
      </c>
      <c r="I117" s="120">
        <f t="shared" si="27"/>
        <v>0.52291613678608884</v>
      </c>
      <c r="J117" s="120">
        <f t="shared" si="33"/>
        <v>1.2788326953632845</v>
      </c>
      <c r="K117" s="130">
        <f t="shared" si="28"/>
        <v>9.0615988334979553E-2</v>
      </c>
      <c r="L117" s="194">
        <f t="shared" si="31"/>
        <v>4.0744993608914246E-2</v>
      </c>
      <c r="M117" s="87"/>
      <c r="N117" s="87"/>
      <c r="O117" s="87"/>
      <c r="P117" s="87"/>
    </row>
    <row r="118" spans="1:16">
      <c r="A118" s="103" t="s">
        <v>2387</v>
      </c>
      <c r="B118" s="88" t="s">
        <v>2388</v>
      </c>
      <c r="C118" s="120">
        <f t="shared" si="30"/>
        <v>52.398287974465219</v>
      </c>
      <c r="D118" s="120">
        <f t="shared" si="30"/>
        <v>0.63958919925185598</v>
      </c>
      <c r="E118" s="120">
        <f t="shared" si="32"/>
        <v>46.962122826282929</v>
      </c>
      <c r="F118" s="120">
        <f t="shared" si="32"/>
        <v>0</v>
      </c>
      <c r="G118" s="120">
        <f t="shared" si="32"/>
        <v>0.74464980030632322</v>
      </c>
      <c r="H118" s="132">
        <f t="shared" si="32"/>
        <v>0.25700000000000001</v>
      </c>
      <c r="I118" s="120">
        <f t="shared" si="27"/>
        <v>0.40489328183167222</v>
      </c>
      <c r="J118" s="120">
        <f t="shared" si="33"/>
        <v>0.89573049027529872</v>
      </c>
      <c r="K118" s="130">
        <f t="shared" si="28"/>
        <v>9.0615988334979553E-2</v>
      </c>
      <c r="L118" s="194">
        <f t="shared" si="31"/>
        <v>1.3690326039869347E-2</v>
      </c>
      <c r="M118" s="87"/>
      <c r="N118" s="87"/>
      <c r="O118" s="87"/>
      <c r="P118" s="87"/>
    </row>
    <row r="119" spans="1:16">
      <c r="A119" s="103" t="s">
        <v>2538</v>
      </c>
      <c r="B119" s="88" t="s">
        <v>2539</v>
      </c>
      <c r="C119" s="120">
        <f t="shared" si="30"/>
        <v>39.54935552780416</v>
      </c>
      <c r="D119" s="120">
        <f t="shared" si="30"/>
        <v>4.0505407783519159E-4</v>
      </c>
      <c r="E119" s="120">
        <f t="shared" si="32"/>
        <v>60.450239418118002</v>
      </c>
      <c r="F119" s="120">
        <f t="shared" si="32"/>
        <v>0</v>
      </c>
      <c r="G119" s="120">
        <f t="shared" si="32"/>
        <v>0.83247976724837924</v>
      </c>
      <c r="H119" s="132">
        <f t="shared" si="32"/>
        <v>0.14899999999999999</v>
      </c>
      <c r="I119" s="120">
        <f t="shared" si="27"/>
        <v>0.53474826981260637</v>
      </c>
      <c r="J119" s="120">
        <f t="shared" si="33"/>
        <v>1.2772321701245204</v>
      </c>
      <c r="K119" s="130">
        <f t="shared" si="28"/>
        <v>9.0615988334979553E-2</v>
      </c>
      <c r="L119" s="194">
        <f t="shared" si="31"/>
        <v>4.0301678550978534E-2</v>
      </c>
      <c r="M119" s="87"/>
      <c r="N119" s="87"/>
      <c r="O119" s="87"/>
      <c r="P119" s="87"/>
    </row>
    <row r="120" spans="1:16">
      <c r="A120" s="103" t="s">
        <v>2540</v>
      </c>
      <c r="B120" s="88" t="s">
        <v>2541</v>
      </c>
      <c r="C120" s="120">
        <f t="shared" si="30"/>
        <v>42.863774092268784</v>
      </c>
      <c r="D120" s="120">
        <f t="shared" si="30"/>
        <v>10.86671947546769</v>
      </c>
      <c r="E120" s="120">
        <f t="shared" si="32"/>
        <v>46.269506432263526</v>
      </c>
      <c r="F120" s="120">
        <f t="shared" si="32"/>
        <v>0</v>
      </c>
      <c r="G120" s="120">
        <f t="shared" si="32"/>
        <v>0.86346076191264043</v>
      </c>
      <c r="H120" s="132">
        <f t="shared" si="32"/>
        <v>0.151</v>
      </c>
      <c r="I120" s="120">
        <f t="shared" si="27"/>
        <v>0.43479529949811913</v>
      </c>
      <c r="J120" s="120">
        <f t="shared" si="33"/>
        <v>1.03707832515554</v>
      </c>
      <c r="K120" s="130">
        <f t="shared" si="28"/>
        <v>9.0615988334979553E-2</v>
      </c>
      <c r="L120" s="194">
        <f t="shared" si="31"/>
        <v>1.5732527085566161E-2</v>
      </c>
      <c r="M120" s="87"/>
      <c r="N120" s="87"/>
      <c r="O120" s="87"/>
      <c r="P120" s="87"/>
    </row>
    <row r="121" spans="1:16" ht="14" thickBot="1">
      <c r="A121" s="151" t="s">
        <v>2575</v>
      </c>
      <c r="B121" s="108"/>
      <c r="C121" s="166"/>
      <c r="D121" s="166"/>
      <c r="E121" s="166">
        <f>AVERAGE(E96:E120)</f>
        <v>51.000757166617539</v>
      </c>
      <c r="F121" s="166"/>
      <c r="G121" s="166">
        <f>AVERAGE(G96:G120)</f>
        <v>0.88090479998710391</v>
      </c>
      <c r="H121" s="108"/>
      <c r="I121" s="166"/>
      <c r="J121" s="166"/>
      <c r="K121" s="195"/>
      <c r="L121" s="196">
        <f>AVERAGE(L96:L120)</f>
        <v>2.1001301303658636E-2</v>
      </c>
      <c r="M121" s="87"/>
      <c r="N121" s="87"/>
      <c r="O121" s="87"/>
      <c r="P121" s="87"/>
    </row>
    <row r="123" spans="1:16" s="94" customFormat="1">
      <c r="A123" s="92" t="s">
        <v>2505</v>
      </c>
      <c r="B123" s="174"/>
      <c r="E123" s="175"/>
      <c r="F123" s="104"/>
      <c r="G123" s="168"/>
      <c r="H123" s="96"/>
      <c r="I123" s="168"/>
      <c r="J123" s="168"/>
      <c r="K123" s="96"/>
      <c r="L123" s="181"/>
      <c r="M123" s="96"/>
    </row>
    <row r="124" spans="1:16" s="94" customFormat="1">
      <c r="A124" s="83" t="s">
        <v>2585</v>
      </c>
      <c r="B124" s="174"/>
      <c r="E124" s="175"/>
      <c r="F124" s="104"/>
      <c r="G124" s="168"/>
      <c r="H124" s="96"/>
      <c r="I124" s="168"/>
      <c r="J124" s="168"/>
      <c r="K124" s="96"/>
      <c r="L124" s="181"/>
      <c r="M124" s="96"/>
    </row>
    <row r="125" spans="1:16" s="94" customFormat="1">
      <c r="A125" s="83" t="s">
        <v>2586</v>
      </c>
      <c r="B125" s="174"/>
      <c r="E125" s="175"/>
      <c r="F125" s="104"/>
      <c r="G125" s="168"/>
      <c r="H125" s="96"/>
      <c r="I125" s="168"/>
      <c r="J125" s="168"/>
      <c r="K125" s="96"/>
      <c r="L125" s="181"/>
      <c r="M125" s="96"/>
    </row>
    <row r="126" spans="1:16" s="94" customFormat="1">
      <c r="A126" s="83" t="s">
        <v>2587</v>
      </c>
      <c r="B126" s="174"/>
      <c r="E126" s="175"/>
      <c r="F126" s="168"/>
      <c r="G126" s="168"/>
      <c r="H126" s="96"/>
      <c r="I126" s="168"/>
      <c r="J126" s="168"/>
      <c r="K126" s="96"/>
      <c r="L126" s="181"/>
      <c r="M126" s="96"/>
    </row>
    <row r="127" spans="1:16" s="94" customFormat="1">
      <c r="A127" s="83" t="s">
        <v>2588</v>
      </c>
      <c r="B127" s="95"/>
      <c r="E127" s="175"/>
      <c r="F127" s="168"/>
      <c r="G127" s="168"/>
      <c r="H127" s="96"/>
      <c r="I127" s="168"/>
      <c r="J127" s="168"/>
      <c r="K127" s="96"/>
      <c r="L127" s="181"/>
      <c r="M127" s="96"/>
    </row>
    <row r="128" spans="1:16" s="94" customFormat="1">
      <c r="A128" s="83" t="s">
        <v>2589</v>
      </c>
      <c r="B128" s="174"/>
      <c r="E128" s="175"/>
      <c r="F128" s="168"/>
      <c r="G128" s="168"/>
      <c r="H128" s="96"/>
      <c r="I128" s="168"/>
      <c r="J128" s="168"/>
      <c r="K128" s="96"/>
      <c r="L128" s="181"/>
    </row>
    <row r="129" spans="1:12" s="94" customFormat="1">
      <c r="A129" s="83" t="s">
        <v>2590</v>
      </c>
      <c r="B129" s="174"/>
      <c r="E129" s="175"/>
      <c r="F129" s="168"/>
      <c r="G129" s="168"/>
      <c r="H129" s="96"/>
      <c r="I129" s="168"/>
      <c r="J129" s="168"/>
      <c r="K129" s="96"/>
      <c r="L129" s="181"/>
    </row>
    <row r="130" spans="1:12" s="94" customFormat="1">
      <c r="A130" s="83" t="s">
        <v>2591</v>
      </c>
      <c r="B130" s="174"/>
      <c r="E130" s="175"/>
      <c r="F130" s="168"/>
      <c r="G130" s="168"/>
      <c r="H130" s="96"/>
      <c r="I130" s="168"/>
      <c r="J130" s="168"/>
      <c r="K130" s="96"/>
      <c r="L130" s="181"/>
    </row>
    <row r="131" spans="1:12" s="94" customFormat="1">
      <c r="A131" s="83" t="s">
        <v>2592</v>
      </c>
      <c r="B131" s="174"/>
      <c r="E131" s="175"/>
      <c r="F131" s="168"/>
      <c r="G131" s="168"/>
      <c r="H131" s="96"/>
      <c r="I131" s="168"/>
      <c r="J131" s="168"/>
      <c r="K131" s="96"/>
      <c r="L131" s="181"/>
    </row>
    <row r="132" spans="1:12" s="94" customFormat="1">
      <c r="A132" s="83" t="s">
        <v>2593</v>
      </c>
      <c r="B132" s="174"/>
      <c r="E132" s="175"/>
      <c r="F132" s="168"/>
      <c r="G132" s="168"/>
      <c r="H132" s="96"/>
      <c r="I132" s="168"/>
      <c r="J132" s="168"/>
      <c r="K132" s="96"/>
      <c r="L132" s="181"/>
    </row>
  </sheetData>
  <mergeCells count="61">
    <mergeCell ref="J93:J94"/>
    <mergeCell ref="K93:K95"/>
    <mergeCell ref="L93:L94"/>
    <mergeCell ref="C94:F94"/>
    <mergeCell ref="J76:J77"/>
    <mergeCell ref="K76:K78"/>
    <mergeCell ref="L76:L77"/>
    <mergeCell ref="C77:F77"/>
    <mergeCell ref="I93:I95"/>
    <mergeCell ref="I76:I78"/>
    <mergeCell ref="A93:A95"/>
    <mergeCell ref="B93:B95"/>
    <mergeCell ref="C93:F93"/>
    <mergeCell ref="G93:G95"/>
    <mergeCell ref="H93:H95"/>
    <mergeCell ref="A76:A78"/>
    <mergeCell ref="B76:B78"/>
    <mergeCell ref="C76:F76"/>
    <mergeCell ref="G76:G78"/>
    <mergeCell ref="H76:H78"/>
    <mergeCell ref="J50:J51"/>
    <mergeCell ref="K50:K52"/>
    <mergeCell ref="L50:L51"/>
    <mergeCell ref="C51:F51"/>
    <mergeCell ref="A50:A52"/>
    <mergeCell ref="B50:B52"/>
    <mergeCell ref="C50:F50"/>
    <mergeCell ref="G50:G52"/>
    <mergeCell ref="H50:H52"/>
    <mergeCell ref="I50:I52"/>
    <mergeCell ref="A17:A19"/>
    <mergeCell ref="B17:B19"/>
    <mergeCell ref="A39:A41"/>
    <mergeCell ref="B39:B41"/>
    <mergeCell ref="C39:F39"/>
    <mergeCell ref="G39:G41"/>
    <mergeCell ref="L4:L5"/>
    <mergeCell ref="C17:F17"/>
    <mergeCell ref="G17:G19"/>
    <mergeCell ref="H17:H19"/>
    <mergeCell ref="I17:I19"/>
    <mergeCell ref="J17:J18"/>
    <mergeCell ref="K17:K19"/>
    <mergeCell ref="L17:L18"/>
    <mergeCell ref="C18:F18"/>
    <mergeCell ref="C40:F40"/>
    <mergeCell ref="H39:H41"/>
    <mergeCell ref="I39:I41"/>
    <mergeCell ref="J39:J40"/>
    <mergeCell ref="K39:K41"/>
    <mergeCell ref="L39:L40"/>
    <mergeCell ref="A1:K1"/>
    <mergeCell ref="C4:F4"/>
    <mergeCell ref="C5:F5"/>
    <mergeCell ref="J4:J5"/>
    <mergeCell ref="I4:I6"/>
    <mergeCell ref="H4:H6"/>
    <mergeCell ref="G4:G6"/>
    <mergeCell ref="K4:K6"/>
    <mergeCell ref="A4:A6"/>
    <mergeCell ref="B4:B6"/>
  </mergeCells>
  <hyperlinks>
    <hyperlink ref="J124" r:id="rId1" display="https://corporatefinanceinstitute.com/resources/knowledge/valuation/unlevered-beta-asset-beta/" xr:uid="{E2B8AC77-1ED9-48BF-B87E-F1B194425C88}"/>
  </hyperlinks>
  <printOptions horizontalCentered="1"/>
  <pageMargins left="0.27" right="0.27" top="0.86755952380952395" bottom="0.75" header="0.3" footer="0.3"/>
  <pageSetup scale="55" fitToWidth="0" fitToHeight="0" orientation="landscape" useFirstPageNumber="1" r:id="rId2"/>
  <headerFooter>
    <oddHeader>&amp;R&amp;"Century Gothic,Regular"&amp;11Ontario Energy Assn.
Exhibit CEA-7.1
Page &amp;P of 3</oddHeader>
  </headerFooter>
  <rowBreaks count="1" manualBreakCount="1">
    <brk id="37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0D41-F878-49E4-823C-BAFDDDF92A5F}">
  <dimension ref="A1:P132"/>
  <sheetViews>
    <sheetView tabSelected="1" zoomScale="90" zoomScaleNormal="90" zoomScaleSheetLayoutView="85" workbookViewId="0">
      <selection activeCell="P32" sqref="P32"/>
    </sheetView>
  </sheetViews>
  <sheetFormatPr defaultColWidth="9" defaultRowHeight="13.5"/>
  <cols>
    <col min="1" max="1" width="40.5" style="156" customWidth="1"/>
    <col min="2" max="4" width="14.5" style="122" customWidth="1"/>
    <col min="5" max="5" width="16.25" style="147" customWidth="1"/>
    <col min="6" max="7" width="14.5" style="147" customWidth="1"/>
    <col min="8" max="8" width="14.5" style="122" customWidth="1"/>
    <col min="9" max="10" width="14.5" style="147" customWidth="1"/>
    <col min="11" max="11" width="14.5" style="122" customWidth="1"/>
    <col min="12" max="12" width="22.75" style="179" customWidth="1"/>
    <col min="13" max="16" width="9" style="122"/>
    <col min="17" max="16384" width="9" style="102"/>
  </cols>
  <sheetData>
    <row r="1" spans="1:16" ht="17.5">
      <c r="A1" s="199" t="s">
        <v>2558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32"/>
      <c r="M1" s="88"/>
      <c r="N1" s="88"/>
      <c r="O1" s="88"/>
      <c r="P1" s="88"/>
    </row>
    <row r="2" spans="1:16" ht="14">
      <c r="A2" s="150"/>
      <c r="B2" s="121"/>
      <c r="C2" s="121"/>
      <c r="D2" s="121"/>
      <c r="E2" s="162"/>
      <c r="F2" s="162"/>
      <c r="G2" s="162"/>
      <c r="H2" s="121"/>
      <c r="I2" s="162"/>
      <c r="J2" s="162"/>
      <c r="K2" s="121"/>
      <c r="L2" s="176"/>
      <c r="M2" s="88"/>
      <c r="N2" s="88"/>
      <c r="O2" s="88"/>
      <c r="P2" s="88"/>
    </row>
    <row r="3" spans="1:16" ht="14" thickBot="1">
      <c r="A3" s="103"/>
      <c r="B3" s="88"/>
      <c r="C3" s="88" t="s">
        <v>2466</v>
      </c>
      <c r="D3" s="88"/>
      <c r="E3" s="120" t="s">
        <v>2467</v>
      </c>
      <c r="F3" s="120" t="s">
        <v>2468</v>
      </c>
      <c r="G3" s="120" t="s">
        <v>2469</v>
      </c>
      <c r="H3" s="88" t="s">
        <v>2470</v>
      </c>
      <c r="I3" s="120" t="s">
        <v>2471</v>
      </c>
      <c r="J3" s="120" t="s">
        <v>2472</v>
      </c>
      <c r="K3" s="88" t="s">
        <v>2473</v>
      </c>
      <c r="L3" s="132" t="s">
        <v>2474</v>
      </c>
      <c r="M3" s="88"/>
      <c r="N3" s="88"/>
      <c r="O3" s="88"/>
      <c r="P3" s="88"/>
    </row>
    <row r="4" spans="1:16" ht="15.4" customHeight="1">
      <c r="A4" s="206" t="s">
        <v>2559</v>
      </c>
      <c r="B4" s="209" t="s">
        <v>1</v>
      </c>
      <c r="C4" s="200" t="s">
        <v>2560</v>
      </c>
      <c r="D4" s="200"/>
      <c r="E4" s="200"/>
      <c r="F4" s="200"/>
      <c r="G4" s="202" t="s">
        <v>2561</v>
      </c>
      <c r="H4" s="200" t="s">
        <v>2562</v>
      </c>
      <c r="I4" s="202" t="s">
        <v>2563</v>
      </c>
      <c r="J4" s="202" t="s">
        <v>2564</v>
      </c>
      <c r="K4" s="200" t="s">
        <v>2565</v>
      </c>
      <c r="L4" s="212" t="s">
        <v>2566</v>
      </c>
      <c r="M4" s="88"/>
      <c r="N4" s="88"/>
      <c r="O4" s="88"/>
      <c r="P4" s="88"/>
    </row>
    <row r="5" spans="1:16">
      <c r="A5" s="207"/>
      <c r="B5" s="210"/>
      <c r="C5" s="201" t="s">
        <v>2567</v>
      </c>
      <c r="D5" s="201"/>
      <c r="E5" s="201"/>
      <c r="F5" s="201"/>
      <c r="G5" s="203"/>
      <c r="H5" s="201"/>
      <c r="I5" s="203"/>
      <c r="J5" s="203"/>
      <c r="K5" s="201"/>
      <c r="L5" s="213"/>
      <c r="M5" s="88"/>
      <c r="N5" s="88"/>
      <c r="O5" s="88"/>
      <c r="P5" s="88"/>
    </row>
    <row r="6" spans="1:16">
      <c r="A6" s="208"/>
      <c r="B6" s="211"/>
      <c r="C6" s="148" t="s">
        <v>2568</v>
      </c>
      <c r="D6" s="148" t="s">
        <v>2569</v>
      </c>
      <c r="E6" s="139" t="s">
        <v>2570</v>
      </c>
      <c r="F6" s="139" t="s">
        <v>2571</v>
      </c>
      <c r="G6" s="204"/>
      <c r="H6" s="205"/>
      <c r="I6" s="204"/>
      <c r="J6" s="173">
        <v>0.45</v>
      </c>
      <c r="K6" s="205"/>
      <c r="L6" s="149">
        <f>J6</f>
        <v>0.45</v>
      </c>
      <c r="M6" s="88"/>
      <c r="N6" s="88"/>
      <c r="O6" s="88"/>
      <c r="P6" s="88"/>
    </row>
    <row r="7" spans="1:16">
      <c r="A7" s="99" t="s">
        <v>2572</v>
      </c>
      <c r="B7" s="89" t="s">
        <v>430</v>
      </c>
      <c r="C7" s="157">
        <v>44.306914735654445</v>
      </c>
      <c r="D7" s="157">
        <v>5.3392152668460762</v>
      </c>
      <c r="E7" s="157">
        <v>50.35386999749948</v>
      </c>
      <c r="F7" s="104">
        <v>0</v>
      </c>
      <c r="G7" s="104">
        <v>1.15571</v>
      </c>
      <c r="H7" s="98">
        <v>0.245</v>
      </c>
      <c r="I7" s="104">
        <f>IFERROR(G7/(1+(1-H7)*((C7+D7+F7)/E7)),"n/a")</f>
        <v>0.66253026719921182</v>
      </c>
      <c r="J7" s="104">
        <f>IFERROR(I7*(1+(1-H7)*((1-J$6)/(J$6))),"n/a")</f>
        <v>1.2738984748758178</v>
      </c>
      <c r="K7" s="126">
        <v>9.0615988334979553E-2</v>
      </c>
      <c r="L7" s="133">
        <f>IFERROR(K7*(J7-G7),"n/a")</f>
        <v>1.0709765460676124E-2</v>
      </c>
      <c r="M7" s="141"/>
      <c r="N7" s="141"/>
      <c r="O7" s="135"/>
      <c r="P7" s="135"/>
    </row>
    <row r="8" spans="1:16">
      <c r="A8" s="99" t="s">
        <v>2459</v>
      </c>
      <c r="B8" s="89" t="s">
        <v>610</v>
      </c>
      <c r="C8" s="157">
        <v>62.448371719759479</v>
      </c>
      <c r="D8" s="157">
        <v>0</v>
      </c>
      <c r="E8" s="157">
        <v>35.916692549130055</v>
      </c>
      <c r="F8" s="104">
        <v>1.6349357311104638</v>
      </c>
      <c r="G8" s="104">
        <v>0.85877409999999998</v>
      </c>
      <c r="H8" s="98">
        <f>198/915</f>
        <v>0.21639344262295082</v>
      </c>
      <c r="I8" s="104">
        <f t="shared" ref="I8:I12" si="0">IFERROR(G8/(1+(1-H8)*((C8+D8+F8)/E8)),"n/a")</f>
        <v>0.35810200074326537</v>
      </c>
      <c r="J8" s="104">
        <f t="shared" ref="J8:J12" si="1">IFERROR(I8*(1+(1-H8)*((1-J$6)/(J$6))),"n/a")</f>
        <v>0.7010710936226987</v>
      </c>
      <c r="K8" s="126">
        <f>$K$7</f>
        <v>9.0615988334979553E-2</v>
      </c>
      <c r="L8" s="133">
        <f t="shared" ref="L8:L12" si="2">IFERROR(K8*(J8-G8),"n/a")</f>
        <v>-1.4290413786276738E-2</v>
      </c>
      <c r="M8" s="141"/>
      <c r="N8" s="141"/>
      <c r="O8" s="135"/>
      <c r="P8" s="135"/>
    </row>
    <row r="9" spans="1:16">
      <c r="A9" s="99" t="s">
        <v>2460</v>
      </c>
      <c r="B9" s="89" t="s">
        <v>445</v>
      </c>
      <c r="C9" s="157">
        <v>48.728250475051112</v>
      </c>
      <c r="D9" s="157">
        <v>4.8737641917640868</v>
      </c>
      <c r="E9" s="157">
        <v>46.397985333184806</v>
      </c>
      <c r="F9" s="104">
        <v>0</v>
      </c>
      <c r="G9" s="104">
        <v>0.71881010000000001</v>
      </c>
      <c r="H9" s="98">
        <v>0.11</v>
      </c>
      <c r="I9" s="104">
        <f t="shared" si="0"/>
        <v>0.3544102165601925</v>
      </c>
      <c r="J9" s="104">
        <f t="shared" si="1"/>
        <v>0.73992977435177987</v>
      </c>
      <c r="K9" s="126">
        <f t="shared" ref="K9:K12" si="3">$K$7</f>
        <v>9.0615988334979553E-2</v>
      </c>
      <c r="L9" s="133">
        <f t="shared" si="2"/>
        <v>1.9137801646994506E-3</v>
      </c>
      <c r="M9" s="141"/>
      <c r="N9" s="141"/>
      <c r="O9" s="135"/>
      <c r="P9" s="135"/>
    </row>
    <row r="10" spans="1:16">
      <c r="A10" s="99" t="s">
        <v>2461</v>
      </c>
      <c r="B10" s="89" t="s">
        <v>652</v>
      </c>
      <c r="C10" s="157">
        <v>46.71986217527315</v>
      </c>
      <c r="D10" s="157">
        <v>1.813483247948497</v>
      </c>
      <c r="E10" s="157">
        <v>51.466654576778346</v>
      </c>
      <c r="F10" s="104">
        <v>0</v>
      </c>
      <c r="G10" s="104">
        <v>0.93412499999999998</v>
      </c>
      <c r="H10" s="98">
        <v>0.23400000000000001</v>
      </c>
      <c r="I10" s="104">
        <f t="shared" si="0"/>
        <v>0.54235734090015209</v>
      </c>
      <c r="J10" s="104">
        <f t="shared" si="1"/>
        <v>1.0501243358362278</v>
      </c>
      <c r="K10" s="126">
        <f t="shared" si="3"/>
        <v>9.0615988334979553E-2</v>
      </c>
      <c r="L10" s="133">
        <f t="shared" si="2"/>
        <v>1.0511394463000994E-2</v>
      </c>
      <c r="M10" s="141"/>
      <c r="N10" s="141"/>
      <c r="O10" s="135"/>
      <c r="P10" s="135"/>
    </row>
    <row r="11" spans="1:16">
      <c r="A11" s="103" t="s">
        <v>2573</v>
      </c>
      <c r="B11" s="88" t="s">
        <v>637</v>
      </c>
      <c r="C11" s="157">
        <v>47.355037157675632</v>
      </c>
      <c r="D11" s="157">
        <v>0.31757233184007161</v>
      </c>
      <c r="E11" s="157">
        <v>52.327390510484292</v>
      </c>
      <c r="F11" s="104">
        <v>0</v>
      </c>
      <c r="G11" s="104">
        <v>0.72239589999999998</v>
      </c>
      <c r="H11" s="98">
        <v>0.14599999999999999</v>
      </c>
      <c r="I11" s="104">
        <f t="shared" si="0"/>
        <v>0.40628948861517949</v>
      </c>
      <c r="J11" s="104">
        <f t="shared" si="1"/>
        <v>0.83036542817640124</v>
      </c>
      <c r="K11" s="126">
        <f t="shared" si="3"/>
        <v>9.0615988334979553E-2</v>
      </c>
      <c r="L11" s="133">
        <f t="shared" si="2"/>
        <v>9.7837655057660226E-3</v>
      </c>
      <c r="M11" s="142"/>
      <c r="N11" s="141"/>
      <c r="O11" s="135"/>
      <c r="P11" s="135"/>
    </row>
    <row r="12" spans="1:16">
      <c r="A12" s="158" t="s">
        <v>2574</v>
      </c>
      <c r="B12" s="129" t="s">
        <v>2504</v>
      </c>
      <c r="C12" s="159">
        <v>53.684566532636879</v>
      </c>
      <c r="D12" s="159">
        <v>1.048438615610086</v>
      </c>
      <c r="E12" s="159">
        <v>45.266994851753033</v>
      </c>
      <c r="F12" s="118">
        <v>0</v>
      </c>
      <c r="G12" s="118">
        <v>0.69190260000000003</v>
      </c>
      <c r="H12" s="182">
        <f>178/1272</f>
        <v>0.13993710691823899</v>
      </c>
      <c r="I12" s="118">
        <f t="shared" si="0"/>
        <v>0.33918207448428689</v>
      </c>
      <c r="J12" s="118">
        <f t="shared" si="1"/>
        <v>0.69572619436058925</v>
      </c>
      <c r="K12" s="160">
        <f t="shared" si="3"/>
        <v>9.0615988334979553E-2</v>
      </c>
      <c r="L12" s="146">
        <f t="shared" si="2"/>
        <v>3.4647878197684553E-4</v>
      </c>
      <c r="M12" s="141"/>
      <c r="N12" s="141"/>
      <c r="O12" s="135"/>
      <c r="P12" s="135"/>
    </row>
    <row r="13" spans="1:16" ht="14" thickBot="1">
      <c r="A13" s="154" t="s">
        <v>2575</v>
      </c>
      <c r="B13" s="125"/>
      <c r="C13" s="123"/>
      <c r="D13" s="123"/>
      <c r="E13" s="161">
        <f>AVERAGE(E7:E12)</f>
        <v>46.954931303138345</v>
      </c>
      <c r="F13" s="123"/>
      <c r="G13" s="161">
        <f>AVERAGE(G7:G12)</f>
        <v>0.84695294999999993</v>
      </c>
      <c r="H13" s="124"/>
      <c r="I13" s="161"/>
      <c r="J13" s="161"/>
      <c r="K13" s="127"/>
      <c r="L13" s="177">
        <f>AVERAGE(L7:L12)</f>
        <v>3.1624617649737828E-3</v>
      </c>
      <c r="M13" s="88"/>
      <c r="N13" s="88"/>
      <c r="O13" s="88"/>
      <c r="P13" s="88"/>
    </row>
    <row r="14" spans="1:16">
      <c r="A14" s="140"/>
      <c r="B14" s="88"/>
      <c r="C14" s="95"/>
      <c r="D14" s="95"/>
      <c r="E14" s="120"/>
      <c r="F14" s="120"/>
      <c r="G14" s="120"/>
      <c r="H14" s="88"/>
      <c r="I14" s="120"/>
      <c r="J14" s="120"/>
      <c r="K14" s="88"/>
      <c r="L14" s="132"/>
      <c r="M14" s="88"/>
      <c r="N14" s="88"/>
      <c r="O14" s="88"/>
      <c r="P14" s="88"/>
    </row>
    <row r="15" spans="1:16">
      <c r="A15" s="140"/>
      <c r="B15" s="88"/>
      <c r="C15" s="95"/>
      <c r="D15" s="95"/>
      <c r="E15" s="120"/>
      <c r="F15" s="120"/>
      <c r="G15" s="120"/>
      <c r="H15" s="88"/>
      <c r="I15" s="120"/>
      <c r="J15" s="120"/>
      <c r="K15" s="88"/>
      <c r="L15" s="132"/>
      <c r="M15" s="88"/>
      <c r="N15" s="88"/>
      <c r="O15" s="88"/>
      <c r="P15" s="88"/>
    </row>
    <row r="16" spans="1:16" ht="14" thickBot="1">
      <c r="A16" s="103"/>
      <c r="B16" s="88"/>
      <c r="C16" s="88"/>
      <c r="D16" s="88"/>
      <c r="E16" s="120"/>
      <c r="F16" s="120"/>
      <c r="G16" s="120"/>
      <c r="H16" s="88"/>
      <c r="I16" s="120"/>
      <c r="J16" s="120"/>
      <c r="K16" s="88"/>
      <c r="L16" s="132"/>
      <c r="M16" s="88"/>
      <c r="N16" s="88"/>
      <c r="O16" s="88"/>
      <c r="P16" s="88"/>
    </row>
    <row r="17" spans="1:16" ht="14.25" customHeight="1">
      <c r="A17" s="206" t="s">
        <v>2576</v>
      </c>
      <c r="B17" s="209" t="s">
        <v>1</v>
      </c>
      <c r="C17" s="200" t="s">
        <v>2560</v>
      </c>
      <c r="D17" s="200"/>
      <c r="E17" s="200"/>
      <c r="F17" s="200"/>
      <c r="G17" s="202" t="s">
        <v>2561</v>
      </c>
      <c r="H17" s="200" t="s">
        <v>2562</v>
      </c>
      <c r="I17" s="202" t="s">
        <v>2563</v>
      </c>
      <c r="J17" s="202" t="s">
        <v>2564</v>
      </c>
      <c r="K17" s="200" t="str">
        <f>K4</f>
        <v>Average Equity Risk Premium</v>
      </c>
      <c r="L17" s="212" t="s">
        <v>2566</v>
      </c>
      <c r="M17" s="88"/>
      <c r="N17" s="88"/>
      <c r="O17" s="88"/>
      <c r="P17" s="88"/>
    </row>
    <row r="18" spans="1:16" ht="14.25" customHeight="1">
      <c r="A18" s="207"/>
      <c r="B18" s="210"/>
      <c r="C18" s="201" t="s">
        <v>2577</v>
      </c>
      <c r="D18" s="201"/>
      <c r="E18" s="201"/>
      <c r="F18" s="201"/>
      <c r="G18" s="203"/>
      <c r="H18" s="201"/>
      <c r="I18" s="203"/>
      <c r="J18" s="203"/>
      <c r="K18" s="201"/>
      <c r="L18" s="213"/>
      <c r="M18" s="88"/>
      <c r="N18" s="88"/>
      <c r="O18" s="88"/>
      <c r="P18" s="88"/>
    </row>
    <row r="19" spans="1:16">
      <c r="A19" s="208"/>
      <c r="B19" s="211"/>
      <c r="C19" s="148" t="s">
        <v>2568</v>
      </c>
      <c r="D19" s="148" t="s">
        <v>2569</v>
      </c>
      <c r="E19" s="139" t="s">
        <v>2570</v>
      </c>
      <c r="F19" s="139" t="s">
        <v>2571</v>
      </c>
      <c r="G19" s="204"/>
      <c r="H19" s="205"/>
      <c r="I19" s="204"/>
      <c r="J19" s="173">
        <v>0.45</v>
      </c>
      <c r="K19" s="205"/>
      <c r="L19" s="149">
        <f>J19</f>
        <v>0.45</v>
      </c>
      <c r="M19" s="88"/>
      <c r="N19" s="88"/>
      <c r="O19" s="88"/>
      <c r="P19" s="88"/>
    </row>
    <row r="20" spans="1:16">
      <c r="A20" s="152" t="s">
        <v>2400</v>
      </c>
      <c r="B20" s="128" t="s">
        <v>2401</v>
      </c>
      <c r="C20" s="137">
        <v>46.885162988888972</v>
      </c>
      <c r="D20" s="137">
        <v>2.1180154043814552</v>
      </c>
      <c r="E20" s="137">
        <v>50.996821606729569</v>
      </c>
      <c r="F20" s="137">
        <v>0</v>
      </c>
      <c r="G20" s="104">
        <v>0.87370040181842501</v>
      </c>
      <c r="H20" s="98">
        <v>6.0000000000000001E-3</v>
      </c>
      <c r="I20" s="104">
        <f>IFERROR(G20/(1+(1-H20)*((C20+D20+F20)/E20)),"n/a")</f>
        <v>0.44687332809757929</v>
      </c>
      <c r="J20" s="104">
        <f>IFERROR(I20*(1+(1-H20)*((1-J$19)/(J$19))),"n/a")</f>
        <v>0.98977476914412732</v>
      </c>
      <c r="K20" s="105">
        <f t="shared" ref="K20:K34" si="4">$K$7</f>
        <v>9.0615988334979553E-2</v>
      </c>
      <c r="L20" s="133">
        <f>IFERROR(K20*(J20-G20),"n/a")</f>
        <v>1.0518193515575973E-2</v>
      </c>
      <c r="M20" s="88"/>
      <c r="N20" s="88"/>
      <c r="O20" s="88"/>
      <c r="P20" s="88"/>
    </row>
    <row r="21" spans="1:16">
      <c r="A21" s="140" t="s">
        <v>2402</v>
      </c>
      <c r="B21" s="95" t="s">
        <v>1930</v>
      </c>
      <c r="C21" s="137">
        <v>44.137938601801629</v>
      </c>
      <c r="D21" s="137">
        <v>3.6925678334463385</v>
      </c>
      <c r="E21" s="137">
        <v>51.679468047752806</v>
      </c>
      <c r="F21" s="137">
        <v>0.49002551699922514</v>
      </c>
      <c r="G21" s="163">
        <v>0.83927651394938352</v>
      </c>
      <c r="H21" s="105">
        <v>0.12</v>
      </c>
      <c r="I21" s="104">
        <f t="shared" ref="I21:I34" si="5">IFERROR(G21/(1+(1-H21)*((C21+D21+F21)/E21)),"n/a")</f>
        <v>0.46043159752266721</v>
      </c>
      <c r="J21" s="163">
        <f t="shared" ref="J21:J34" si="6">IFERROR(I21*(1+(1-H21)*((1-J$19)/(J$19))),"n/a")</f>
        <v>0.95565136019149166</v>
      </c>
      <c r="K21" s="105">
        <f t="shared" si="4"/>
        <v>9.0615988334979553E-2</v>
      </c>
      <c r="L21" s="105">
        <f t="shared" ref="L21:L34" si="7">IFERROR(K21*(J21-G21),"n/a")</f>
        <v>1.054542170955991E-2</v>
      </c>
      <c r="M21" s="141"/>
      <c r="N21" s="141"/>
      <c r="O21" s="135"/>
      <c r="P21" s="135"/>
    </row>
    <row r="22" spans="1:16">
      <c r="A22" s="140" t="s">
        <v>2403</v>
      </c>
      <c r="B22" s="95" t="s">
        <v>946</v>
      </c>
      <c r="C22" s="137">
        <v>50.695105118023719</v>
      </c>
      <c r="D22" s="137">
        <v>1.6546185080761218</v>
      </c>
      <c r="E22" s="137">
        <v>47.650276373900155</v>
      </c>
      <c r="F22" s="137">
        <v>0</v>
      </c>
      <c r="G22" s="163">
        <v>0.84497239355831155</v>
      </c>
      <c r="H22" s="105">
        <v>0.21</v>
      </c>
      <c r="I22" s="104">
        <f t="shared" si="5"/>
        <v>0.45236181432771438</v>
      </c>
      <c r="J22" s="163">
        <f t="shared" si="6"/>
        <v>0.88914227727302975</v>
      </c>
      <c r="K22" s="105">
        <f t="shared" si="4"/>
        <v>9.0615988334979553E-2</v>
      </c>
      <c r="L22" s="105">
        <f t="shared" si="7"/>
        <v>4.0024976674503075E-3</v>
      </c>
      <c r="M22" s="141"/>
      <c r="N22" s="141"/>
      <c r="O22" s="135"/>
      <c r="P22" s="135"/>
    </row>
    <row r="23" spans="1:16">
      <c r="A23" s="140" t="s">
        <v>2415</v>
      </c>
      <c r="B23" s="95" t="s">
        <v>763</v>
      </c>
      <c r="C23" s="137">
        <v>45.855890300126745</v>
      </c>
      <c r="D23" s="137">
        <v>2.708600944757023</v>
      </c>
      <c r="E23" s="137">
        <v>51.435508755116231</v>
      </c>
      <c r="F23" s="137">
        <v>0</v>
      </c>
      <c r="G23" s="163">
        <v>0.82378961834926434</v>
      </c>
      <c r="H23" s="105">
        <v>9.1999999999999998E-2</v>
      </c>
      <c r="I23" s="104">
        <f t="shared" si="5"/>
        <v>0.4435373330010588</v>
      </c>
      <c r="J23" s="163">
        <f t="shared" si="6"/>
        <v>0.9357652087804561</v>
      </c>
      <c r="K23" s="105">
        <f t="shared" si="4"/>
        <v>9.0615988334979553E-2</v>
      </c>
      <c r="L23" s="105">
        <f t="shared" si="7"/>
        <v>1.0146778796315321E-2</v>
      </c>
      <c r="M23" s="141"/>
      <c r="N23" s="141"/>
      <c r="O23" s="135"/>
      <c r="P23" s="135"/>
    </row>
    <row r="24" spans="1:16">
      <c r="A24" s="140" t="s">
        <v>2420</v>
      </c>
      <c r="B24" s="95" t="s">
        <v>1115</v>
      </c>
      <c r="C24" s="137">
        <v>47.990985455774066</v>
      </c>
      <c r="D24" s="137">
        <v>3.1016018350390078E-3</v>
      </c>
      <c r="E24" s="137">
        <v>51.911648572894606</v>
      </c>
      <c r="F24" s="137">
        <v>9.4264369496283557E-2</v>
      </c>
      <c r="G24" s="163">
        <v>0.97465009387607859</v>
      </c>
      <c r="H24" s="105">
        <v>0.161</v>
      </c>
      <c r="I24" s="104">
        <f t="shared" si="5"/>
        <v>0.54841657436860292</v>
      </c>
      <c r="J24" s="163">
        <f t="shared" si="6"/>
        <v>1.1107873037961402</v>
      </c>
      <c r="K24" s="105">
        <f t="shared" si="4"/>
        <v>9.0615988334979553E-2</v>
      </c>
      <c r="L24" s="105">
        <f t="shared" si="7"/>
        <v>1.2336207826072967E-2</v>
      </c>
      <c r="M24" s="141"/>
      <c r="N24" s="141"/>
      <c r="O24" s="135"/>
      <c r="P24" s="135"/>
    </row>
    <row r="25" spans="1:16">
      <c r="A25" s="140" t="s">
        <v>1328</v>
      </c>
      <c r="B25" s="95" t="s">
        <v>764</v>
      </c>
      <c r="C25" s="137">
        <v>41.03249822202735</v>
      </c>
      <c r="D25" s="137">
        <v>3.9376742073792692</v>
      </c>
      <c r="E25" s="137">
        <v>54.436051094018232</v>
      </c>
      <c r="F25" s="137">
        <v>0.59377647657514498</v>
      </c>
      <c r="G25" s="163">
        <v>0.90169525929291461</v>
      </c>
      <c r="H25" s="105">
        <v>0.19800000000000001</v>
      </c>
      <c r="I25" s="104">
        <f t="shared" si="5"/>
        <v>0.53952105767404257</v>
      </c>
      <c r="J25" s="163">
        <f t="shared" si="6"/>
        <v>1.0683715877629762</v>
      </c>
      <c r="K25" s="105">
        <f t="shared" si="4"/>
        <v>9.0615988334979553E-2</v>
      </c>
      <c r="L25" s="105">
        <f t="shared" si="7"/>
        <v>1.5103540236360326E-2</v>
      </c>
      <c r="M25" s="141"/>
      <c r="N25" s="141"/>
      <c r="O25" s="135"/>
      <c r="P25" s="135"/>
    </row>
    <row r="26" spans="1:16">
      <c r="A26" s="140" t="s">
        <v>2421</v>
      </c>
      <c r="B26" s="95" t="s">
        <v>1366</v>
      </c>
      <c r="C26" s="137">
        <v>45.657238909721279</v>
      </c>
      <c r="D26" s="137">
        <v>2.292903089536579</v>
      </c>
      <c r="E26" s="137">
        <v>52.049858000742141</v>
      </c>
      <c r="F26" s="137">
        <v>0</v>
      </c>
      <c r="G26" s="163">
        <v>0.98249693606702992</v>
      </c>
      <c r="H26" s="105">
        <v>0.13800000000000001</v>
      </c>
      <c r="I26" s="104">
        <f t="shared" si="5"/>
        <v>0.54762527978529307</v>
      </c>
      <c r="J26" s="163">
        <f t="shared" si="6"/>
        <v>1.1245789356657541</v>
      </c>
      <c r="K26" s="105">
        <f t="shared" si="4"/>
        <v>9.0615988334979553E-2</v>
      </c>
      <c r="L26" s="105">
        <f t="shared" si="7"/>
        <v>1.2874900818248556E-2</v>
      </c>
      <c r="M26" s="141"/>
      <c r="N26" s="141"/>
      <c r="O26" s="135"/>
      <c r="P26" s="135"/>
    </row>
    <row r="27" spans="1:16">
      <c r="A27" s="140" t="s">
        <v>2526</v>
      </c>
      <c r="B27" s="95" t="s">
        <v>2527</v>
      </c>
      <c r="C27" s="137">
        <v>37.11398538865344</v>
      </c>
      <c r="D27" s="137">
        <v>6.9546894248985778</v>
      </c>
      <c r="E27" s="137">
        <v>55.931325186447992</v>
      </c>
      <c r="F27" s="137">
        <v>0</v>
      </c>
      <c r="G27" s="163">
        <v>0.8927250421094256</v>
      </c>
      <c r="H27" s="105">
        <v>0.09</v>
      </c>
      <c r="I27" s="104">
        <f t="shared" si="5"/>
        <v>0.51993448780371287</v>
      </c>
      <c r="J27" s="163">
        <f t="shared" si="6"/>
        <v>1.0982171792387314</v>
      </c>
      <c r="K27" s="105">
        <f t="shared" si="4"/>
        <v>9.0615988334979553E-2</v>
      </c>
      <c r="L27" s="105">
        <f t="shared" si="7"/>
        <v>1.8620873101039194E-2</v>
      </c>
      <c r="M27" s="141"/>
      <c r="N27" s="141"/>
      <c r="O27" s="135"/>
      <c r="P27" s="135"/>
    </row>
    <row r="28" spans="1:16">
      <c r="A28" s="140" t="s">
        <v>2432</v>
      </c>
      <c r="B28" s="95" t="s">
        <v>1138</v>
      </c>
      <c r="C28" s="137">
        <v>39.63717632338421</v>
      </c>
      <c r="D28" s="137">
        <v>4.092051939106395</v>
      </c>
      <c r="E28" s="137">
        <v>56.270771737509392</v>
      </c>
      <c r="F28" s="137">
        <v>0</v>
      </c>
      <c r="G28" s="163">
        <v>0.91219232010489681</v>
      </c>
      <c r="H28" s="105">
        <v>0.125</v>
      </c>
      <c r="I28" s="104">
        <f t="shared" si="5"/>
        <v>0.54297765026569156</v>
      </c>
      <c r="J28" s="163">
        <f t="shared" si="6"/>
        <v>1.123662081799834</v>
      </c>
      <c r="K28" s="105">
        <f t="shared" si="4"/>
        <v>9.0615988334979553E-2</v>
      </c>
      <c r="L28" s="105">
        <f t="shared" si="7"/>
        <v>1.9162541458949328E-2</v>
      </c>
      <c r="M28" s="141"/>
      <c r="N28" s="141"/>
      <c r="O28" s="135"/>
      <c r="P28" s="135"/>
    </row>
    <row r="29" spans="1:16">
      <c r="A29" s="140" t="s">
        <v>2435</v>
      </c>
      <c r="B29" s="95" t="s">
        <v>766</v>
      </c>
      <c r="C29" s="137">
        <v>46.068948359780592</v>
      </c>
      <c r="D29" s="137">
        <v>0.85899541095311693</v>
      </c>
      <c r="E29" s="137">
        <v>53.072056229266295</v>
      </c>
      <c r="F29" s="137">
        <v>0</v>
      </c>
      <c r="G29" s="163">
        <v>1.0177614823084606</v>
      </c>
      <c r="H29" s="105">
        <v>0.12</v>
      </c>
      <c r="I29" s="104">
        <f t="shared" si="5"/>
        <v>0.57237966717457611</v>
      </c>
      <c r="J29" s="163">
        <f t="shared" si="6"/>
        <v>1.1880057980912315</v>
      </c>
      <c r="K29" s="105">
        <f t="shared" si="4"/>
        <v>9.0615988334979553E-2</v>
      </c>
      <c r="L29" s="105">
        <f t="shared" si="7"/>
        <v>1.5426856933068141E-2</v>
      </c>
      <c r="M29" s="141"/>
      <c r="N29" s="141"/>
      <c r="O29" s="135"/>
      <c r="P29" s="135"/>
    </row>
    <row r="30" spans="1:16">
      <c r="A30" s="140" t="s">
        <v>2442</v>
      </c>
      <c r="B30" s="95" t="s">
        <v>767</v>
      </c>
      <c r="C30" s="137">
        <v>48.669564665105824</v>
      </c>
      <c r="D30" s="137">
        <v>3.517963765468378</v>
      </c>
      <c r="E30" s="137">
        <v>47.812471569425796</v>
      </c>
      <c r="F30" s="137">
        <v>0</v>
      </c>
      <c r="G30" s="163">
        <v>0.93579719106169845</v>
      </c>
      <c r="H30" s="105">
        <v>0.129</v>
      </c>
      <c r="I30" s="104">
        <f t="shared" si="5"/>
        <v>0.47972368121953884</v>
      </c>
      <c r="J30" s="163">
        <f t="shared" si="6"/>
        <v>0.99041619119336133</v>
      </c>
      <c r="K30" s="105">
        <f t="shared" si="4"/>
        <v>9.0615988334979553E-2</v>
      </c>
      <c r="L30" s="105">
        <f t="shared" si="7"/>
        <v>4.9493546787990096E-3</v>
      </c>
      <c r="M30" s="141"/>
      <c r="N30" s="141"/>
      <c r="O30" s="135"/>
      <c r="P30" s="135"/>
    </row>
    <row r="31" spans="1:16">
      <c r="A31" s="140" t="s">
        <v>2447</v>
      </c>
      <c r="B31" s="95" t="s">
        <v>31</v>
      </c>
      <c r="C31" s="137">
        <v>41.892933776472269</v>
      </c>
      <c r="D31" s="137">
        <v>3.7193170735697159</v>
      </c>
      <c r="E31" s="137">
        <v>54.387749149958019</v>
      </c>
      <c r="F31" s="137">
        <v>0</v>
      </c>
      <c r="G31" s="163">
        <v>1.0663522553431179</v>
      </c>
      <c r="H31" s="105">
        <v>0.19900000000000001</v>
      </c>
      <c r="I31" s="104">
        <f t="shared" si="5"/>
        <v>0.63786275841933004</v>
      </c>
      <c r="J31" s="163">
        <f t="shared" si="6"/>
        <v>1.2623303989118542</v>
      </c>
      <c r="K31" s="105">
        <f t="shared" si="4"/>
        <v>9.0615988334979553E-2</v>
      </c>
      <c r="L31" s="105">
        <f t="shared" si="7"/>
        <v>1.7758753171535548E-2</v>
      </c>
      <c r="M31" s="141"/>
      <c r="N31" s="141"/>
      <c r="O31" s="135"/>
      <c r="P31" s="135"/>
    </row>
    <row r="32" spans="1:16">
      <c r="A32" s="140" t="s">
        <v>2445</v>
      </c>
      <c r="B32" s="95" t="s">
        <v>2446</v>
      </c>
      <c r="C32" s="137">
        <v>53.560996989944556</v>
      </c>
      <c r="D32" s="137">
        <v>1.9531805171947958</v>
      </c>
      <c r="E32" s="137">
        <v>44.485822492860642</v>
      </c>
      <c r="F32" s="137">
        <v>0</v>
      </c>
      <c r="G32" s="163">
        <v>0.87885600974494305</v>
      </c>
      <c r="H32" s="105">
        <v>0.16800000000000001</v>
      </c>
      <c r="I32" s="104">
        <f t="shared" si="5"/>
        <v>0.4311797988385348</v>
      </c>
      <c r="J32" s="163">
        <f t="shared" si="6"/>
        <v>0.86964174539078709</v>
      </c>
      <c r="K32" s="105">
        <f t="shared" si="4"/>
        <v>9.0615988334979553E-2</v>
      </c>
      <c r="L32" s="105">
        <f t="shared" si="7"/>
        <v>-8.3495967123161383E-4</v>
      </c>
      <c r="M32" s="141"/>
      <c r="N32" s="141"/>
      <c r="O32" s="135"/>
      <c r="P32" s="135"/>
    </row>
    <row r="33" spans="1:16">
      <c r="A33" s="140" t="s">
        <v>2450</v>
      </c>
      <c r="B33" s="95" t="s">
        <v>768</v>
      </c>
      <c r="C33" s="137">
        <v>44.253102338740064</v>
      </c>
      <c r="D33" s="137">
        <v>2.0601591204408196</v>
      </c>
      <c r="E33" s="137">
        <v>53.686738540819114</v>
      </c>
      <c r="F33" s="137">
        <v>0</v>
      </c>
      <c r="G33" s="163">
        <v>0.89737403966762719</v>
      </c>
      <c r="H33" s="105">
        <v>0.114</v>
      </c>
      <c r="I33" s="104">
        <f t="shared" si="5"/>
        <v>0.50862477680027351</v>
      </c>
      <c r="J33" s="163">
        <f t="shared" si="6"/>
        <v>1.059408896210881</v>
      </c>
      <c r="K33" s="105">
        <f t="shared" si="4"/>
        <v>9.0615988334979553E-2</v>
      </c>
      <c r="L33" s="105">
        <f t="shared" si="7"/>
        <v>1.4682948670383569E-2</v>
      </c>
      <c r="M33" s="141"/>
      <c r="N33" s="141"/>
      <c r="O33" s="135"/>
      <c r="P33" s="135"/>
    </row>
    <row r="34" spans="1:16">
      <c r="A34" s="140" t="s">
        <v>2458</v>
      </c>
      <c r="B34" s="95" t="s">
        <v>2053</v>
      </c>
      <c r="C34" s="137">
        <v>44.796038316387978</v>
      </c>
      <c r="D34" s="137">
        <v>1.6055483333994263</v>
      </c>
      <c r="E34" s="137">
        <v>53.598413350212603</v>
      </c>
      <c r="F34" s="137">
        <v>0</v>
      </c>
      <c r="G34" s="164">
        <v>0.82948435931460662</v>
      </c>
      <c r="H34" s="119" t="s">
        <v>2440</v>
      </c>
      <c r="I34" s="118" t="str">
        <f t="shared" si="5"/>
        <v>n/a</v>
      </c>
      <c r="J34" s="164" t="str">
        <f t="shared" si="6"/>
        <v>n/a</v>
      </c>
      <c r="K34" s="119">
        <f t="shared" si="4"/>
        <v>9.0615988334979553E-2</v>
      </c>
      <c r="L34" s="119" t="str">
        <f t="shared" si="7"/>
        <v>n/a</v>
      </c>
      <c r="M34" s="141"/>
      <c r="N34" s="141"/>
      <c r="O34" s="135"/>
      <c r="P34" s="135"/>
    </row>
    <row r="35" spans="1:16" ht="14" thickBot="1">
      <c r="A35" s="151" t="s">
        <v>2575</v>
      </c>
      <c r="B35" s="106"/>
      <c r="C35" s="107"/>
      <c r="D35" s="107"/>
      <c r="E35" s="107">
        <f>AVERAGE(E20:E34)</f>
        <v>51.960332047176898</v>
      </c>
      <c r="F35" s="107"/>
      <c r="G35" s="107">
        <f>AVERAGE(G20:G34)</f>
        <v>0.9114082611044122</v>
      </c>
      <c r="H35" s="124"/>
      <c r="I35" s="161"/>
      <c r="J35" s="161"/>
      <c r="K35" s="127"/>
      <c r="L35" s="143">
        <f>AVERAGE(L20:L34)</f>
        <v>1.180670777943761E-2</v>
      </c>
      <c r="M35" s="88"/>
      <c r="N35" s="88"/>
      <c r="O35" s="88"/>
      <c r="P35" s="88"/>
    </row>
    <row r="36" spans="1:16">
      <c r="A36" s="103"/>
      <c r="B36" s="95"/>
      <c r="C36" s="104"/>
      <c r="D36" s="104"/>
      <c r="E36" s="104"/>
      <c r="F36" s="104"/>
      <c r="G36" s="120"/>
      <c r="H36" s="88"/>
      <c r="I36" s="120"/>
      <c r="J36" s="120"/>
      <c r="K36" s="130"/>
      <c r="L36" s="132"/>
      <c r="M36" s="88"/>
      <c r="N36" s="88"/>
      <c r="O36" s="88"/>
      <c r="P36" s="88"/>
    </row>
    <row r="37" spans="1:16">
      <c r="A37" s="103"/>
      <c r="B37" s="95"/>
      <c r="C37" s="104"/>
      <c r="D37" s="104"/>
      <c r="E37" s="104"/>
      <c r="F37" s="104"/>
      <c r="G37" s="120"/>
      <c r="H37" s="88"/>
      <c r="I37" s="120"/>
      <c r="J37" s="120"/>
      <c r="K37" s="130"/>
      <c r="L37" s="132"/>
      <c r="M37" s="88"/>
      <c r="N37" s="88"/>
      <c r="O37" s="88"/>
      <c r="P37" s="88"/>
    </row>
    <row r="38" spans="1:16" ht="14" thickBot="1">
      <c r="A38" s="103"/>
      <c r="B38" s="88"/>
      <c r="C38" s="88"/>
      <c r="D38" s="88"/>
      <c r="E38" s="120"/>
      <c r="F38" s="120"/>
      <c r="G38" s="120"/>
      <c r="H38" s="88"/>
      <c r="I38" s="120"/>
      <c r="J38" s="120"/>
      <c r="K38" s="88"/>
      <c r="L38" s="132"/>
      <c r="M38" s="88"/>
      <c r="N38" s="88"/>
      <c r="O38" s="88"/>
      <c r="P38" s="88"/>
    </row>
    <row r="39" spans="1:16" ht="14.25" customHeight="1">
      <c r="A39" s="206" t="s">
        <v>2578</v>
      </c>
      <c r="B39" s="209" t="s">
        <v>1</v>
      </c>
      <c r="C39" s="200" t="s">
        <v>2560</v>
      </c>
      <c r="D39" s="200"/>
      <c r="E39" s="200"/>
      <c r="F39" s="200"/>
      <c r="G39" s="202" t="s">
        <v>2561</v>
      </c>
      <c r="H39" s="200" t="s">
        <v>2562</v>
      </c>
      <c r="I39" s="202" t="s">
        <v>2563</v>
      </c>
      <c r="J39" s="202" t="s">
        <v>2564</v>
      </c>
      <c r="K39" s="200" t="str">
        <f>K17</f>
        <v>Average Equity Risk Premium</v>
      </c>
      <c r="L39" s="212" t="s">
        <v>2566</v>
      </c>
      <c r="M39" s="88"/>
      <c r="N39" s="88"/>
      <c r="O39" s="88"/>
      <c r="P39" s="88"/>
    </row>
    <row r="40" spans="1:16" ht="14.25" customHeight="1">
      <c r="A40" s="207"/>
      <c r="B40" s="210"/>
      <c r="C40" s="201" t="s">
        <v>2567</v>
      </c>
      <c r="D40" s="201"/>
      <c r="E40" s="201"/>
      <c r="F40" s="201"/>
      <c r="G40" s="203"/>
      <c r="H40" s="201"/>
      <c r="I40" s="203"/>
      <c r="J40" s="203"/>
      <c r="K40" s="201"/>
      <c r="L40" s="213"/>
      <c r="M40" s="88"/>
      <c r="N40" s="88"/>
      <c r="O40" s="88"/>
      <c r="P40" s="88"/>
    </row>
    <row r="41" spans="1:16">
      <c r="A41" s="208"/>
      <c r="B41" s="211"/>
      <c r="C41" s="148" t="s">
        <v>2568</v>
      </c>
      <c r="D41" s="148" t="s">
        <v>2569</v>
      </c>
      <c r="E41" s="139" t="s">
        <v>2570</v>
      </c>
      <c r="F41" s="139" t="s">
        <v>2571</v>
      </c>
      <c r="G41" s="204"/>
      <c r="H41" s="205"/>
      <c r="I41" s="204"/>
      <c r="J41" s="173">
        <v>0.38</v>
      </c>
      <c r="K41" s="205"/>
      <c r="L41" s="149">
        <f>J41</f>
        <v>0.38</v>
      </c>
      <c r="M41" s="88"/>
      <c r="N41" s="88"/>
      <c r="O41" s="88"/>
      <c r="P41" s="88"/>
    </row>
    <row r="42" spans="1:16">
      <c r="A42" s="152" t="s">
        <v>2579</v>
      </c>
      <c r="B42" s="128" t="s">
        <v>2380</v>
      </c>
      <c r="C42" s="137">
        <v>39.79750803770947</v>
      </c>
      <c r="D42" s="137">
        <v>0</v>
      </c>
      <c r="E42" s="137">
        <v>60.202491962290537</v>
      </c>
      <c r="F42" s="104">
        <v>0</v>
      </c>
      <c r="G42" s="163">
        <v>0.82918805364407167</v>
      </c>
      <c r="H42" s="105">
        <v>0.114</v>
      </c>
      <c r="I42" s="104">
        <f t="shared" ref="I42:I45" si="8">IFERROR(G42/(1+(1-H42)*((C42+D42+F42)/E42)),"n/a")</f>
        <v>0.52291613678608884</v>
      </c>
      <c r="J42" s="163">
        <f>IFERROR(I42*(1+(1-H42)*((1-J$41)/(J$41))),"n/a")</f>
        <v>1.2788326953632845</v>
      </c>
      <c r="K42" s="105">
        <f t="shared" ref="K42:K45" si="9">$K$7</f>
        <v>9.0615988334979553E-2</v>
      </c>
      <c r="L42" s="105">
        <f t="shared" ref="L42:L45" si="10">IFERROR(K42*(J42-G42),"n/a")</f>
        <v>4.0744993608914246E-2</v>
      </c>
      <c r="M42" s="88"/>
      <c r="N42" s="88"/>
      <c r="O42" s="88"/>
      <c r="P42" s="88"/>
    </row>
    <row r="43" spans="1:16">
      <c r="A43" s="152" t="s">
        <v>2387</v>
      </c>
      <c r="B43" s="128" t="s">
        <v>2388</v>
      </c>
      <c r="C43" s="137">
        <v>52.398287974465219</v>
      </c>
      <c r="D43" s="137">
        <v>0.63958919925185598</v>
      </c>
      <c r="E43" s="137">
        <v>46.962122826282929</v>
      </c>
      <c r="F43" s="104">
        <v>0</v>
      </c>
      <c r="G43" s="163">
        <v>0.74464980030632322</v>
      </c>
      <c r="H43" s="105">
        <v>0.25700000000000001</v>
      </c>
      <c r="I43" s="163">
        <f t="shared" si="8"/>
        <v>0.40489328183167222</v>
      </c>
      <c r="J43" s="163">
        <f t="shared" ref="J43:J45" si="11">IFERROR(I43*(1+(1-H43)*((1-J$41)/(J$41))),"n/a")</f>
        <v>0.89573049027529872</v>
      </c>
      <c r="K43" s="105">
        <f t="shared" si="9"/>
        <v>9.0615988334979553E-2</v>
      </c>
      <c r="L43" s="105">
        <f t="shared" si="10"/>
        <v>1.3690326039869347E-2</v>
      </c>
      <c r="M43" s="88"/>
      <c r="N43" s="88"/>
      <c r="O43" s="88"/>
      <c r="P43" s="88"/>
    </row>
    <row r="44" spans="1:16">
      <c r="A44" s="140" t="s">
        <v>2538</v>
      </c>
      <c r="B44" s="95" t="s">
        <v>2539</v>
      </c>
      <c r="C44" s="137">
        <v>39.54935552780416</v>
      </c>
      <c r="D44" s="137">
        <v>4.0505407783519159E-4</v>
      </c>
      <c r="E44" s="137">
        <v>60.450239418118002</v>
      </c>
      <c r="F44" s="104">
        <v>0</v>
      </c>
      <c r="G44" s="163">
        <v>0.83247976724837924</v>
      </c>
      <c r="H44" s="105">
        <v>0.14899999999999999</v>
      </c>
      <c r="I44" s="163">
        <f t="shared" si="8"/>
        <v>0.53474826981260637</v>
      </c>
      <c r="J44" s="163">
        <f t="shared" si="11"/>
        <v>1.2772321701245204</v>
      </c>
      <c r="K44" s="105">
        <f t="shared" si="9"/>
        <v>9.0615988334979553E-2</v>
      </c>
      <c r="L44" s="105">
        <f t="shared" si="10"/>
        <v>4.0301678550978534E-2</v>
      </c>
      <c r="M44" s="88"/>
      <c r="N44" s="88"/>
      <c r="O44" s="88"/>
      <c r="P44" s="88"/>
    </row>
    <row r="45" spans="1:16">
      <c r="A45" s="153" t="s">
        <v>2540</v>
      </c>
      <c r="B45" s="131" t="s">
        <v>2541</v>
      </c>
      <c r="C45" s="138">
        <v>42.863774092268784</v>
      </c>
      <c r="D45" s="138">
        <v>10.86671947546769</v>
      </c>
      <c r="E45" s="138">
        <v>46.269506432263526</v>
      </c>
      <c r="F45" s="118">
        <v>0</v>
      </c>
      <c r="G45" s="164">
        <v>0.86346076191264043</v>
      </c>
      <c r="H45" s="119">
        <v>0.151</v>
      </c>
      <c r="I45" s="164">
        <f t="shared" si="8"/>
        <v>0.43479529949811913</v>
      </c>
      <c r="J45" s="164">
        <f t="shared" si="11"/>
        <v>1.03707832515554</v>
      </c>
      <c r="K45" s="119">
        <f t="shared" si="9"/>
        <v>9.0615988334979553E-2</v>
      </c>
      <c r="L45" s="119">
        <f t="shared" si="10"/>
        <v>1.5732527085566161E-2</v>
      </c>
      <c r="M45" s="88"/>
      <c r="N45" s="88"/>
      <c r="O45" s="88"/>
      <c r="P45" s="88"/>
    </row>
    <row r="46" spans="1:16" ht="14" thickBot="1">
      <c r="A46" s="154" t="s">
        <v>2575</v>
      </c>
      <c r="B46" s="125"/>
      <c r="C46" s="123"/>
      <c r="D46" s="123"/>
      <c r="E46" s="123">
        <f>AVERAGE(E42:E45)</f>
        <v>53.47109015973875</v>
      </c>
      <c r="F46" s="123"/>
      <c r="G46" s="123">
        <f>AVERAGE(G42:G45)</f>
        <v>0.81744459577785367</v>
      </c>
      <c r="H46" s="124"/>
      <c r="I46" s="161"/>
      <c r="J46" s="161"/>
      <c r="K46" s="127"/>
      <c r="L46" s="178">
        <f>AVERAGE(L42:L45)</f>
        <v>2.7617381321332072E-2</v>
      </c>
      <c r="M46" s="88"/>
      <c r="N46" s="88"/>
      <c r="O46" s="88"/>
      <c r="P46" s="88"/>
    </row>
    <row r="47" spans="1:16">
      <c r="A47" s="103"/>
      <c r="B47" s="95"/>
      <c r="C47" s="104"/>
      <c r="D47" s="104"/>
      <c r="E47" s="104"/>
      <c r="F47" s="104"/>
      <c r="G47" s="120"/>
      <c r="H47" s="88"/>
      <c r="I47" s="120"/>
      <c r="J47" s="120"/>
      <c r="K47" s="130"/>
      <c r="L47" s="132"/>
      <c r="M47" s="88"/>
      <c r="N47" s="88"/>
      <c r="O47" s="88"/>
      <c r="P47" s="88"/>
    </row>
    <row r="48" spans="1:16">
      <c r="A48" s="140"/>
      <c r="B48" s="95"/>
      <c r="C48" s="95"/>
      <c r="D48" s="95"/>
      <c r="E48" s="120"/>
      <c r="F48" s="120"/>
      <c r="G48" s="120"/>
      <c r="H48" s="105"/>
      <c r="I48" s="120"/>
      <c r="J48" s="120"/>
      <c r="K48" s="88"/>
      <c r="L48" s="132"/>
      <c r="M48" s="88"/>
      <c r="N48" s="88"/>
      <c r="O48" s="88"/>
      <c r="P48" s="88"/>
    </row>
    <row r="49" spans="1:16" ht="14" thickBot="1">
      <c r="A49" s="140"/>
      <c r="B49" s="95"/>
      <c r="C49" s="95"/>
      <c r="D49" s="95"/>
      <c r="E49" s="120"/>
      <c r="F49" s="120"/>
      <c r="G49" s="120"/>
      <c r="H49" s="105"/>
      <c r="I49" s="120"/>
      <c r="J49" s="120"/>
      <c r="K49" s="88"/>
      <c r="L49" s="132"/>
      <c r="M49" s="88"/>
      <c r="N49" s="88"/>
      <c r="O49" s="88"/>
      <c r="P49" s="88"/>
    </row>
    <row r="50" spans="1:16" ht="14.25" customHeight="1">
      <c r="A50" s="206" t="s">
        <v>2580</v>
      </c>
      <c r="B50" s="209" t="s">
        <v>1</v>
      </c>
      <c r="C50" s="200" t="s">
        <v>2560</v>
      </c>
      <c r="D50" s="200"/>
      <c r="E50" s="200"/>
      <c r="F50" s="200"/>
      <c r="G50" s="202" t="s">
        <v>2561</v>
      </c>
      <c r="H50" s="200" t="s">
        <v>2562</v>
      </c>
      <c r="I50" s="202" t="s">
        <v>2563</v>
      </c>
      <c r="J50" s="202" t="s">
        <v>2564</v>
      </c>
      <c r="K50" s="200" t="str">
        <f>K39</f>
        <v>Average Equity Risk Premium</v>
      </c>
      <c r="L50" s="212" t="s">
        <v>2566</v>
      </c>
      <c r="M50" s="88"/>
      <c r="N50" s="88"/>
      <c r="O50" s="88"/>
      <c r="P50" s="88"/>
    </row>
    <row r="51" spans="1:16" ht="14.25" customHeight="1">
      <c r="A51" s="207"/>
      <c r="B51" s="210"/>
      <c r="C51" s="201" t="s">
        <v>2567</v>
      </c>
      <c r="D51" s="201"/>
      <c r="E51" s="201"/>
      <c r="F51" s="201"/>
      <c r="G51" s="203"/>
      <c r="H51" s="201"/>
      <c r="I51" s="203"/>
      <c r="J51" s="203"/>
      <c r="K51" s="201"/>
      <c r="L51" s="213"/>
      <c r="M51" s="88"/>
      <c r="N51" s="88"/>
      <c r="O51" s="88"/>
      <c r="P51" s="88"/>
    </row>
    <row r="52" spans="1:16">
      <c r="A52" s="208"/>
      <c r="B52" s="211"/>
      <c r="C52" s="148" t="s">
        <v>2568</v>
      </c>
      <c r="D52" s="148" t="s">
        <v>2569</v>
      </c>
      <c r="E52" s="139" t="s">
        <v>2570</v>
      </c>
      <c r="F52" s="139" t="s">
        <v>2571</v>
      </c>
      <c r="G52" s="204"/>
      <c r="H52" s="205"/>
      <c r="I52" s="204"/>
      <c r="J52" s="172">
        <v>0.45</v>
      </c>
      <c r="K52" s="205"/>
      <c r="L52" s="149">
        <f>J52</f>
        <v>0.45</v>
      </c>
      <c r="M52" s="88"/>
      <c r="N52" s="88"/>
      <c r="O52" s="88"/>
      <c r="P52" s="88"/>
    </row>
    <row r="53" spans="1:16">
      <c r="A53" s="103" t="s">
        <v>2459</v>
      </c>
      <c r="B53" s="88" t="s">
        <v>610</v>
      </c>
      <c r="C53" s="120">
        <f>_xlfn.XLOOKUP($B53, $B$4:$B$45, C$4:C$45)</f>
        <v>62.448371719759479</v>
      </c>
      <c r="D53" s="120">
        <f>_xlfn.XLOOKUP($B53, $B$4:$B$45, D$4:D$45)</f>
        <v>0</v>
      </c>
      <c r="E53" s="120">
        <f t="shared" ref="E53:I68" si="12">_xlfn.XLOOKUP($B53, $B$4:$B$45, E$4:E$45)</f>
        <v>35.916692549130055</v>
      </c>
      <c r="F53" s="120">
        <f t="shared" si="12"/>
        <v>1.6349357311104638</v>
      </c>
      <c r="G53" s="163">
        <f t="shared" si="12"/>
        <v>0.85877409999999998</v>
      </c>
      <c r="H53" s="105">
        <f>_xlfn.XLOOKUP($B53, $B$4:$B$45, H$4:H$45)</f>
        <v>0.21639344262295082</v>
      </c>
      <c r="I53" s="163">
        <f t="shared" si="12"/>
        <v>0.35810200074326537</v>
      </c>
      <c r="J53" s="104">
        <f>IFERROR(I53*(1+(1-H53)*((1-J$52)/(J$52))),"n/a")</f>
        <v>0.7010710936226987</v>
      </c>
      <c r="K53" s="136">
        <f t="shared" ref="K53:K71" si="13">_xlfn.XLOOKUP($B53, $B$4:$B$45, K$4:K$45)</f>
        <v>9.0615988334979553E-2</v>
      </c>
      <c r="L53" s="105">
        <f t="shared" ref="L53:L71" si="14">IFERROR(K53*(J53-G53),"n/a")</f>
        <v>-1.4290413786276738E-2</v>
      </c>
      <c r="M53" s="141"/>
      <c r="N53" s="141"/>
      <c r="O53" s="135"/>
      <c r="P53" s="135"/>
    </row>
    <row r="54" spans="1:16">
      <c r="A54" s="103" t="s">
        <v>2460</v>
      </c>
      <c r="B54" s="88" t="s">
        <v>445</v>
      </c>
      <c r="C54" s="120">
        <f t="shared" ref="C54:I71" si="15">_xlfn.XLOOKUP($B54, $B$4:$B$45, C$4:C$45)</f>
        <v>48.728250475051112</v>
      </c>
      <c r="D54" s="120">
        <f t="shared" si="15"/>
        <v>4.8737641917640868</v>
      </c>
      <c r="E54" s="120">
        <f t="shared" si="15"/>
        <v>46.397985333184806</v>
      </c>
      <c r="F54" s="120">
        <f t="shared" si="15"/>
        <v>0</v>
      </c>
      <c r="G54" s="163">
        <f t="shared" si="15"/>
        <v>0.71881010000000001</v>
      </c>
      <c r="H54" s="105">
        <f t="shared" si="15"/>
        <v>0.11</v>
      </c>
      <c r="I54" s="165">
        <f t="shared" si="12"/>
        <v>0.3544102165601925</v>
      </c>
      <c r="J54" s="165">
        <f t="shared" ref="J54:J71" si="16">IFERROR(I54*(1+(1-H54)*((1-J$52)/(J$52))),"n/a")</f>
        <v>0.73992977435177987</v>
      </c>
      <c r="K54" s="136">
        <f t="shared" si="13"/>
        <v>9.0615988334979553E-2</v>
      </c>
      <c r="L54" s="136">
        <f t="shared" si="14"/>
        <v>1.9137801646994506E-3</v>
      </c>
      <c r="M54" s="141"/>
      <c r="N54" s="141"/>
      <c r="O54" s="135"/>
      <c r="P54" s="135"/>
    </row>
    <row r="55" spans="1:16">
      <c r="A55" s="103" t="s">
        <v>2573</v>
      </c>
      <c r="B55" s="88" t="s">
        <v>637</v>
      </c>
      <c r="C55" s="120">
        <f t="shared" si="15"/>
        <v>47.355037157675632</v>
      </c>
      <c r="D55" s="120">
        <f t="shared" si="15"/>
        <v>0.31757233184007161</v>
      </c>
      <c r="E55" s="120">
        <f t="shared" si="15"/>
        <v>52.327390510484292</v>
      </c>
      <c r="F55" s="120">
        <f t="shared" si="15"/>
        <v>0</v>
      </c>
      <c r="G55" s="163">
        <f t="shared" si="15"/>
        <v>0.72239589999999998</v>
      </c>
      <c r="H55" s="105">
        <f t="shared" si="15"/>
        <v>0.14599999999999999</v>
      </c>
      <c r="I55" s="165">
        <f t="shared" si="12"/>
        <v>0.40628948861517949</v>
      </c>
      <c r="J55" s="165">
        <f t="shared" si="16"/>
        <v>0.83036542817640124</v>
      </c>
      <c r="K55" s="136">
        <f t="shared" si="13"/>
        <v>9.0615988334979553E-2</v>
      </c>
      <c r="L55" s="136">
        <f t="shared" si="14"/>
        <v>9.7837655057660226E-3</v>
      </c>
      <c r="M55" s="141"/>
      <c r="N55" s="141"/>
      <c r="O55" s="135"/>
      <c r="P55" s="135"/>
    </row>
    <row r="56" spans="1:16">
      <c r="A56" s="103" t="s">
        <v>2574</v>
      </c>
      <c r="B56" s="88" t="s">
        <v>2504</v>
      </c>
      <c r="C56" s="120">
        <f t="shared" si="15"/>
        <v>53.684566532636879</v>
      </c>
      <c r="D56" s="120">
        <f t="shared" si="15"/>
        <v>1.048438615610086</v>
      </c>
      <c r="E56" s="120">
        <f t="shared" si="15"/>
        <v>45.266994851753033</v>
      </c>
      <c r="F56" s="120">
        <f t="shared" si="15"/>
        <v>0</v>
      </c>
      <c r="G56" s="163">
        <f t="shared" si="15"/>
        <v>0.69190260000000003</v>
      </c>
      <c r="H56" s="105">
        <f t="shared" si="15"/>
        <v>0.13993710691823899</v>
      </c>
      <c r="I56" s="165">
        <f t="shared" si="12"/>
        <v>0.33918207448428689</v>
      </c>
      <c r="J56" s="165">
        <f t="shared" si="16"/>
        <v>0.69572619436058925</v>
      </c>
      <c r="K56" s="136">
        <f t="shared" si="13"/>
        <v>9.0615988334979553E-2</v>
      </c>
      <c r="L56" s="136">
        <f t="shared" si="14"/>
        <v>3.4647878197684553E-4</v>
      </c>
      <c r="M56" s="141"/>
      <c r="N56" s="141"/>
      <c r="O56" s="135"/>
      <c r="P56" s="135"/>
    </row>
    <row r="57" spans="1:16">
      <c r="A57" s="103" t="s">
        <v>2400</v>
      </c>
      <c r="B57" s="88" t="s">
        <v>2401</v>
      </c>
      <c r="C57" s="120">
        <f t="shared" si="15"/>
        <v>46.885162988888972</v>
      </c>
      <c r="D57" s="120">
        <f t="shared" si="15"/>
        <v>2.1180154043814552</v>
      </c>
      <c r="E57" s="120">
        <f t="shared" si="15"/>
        <v>50.996821606729569</v>
      </c>
      <c r="F57" s="120">
        <f t="shared" si="15"/>
        <v>0</v>
      </c>
      <c r="G57" s="163">
        <f t="shared" si="15"/>
        <v>0.87370040181842501</v>
      </c>
      <c r="H57" s="105">
        <f t="shared" si="15"/>
        <v>6.0000000000000001E-3</v>
      </c>
      <c r="I57" s="165">
        <f t="shared" si="12"/>
        <v>0.44687332809757929</v>
      </c>
      <c r="J57" s="165">
        <f t="shared" si="16"/>
        <v>0.98977476914412732</v>
      </c>
      <c r="K57" s="136">
        <f t="shared" si="13"/>
        <v>9.0615988334979553E-2</v>
      </c>
      <c r="L57" s="136">
        <f t="shared" si="14"/>
        <v>1.0518193515575973E-2</v>
      </c>
      <c r="M57" s="141"/>
      <c r="N57" s="141"/>
      <c r="O57" s="135"/>
      <c r="P57" s="135"/>
    </row>
    <row r="58" spans="1:16">
      <c r="A58" s="103" t="s">
        <v>2402</v>
      </c>
      <c r="B58" s="88" t="s">
        <v>1930</v>
      </c>
      <c r="C58" s="120">
        <f t="shared" si="15"/>
        <v>44.137938601801629</v>
      </c>
      <c r="D58" s="120">
        <f t="shared" si="15"/>
        <v>3.6925678334463385</v>
      </c>
      <c r="E58" s="120">
        <f t="shared" si="15"/>
        <v>51.679468047752806</v>
      </c>
      <c r="F58" s="120">
        <f t="shared" si="15"/>
        <v>0.49002551699922514</v>
      </c>
      <c r="G58" s="163">
        <f t="shared" si="15"/>
        <v>0.83927651394938352</v>
      </c>
      <c r="H58" s="105">
        <f t="shared" si="15"/>
        <v>0.12</v>
      </c>
      <c r="I58" s="165">
        <f t="shared" si="12"/>
        <v>0.46043159752266721</v>
      </c>
      <c r="J58" s="165">
        <f t="shared" si="16"/>
        <v>0.95565136019149166</v>
      </c>
      <c r="K58" s="136">
        <f t="shared" si="13"/>
        <v>9.0615988334979553E-2</v>
      </c>
      <c r="L58" s="136">
        <f t="shared" si="14"/>
        <v>1.054542170955991E-2</v>
      </c>
      <c r="M58" s="141"/>
      <c r="N58" s="141"/>
      <c r="O58" s="135"/>
      <c r="P58" s="135"/>
    </row>
    <row r="59" spans="1:16">
      <c r="A59" s="103" t="s">
        <v>2403</v>
      </c>
      <c r="B59" s="88" t="s">
        <v>946</v>
      </c>
      <c r="C59" s="120">
        <f t="shared" si="15"/>
        <v>50.695105118023719</v>
      </c>
      <c r="D59" s="120">
        <f t="shared" si="15"/>
        <v>1.6546185080761218</v>
      </c>
      <c r="E59" s="120">
        <f t="shared" si="15"/>
        <v>47.650276373900155</v>
      </c>
      <c r="F59" s="120">
        <f t="shared" si="15"/>
        <v>0</v>
      </c>
      <c r="G59" s="163">
        <f t="shared" si="15"/>
        <v>0.84497239355831155</v>
      </c>
      <c r="H59" s="105">
        <f t="shared" si="15"/>
        <v>0.21</v>
      </c>
      <c r="I59" s="165">
        <f t="shared" si="12"/>
        <v>0.45236181432771438</v>
      </c>
      <c r="J59" s="165">
        <f t="shared" si="16"/>
        <v>0.88914227727302975</v>
      </c>
      <c r="K59" s="136">
        <f t="shared" si="13"/>
        <v>9.0615988334979553E-2</v>
      </c>
      <c r="L59" s="136">
        <f t="shared" si="14"/>
        <v>4.0024976674503075E-3</v>
      </c>
      <c r="M59" s="141"/>
      <c r="N59" s="141"/>
      <c r="O59" s="135"/>
      <c r="P59" s="135"/>
    </row>
    <row r="60" spans="1:16">
      <c r="A60" s="103" t="s">
        <v>2415</v>
      </c>
      <c r="B60" s="88" t="s">
        <v>763</v>
      </c>
      <c r="C60" s="120">
        <f t="shared" si="15"/>
        <v>45.855890300126745</v>
      </c>
      <c r="D60" s="120">
        <f t="shared" si="15"/>
        <v>2.708600944757023</v>
      </c>
      <c r="E60" s="120">
        <f t="shared" si="15"/>
        <v>51.435508755116231</v>
      </c>
      <c r="F60" s="120">
        <f t="shared" si="15"/>
        <v>0</v>
      </c>
      <c r="G60" s="163">
        <f t="shared" si="15"/>
        <v>0.82378961834926434</v>
      </c>
      <c r="H60" s="105">
        <f t="shared" si="15"/>
        <v>9.1999999999999998E-2</v>
      </c>
      <c r="I60" s="165">
        <f t="shared" si="12"/>
        <v>0.4435373330010588</v>
      </c>
      <c r="J60" s="165">
        <f t="shared" si="16"/>
        <v>0.9357652087804561</v>
      </c>
      <c r="K60" s="136">
        <f t="shared" si="13"/>
        <v>9.0615988334979553E-2</v>
      </c>
      <c r="L60" s="136">
        <f t="shared" si="14"/>
        <v>1.0146778796315321E-2</v>
      </c>
      <c r="M60" s="141"/>
      <c r="N60" s="141"/>
      <c r="O60" s="135"/>
      <c r="P60" s="135"/>
    </row>
    <row r="61" spans="1:16">
      <c r="A61" s="103" t="s">
        <v>2420</v>
      </c>
      <c r="B61" s="88" t="s">
        <v>1115</v>
      </c>
      <c r="C61" s="120">
        <f t="shared" si="15"/>
        <v>47.990985455774066</v>
      </c>
      <c r="D61" s="120">
        <f t="shared" si="15"/>
        <v>3.1016018350390078E-3</v>
      </c>
      <c r="E61" s="120">
        <f t="shared" si="15"/>
        <v>51.911648572894606</v>
      </c>
      <c r="F61" s="120">
        <f t="shared" si="15"/>
        <v>9.4264369496283557E-2</v>
      </c>
      <c r="G61" s="163">
        <f t="shared" si="15"/>
        <v>0.97465009387607859</v>
      </c>
      <c r="H61" s="105">
        <f t="shared" si="15"/>
        <v>0.161</v>
      </c>
      <c r="I61" s="165">
        <f t="shared" si="12"/>
        <v>0.54841657436860292</v>
      </c>
      <c r="J61" s="165">
        <f t="shared" si="16"/>
        <v>1.1107873037961402</v>
      </c>
      <c r="K61" s="136">
        <f t="shared" si="13"/>
        <v>9.0615988334979553E-2</v>
      </c>
      <c r="L61" s="136">
        <f t="shared" si="14"/>
        <v>1.2336207826072967E-2</v>
      </c>
      <c r="M61" s="141"/>
      <c r="N61" s="141"/>
      <c r="O61" s="135"/>
      <c r="P61" s="135"/>
    </row>
    <row r="62" spans="1:16">
      <c r="A62" s="103" t="s">
        <v>1328</v>
      </c>
      <c r="B62" s="88" t="s">
        <v>764</v>
      </c>
      <c r="C62" s="120">
        <f t="shared" si="15"/>
        <v>41.03249822202735</v>
      </c>
      <c r="D62" s="120">
        <f t="shared" si="15"/>
        <v>3.9376742073792692</v>
      </c>
      <c r="E62" s="120">
        <f t="shared" si="15"/>
        <v>54.436051094018232</v>
      </c>
      <c r="F62" s="120">
        <f t="shared" si="15"/>
        <v>0.59377647657514498</v>
      </c>
      <c r="G62" s="163">
        <f t="shared" si="15"/>
        <v>0.90169525929291461</v>
      </c>
      <c r="H62" s="105">
        <f t="shared" si="15"/>
        <v>0.19800000000000001</v>
      </c>
      <c r="I62" s="165">
        <f t="shared" si="12"/>
        <v>0.53952105767404257</v>
      </c>
      <c r="J62" s="165">
        <f t="shared" si="16"/>
        <v>1.0683715877629762</v>
      </c>
      <c r="K62" s="136">
        <f t="shared" si="13"/>
        <v>9.0615988334979553E-2</v>
      </c>
      <c r="L62" s="136">
        <f t="shared" si="14"/>
        <v>1.5103540236360326E-2</v>
      </c>
      <c r="M62" s="141"/>
      <c r="N62" s="141"/>
      <c r="O62" s="135"/>
      <c r="P62" s="135"/>
    </row>
    <row r="63" spans="1:16">
      <c r="A63" s="103" t="s">
        <v>2421</v>
      </c>
      <c r="B63" s="88" t="s">
        <v>1366</v>
      </c>
      <c r="C63" s="120">
        <f t="shared" si="15"/>
        <v>45.657238909721279</v>
      </c>
      <c r="D63" s="120">
        <f t="shared" si="15"/>
        <v>2.292903089536579</v>
      </c>
      <c r="E63" s="120">
        <f t="shared" si="15"/>
        <v>52.049858000742141</v>
      </c>
      <c r="F63" s="120">
        <f t="shared" si="15"/>
        <v>0</v>
      </c>
      <c r="G63" s="163">
        <f t="shared" si="15"/>
        <v>0.98249693606702992</v>
      </c>
      <c r="H63" s="105">
        <f t="shared" si="15"/>
        <v>0.13800000000000001</v>
      </c>
      <c r="I63" s="165">
        <f t="shared" si="12"/>
        <v>0.54762527978529307</v>
      </c>
      <c r="J63" s="165">
        <f t="shared" si="16"/>
        <v>1.1245789356657541</v>
      </c>
      <c r="K63" s="136">
        <f t="shared" si="13"/>
        <v>9.0615988334979553E-2</v>
      </c>
      <c r="L63" s="136">
        <f t="shared" si="14"/>
        <v>1.2874900818248556E-2</v>
      </c>
      <c r="M63" s="141"/>
      <c r="N63" s="141"/>
      <c r="O63" s="135"/>
      <c r="P63" s="135"/>
    </row>
    <row r="64" spans="1:16">
      <c r="A64" s="103" t="s">
        <v>2526</v>
      </c>
      <c r="B64" s="88" t="s">
        <v>2527</v>
      </c>
      <c r="C64" s="120">
        <f t="shared" si="15"/>
        <v>37.11398538865344</v>
      </c>
      <c r="D64" s="120">
        <f t="shared" si="15"/>
        <v>6.9546894248985778</v>
      </c>
      <c r="E64" s="120">
        <f t="shared" si="15"/>
        <v>55.931325186447992</v>
      </c>
      <c r="F64" s="120">
        <f t="shared" si="15"/>
        <v>0</v>
      </c>
      <c r="G64" s="163">
        <f t="shared" si="15"/>
        <v>0.8927250421094256</v>
      </c>
      <c r="H64" s="105">
        <f t="shared" si="15"/>
        <v>0.09</v>
      </c>
      <c r="I64" s="165">
        <f t="shared" si="12"/>
        <v>0.51993448780371287</v>
      </c>
      <c r="J64" s="165">
        <f t="shared" si="16"/>
        <v>1.0982171792387314</v>
      </c>
      <c r="K64" s="136">
        <f t="shared" si="13"/>
        <v>9.0615988334979553E-2</v>
      </c>
      <c r="L64" s="136">
        <f t="shared" si="14"/>
        <v>1.8620873101039194E-2</v>
      </c>
      <c r="M64" s="141"/>
      <c r="N64" s="141"/>
      <c r="O64" s="135"/>
      <c r="P64" s="135"/>
    </row>
    <row r="65" spans="1:16">
      <c r="A65" s="103" t="s">
        <v>2432</v>
      </c>
      <c r="B65" s="88" t="s">
        <v>1138</v>
      </c>
      <c r="C65" s="120">
        <f t="shared" si="15"/>
        <v>39.63717632338421</v>
      </c>
      <c r="D65" s="120">
        <f t="shared" si="15"/>
        <v>4.092051939106395</v>
      </c>
      <c r="E65" s="120">
        <f t="shared" si="15"/>
        <v>56.270771737509392</v>
      </c>
      <c r="F65" s="120">
        <f t="shared" si="15"/>
        <v>0</v>
      </c>
      <c r="G65" s="163">
        <f t="shared" si="15"/>
        <v>0.91219232010489681</v>
      </c>
      <c r="H65" s="105">
        <f t="shared" si="15"/>
        <v>0.125</v>
      </c>
      <c r="I65" s="165">
        <f t="shared" si="12"/>
        <v>0.54297765026569156</v>
      </c>
      <c r="J65" s="165">
        <f t="shared" si="16"/>
        <v>1.123662081799834</v>
      </c>
      <c r="K65" s="136">
        <f t="shared" si="13"/>
        <v>9.0615988334979553E-2</v>
      </c>
      <c r="L65" s="136">
        <f t="shared" si="14"/>
        <v>1.9162541458949328E-2</v>
      </c>
      <c r="M65" s="141"/>
      <c r="N65" s="141"/>
      <c r="O65" s="135"/>
      <c r="P65" s="135"/>
    </row>
    <row r="66" spans="1:16">
      <c r="A66" s="103" t="s">
        <v>2435</v>
      </c>
      <c r="B66" s="88" t="s">
        <v>766</v>
      </c>
      <c r="C66" s="120">
        <f t="shared" si="15"/>
        <v>46.068948359780592</v>
      </c>
      <c r="D66" s="120">
        <f t="shared" si="15"/>
        <v>0.85899541095311693</v>
      </c>
      <c r="E66" s="120">
        <f t="shared" si="15"/>
        <v>53.072056229266295</v>
      </c>
      <c r="F66" s="120">
        <f t="shared" si="15"/>
        <v>0</v>
      </c>
      <c r="G66" s="163">
        <f t="shared" si="15"/>
        <v>1.0177614823084606</v>
      </c>
      <c r="H66" s="105">
        <f t="shared" si="15"/>
        <v>0.12</v>
      </c>
      <c r="I66" s="165">
        <f t="shared" si="12"/>
        <v>0.57237966717457611</v>
      </c>
      <c r="J66" s="165">
        <f t="shared" si="16"/>
        <v>1.1880057980912315</v>
      </c>
      <c r="K66" s="136">
        <f t="shared" si="13"/>
        <v>9.0615988334979553E-2</v>
      </c>
      <c r="L66" s="136">
        <f t="shared" si="14"/>
        <v>1.5426856933068141E-2</v>
      </c>
      <c r="M66" s="141"/>
      <c r="N66" s="141"/>
      <c r="O66" s="135"/>
      <c r="P66" s="135"/>
    </row>
    <row r="67" spans="1:16">
      <c r="A67" s="103" t="s">
        <v>2442</v>
      </c>
      <c r="B67" s="88" t="s">
        <v>767</v>
      </c>
      <c r="C67" s="120">
        <f t="shared" si="15"/>
        <v>48.669564665105824</v>
      </c>
      <c r="D67" s="120">
        <f t="shared" si="15"/>
        <v>3.517963765468378</v>
      </c>
      <c r="E67" s="120">
        <f t="shared" si="15"/>
        <v>47.812471569425796</v>
      </c>
      <c r="F67" s="120">
        <f t="shared" si="15"/>
        <v>0</v>
      </c>
      <c r="G67" s="163">
        <f t="shared" si="15"/>
        <v>0.93579719106169845</v>
      </c>
      <c r="H67" s="105">
        <f t="shared" si="15"/>
        <v>0.129</v>
      </c>
      <c r="I67" s="165">
        <f t="shared" si="12"/>
        <v>0.47972368121953884</v>
      </c>
      <c r="J67" s="165">
        <f t="shared" si="16"/>
        <v>0.99041619119336133</v>
      </c>
      <c r="K67" s="136">
        <f t="shared" si="13"/>
        <v>9.0615988334979553E-2</v>
      </c>
      <c r="L67" s="136">
        <f t="shared" si="14"/>
        <v>4.9493546787990096E-3</v>
      </c>
      <c r="M67" s="141"/>
      <c r="N67" s="141"/>
      <c r="O67" s="135"/>
      <c r="P67" s="135"/>
    </row>
    <row r="68" spans="1:16">
      <c r="A68" s="103" t="s">
        <v>2447</v>
      </c>
      <c r="B68" s="95" t="s">
        <v>31</v>
      </c>
      <c r="C68" s="120">
        <f t="shared" si="15"/>
        <v>41.892933776472269</v>
      </c>
      <c r="D68" s="120">
        <f t="shared" si="15"/>
        <v>3.7193170735697159</v>
      </c>
      <c r="E68" s="120">
        <f t="shared" si="15"/>
        <v>54.387749149958019</v>
      </c>
      <c r="F68" s="120">
        <f t="shared" si="15"/>
        <v>0</v>
      </c>
      <c r="G68" s="163">
        <f t="shared" si="15"/>
        <v>1.0663522553431179</v>
      </c>
      <c r="H68" s="105">
        <f t="shared" si="15"/>
        <v>0.19900000000000001</v>
      </c>
      <c r="I68" s="165">
        <f t="shared" si="12"/>
        <v>0.63786275841933004</v>
      </c>
      <c r="J68" s="165">
        <f t="shared" si="16"/>
        <v>1.2623303989118542</v>
      </c>
      <c r="K68" s="136">
        <f t="shared" si="13"/>
        <v>9.0615988334979553E-2</v>
      </c>
      <c r="L68" s="136">
        <f t="shared" si="14"/>
        <v>1.7758753171535548E-2</v>
      </c>
      <c r="M68" s="141"/>
      <c r="N68" s="141"/>
      <c r="O68" s="135"/>
      <c r="P68" s="135"/>
    </row>
    <row r="69" spans="1:16">
      <c r="A69" s="103" t="s">
        <v>2445</v>
      </c>
      <c r="B69" s="88" t="s">
        <v>2446</v>
      </c>
      <c r="C69" s="120">
        <f t="shared" si="15"/>
        <v>53.560996989944556</v>
      </c>
      <c r="D69" s="120">
        <f t="shared" si="15"/>
        <v>1.9531805171947958</v>
      </c>
      <c r="E69" s="120">
        <f t="shared" si="15"/>
        <v>44.485822492860642</v>
      </c>
      <c r="F69" s="120">
        <f t="shared" si="15"/>
        <v>0</v>
      </c>
      <c r="G69" s="163">
        <f t="shared" si="15"/>
        <v>0.87885600974494305</v>
      </c>
      <c r="H69" s="105">
        <f t="shared" si="15"/>
        <v>0.16800000000000001</v>
      </c>
      <c r="I69" s="165">
        <f t="shared" si="15"/>
        <v>0.4311797988385348</v>
      </c>
      <c r="J69" s="165">
        <f t="shared" si="16"/>
        <v>0.86964174539078709</v>
      </c>
      <c r="K69" s="136">
        <f t="shared" si="13"/>
        <v>9.0615988334979553E-2</v>
      </c>
      <c r="L69" s="136">
        <f t="shared" si="14"/>
        <v>-8.3495967123161383E-4</v>
      </c>
      <c r="M69" s="141"/>
      <c r="N69" s="141"/>
      <c r="O69" s="135"/>
      <c r="P69" s="135"/>
    </row>
    <row r="70" spans="1:16">
      <c r="A70" s="103" t="s">
        <v>2450</v>
      </c>
      <c r="B70" s="88" t="s">
        <v>768</v>
      </c>
      <c r="C70" s="120">
        <f t="shared" si="15"/>
        <v>44.253102338740064</v>
      </c>
      <c r="D70" s="120">
        <f t="shared" si="15"/>
        <v>2.0601591204408196</v>
      </c>
      <c r="E70" s="120">
        <f t="shared" si="15"/>
        <v>53.686738540819114</v>
      </c>
      <c r="F70" s="120">
        <f t="shared" si="15"/>
        <v>0</v>
      </c>
      <c r="G70" s="163">
        <f t="shared" si="15"/>
        <v>0.89737403966762719</v>
      </c>
      <c r="H70" s="105">
        <f t="shared" si="15"/>
        <v>0.114</v>
      </c>
      <c r="I70" s="165">
        <f t="shared" si="15"/>
        <v>0.50862477680027351</v>
      </c>
      <c r="J70" s="165">
        <f t="shared" si="16"/>
        <v>1.059408896210881</v>
      </c>
      <c r="K70" s="136">
        <f t="shared" si="13"/>
        <v>9.0615988334979553E-2</v>
      </c>
      <c r="L70" s="136">
        <f t="shared" si="14"/>
        <v>1.4682948670383569E-2</v>
      </c>
      <c r="M70" s="141"/>
      <c r="N70" s="141"/>
      <c r="O70" s="135"/>
      <c r="P70" s="135"/>
    </row>
    <row r="71" spans="1:16">
      <c r="A71" s="155" t="s">
        <v>2458</v>
      </c>
      <c r="B71" s="88" t="s">
        <v>2053</v>
      </c>
      <c r="C71" s="120">
        <f t="shared" si="15"/>
        <v>44.796038316387978</v>
      </c>
      <c r="D71" s="120">
        <f t="shared" si="15"/>
        <v>1.6055483333994263</v>
      </c>
      <c r="E71" s="120">
        <f t="shared" si="15"/>
        <v>53.598413350212603</v>
      </c>
      <c r="F71" s="120">
        <f t="shared" si="15"/>
        <v>0</v>
      </c>
      <c r="G71" s="163">
        <f t="shared" si="15"/>
        <v>0.82948435931460662</v>
      </c>
      <c r="H71" s="105" t="str">
        <f t="shared" si="15"/>
        <v>NMF</v>
      </c>
      <c r="I71" s="165" t="str">
        <f t="shared" si="15"/>
        <v>n/a</v>
      </c>
      <c r="J71" s="165" t="str">
        <f t="shared" si="16"/>
        <v>n/a</v>
      </c>
      <c r="K71" s="136">
        <f t="shared" si="13"/>
        <v>9.0615988334979553E-2</v>
      </c>
      <c r="L71" s="136" t="str">
        <f t="shared" si="14"/>
        <v>n/a</v>
      </c>
      <c r="M71" s="141"/>
      <c r="N71" s="141"/>
      <c r="O71" s="135"/>
      <c r="P71" s="135"/>
    </row>
    <row r="72" spans="1:16" ht="14" thickBot="1">
      <c r="A72" s="154" t="s">
        <v>2575</v>
      </c>
      <c r="B72" s="106"/>
      <c r="C72" s="107"/>
      <c r="D72" s="107"/>
      <c r="E72" s="107">
        <f>AVERAGE(E53:E71)</f>
        <v>50.49021283958978</v>
      </c>
      <c r="F72" s="107"/>
      <c r="G72" s="166">
        <f>AVERAGE(G53:G71)</f>
        <v>0.87700034824032536</v>
      </c>
      <c r="H72" s="108"/>
      <c r="I72" s="169"/>
      <c r="J72" s="166"/>
      <c r="K72" s="109"/>
      <c r="L72" s="183">
        <f>AVERAGE(L53:L71)</f>
        <v>9.0581955321273402E-3</v>
      </c>
      <c r="M72" s="88"/>
      <c r="N72" s="88"/>
      <c r="O72" s="88"/>
      <c r="P72" s="88"/>
    </row>
    <row r="73" spans="1:16">
      <c r="A73" s="103"/>
      <c r="B73" s="95"/>
      <c r="C73" s="104"/>
      <c r="D73" s="104"/>
      <c r="E73" s="104"/>
      <c r="F73" s="104"/>
      <c r="G73" s="120"/>
      <c r="H73" s="88"/>
      <c r="I73" s="157"/>
      <c r="J73" s="120"/>
      <c r="K73" s="98"/>
      <c r="L73" s="98"/>
      <c r="M73" s="88"/>
      <c r="N73" s="88"/>
      <c r="O73" s="88"/>
      <c r="P73" s="88"/>
    </row>
    <row r="74" spans="1:16">
      <c r="A74" s="103"/>
      <c r="B74" s="95"/>
      <c r="C74" s="104"/>
      <c r="D74" s="104"/>
      <c r="E74" s="104"/>
      <c r="F74" s="104"/>
      <c r="G74" s="120"/>
      <c r="H74" s="88"/>
      <c r="I74" s="157"/>
      <c r="J74" s="120"/>
      <c r="K74" s="98"/>
      <c r="L74" s="98"/>
      <c r="M74" s="88"/>
      <c r="N74" s="88"/>
      <c r="O74" s="88"/>
      <c r="P74" s="88"/>
    </row>
    <row r="75" spans="1:16" ht="14" thickBot="1">
      <c r="A75" s="140"/>
      <c r="B75" s="88"/>
      <c r="C75" s="95"/>
      <c r="D75" s="95"/>
      <c r="E75" s="120"/>
      <c r="F75" s="120"/>
      <c r="G75" s="120"/>
      <c r="H75" s="88"/>
      <c r="I75" s="120"/>
      <c r="J75" s="120"/>
      <c r="K75" s="88"/>
      <c r="L75" s="132"/>
      <c r="M75" s="88"/>
      <c r="N75" s="88"/>
      <c r="O75" s="88"/>
      <c r="P75" s="88"/>
    </row>
    <row r="76" spans="1:16">
      <c r="A76" s="206" t="s">
        <v>2581</v>
      </c>
      <c r="B76" s="209" t="s">
        <v>1</v>
      </c>
      <c r="C76" s="200" t="s">
        <v>2560</v>
      </c>
      <c r="D76" s="200"/>
      <c r="E76" s="200"/>
      <c r="F76" s="200"/>
      <c r="G76" s="202" t="s">
        <v>2561</v>
      </c>
      <c r="H76" s="200" t="s">
        <v>2562</v>
      </c>
      <c r="I76" s="202" t="s">
        <v>2563</v>
      </c>
      <c r="J76" s="202" t="s">
        <v>2564</v>
      </c>
      <c r="K76" s="200" t="str">
        <f>K50</f>
        <v>Average Equity Risk Premium</v>
      </c>
      <c r="L76" s="212" t="s">
        <v>2566</v>
      </c>
      <c r="M76" s="88"/>
      <c r="N76" s="88"/>
      <c r="O76" s="88"/>
      <c r="P76" s="88"/>
    </row>
    <row r="77" spans="1:16" ht="14.25" customHeight="1">
      <c r="A77" s="207"/>
      <c r="B77" s="210"/>
      <c r="C77" s="201" t="s">
        <v>2567</v>
      </c>
      <c r="D77" s="201"/>
      <c r="E77" s="201"/>
      <c r="F77" s="201"/>
      <c r="G77" s="203"/>
      <c r="H77" s="201"/>
      <c r="I77" s="203"/>
      <c r="J77" s="203"/>
      <c r="K77" s="201"/>
      <c r="L77" s="213"/>
      <c r="M77" s="88"/>
      <c r="N77" s="88"/>
      <c r="O77" s="88"/>
      <c r="P77" s="88"/>
    </row>
    <row r="78" spans="1:16" ht="14.25" customHeight="1">
      <c r="A78" s="208"/>
      <c r="B78" s="211"/>
      <c r="C78" s="148" t="s">
        <v>2568</v>
      </c>
      <c r="D78" s="148" t="s">
        <v>2569</v>
      </c>
      <c r="E78" s="139" t="s">
        <v>2570</v>
      </c>
      <c r="F78" s="139" t="s">
        <v>2571</v>
      </c>
      <c r="G78" s="204"/>
      <c r="H78" s="205"/>
      <c r="I78" s="204"/>
      <c r="J78" s="172">
        <v>0.38</v>
      </c>
      <c r="K78" s="205"/>
      <c r="L78" s="149">
        <f>J78</f>
        <v>0.38</v>
      </c>
      <c r="M78" s="88"/>
      <c r="N78" s="88"/>
      <c r="O78" s="88"/>
      <c r="P78" s="88"/>
    </row>
    <row r="79" spans="1:16" ht="14.25" customHeight="1">
      <c r="A79" s="103" t="s">
        <v>2572</v>
      </c>
      <c r="B79" s="88" t="s">
        <v>430</v>
      </c>
      <c r="C79" s="120">
        <f>_xlfn.XLOOKUP($B79, $B$4:$B$45, C$4:C$45)</f>
        <v>44.306914735654445</v>
      </c>
      <c r="D79" s="120">
        <f>_xlfn.XLOOKUP($B79, $B$4:$B$45, D$4:D$45)</f>
        <v>5.3392152668460762</v>
      </c>
      <c r="E79" s="120">
        <f t="shared" ref="E79:H86" si="17">_xlfn.XLOOKUP($B79, $B$4:$B$45, E$4:E$45)</f>
        <v>50.35386999749948</v>
      </c>
      <c r="F79" s="120">
        <f t="shared" si="17"/>
        <v>0</v>
      </c>
      <c r="G79" s="163">
        <f t="shared" si="17"/>
        <v>1.15571</v>
      </c>
      <c r="H79" s="105">
        <f>_xlfn.XLOOKUP($B79, $B$4:$B$45, H$4:H$45)</f>
        <v>0.245</v>
      </c>
      <c r="I79" s="165">
        <f t="shared" ref="I79:I86" si="18">_xlfn.XLOOKUP($B79, $B$4:$B$45, I$4:I$45)</f>
        <v>0.66253026719921182</v>
      </c>
      <c r="J79" s="165">
        <f>IFERROR(I79*(1+(1-H79)*((1-J$78)/(J$78))),"n/a")</f>
        <v>1.4786629463464513</v>
      </c>
      <c r="K79" s="136">
        <f t="shared" ref="K79:K86" si="19">_xlfn.XLOOKUP($B79, $B$4:$B$45, K$4:K$45)</f>
        <v>9.0615988334979553E-2</v>
      </c>
      <c r="L79" s="105">
        <f t="shared" ref="L79:L86" si="20">IFERROR(K79*(J79-G79),"n/a")</f>
        <v>2.9264700418877312E-2</v>
      </c>
      <c r="M79" s="134"/>
      <c r="N79" s="134"/>
      <c r="O79" s="135"/>
      <c r="P79" s="135"/>
    </row>
    <row r="80" spans="1:16">
      <c r="A80" s="103" t="s">
        <v>2459</v>
      </c>
      <c r="B80" s="88" t="s">
        <v>610</v>
      </c>
      <c r="C80" s="120">
        <f t="shared" ref="C80:D86" si="21">_xlfn.XLOOKUP($B80, $B$4:$B$45, C$4:C$45)</f>
        <v>62.448371719759479</v>
      </c>
      <c r="D80" s="120">
        <f t="shared" si="21"/>
        <v>0</v>
      </c>
      <c r="E80" s="120">
        <f t="shared" si="17"/>
        <v>35.916692549130055</v>
      </c>
      <c r="F80" s="120">
        <f t="shared" si="17"/>
        <v>1.6349357311104638</v>
      </c>
      <c r="G80" s="167">
        <f t="shared" si="17"/>
        <v>0.85877409999999998</v>
      </c>
      <c r="H80" s="132">
        <f t="shared" si="17"/>
        <v>0.21639344262295082</v>
      </c>
      <c r="I80" s="167">
        <f t="shared" si="18"/>
        <v>0.35810200074326537</v>
      </c>
      <c r="J80" s="167">
        <f t="shared" ref="J80:J86" si="22">IFERROR(I80*(1+(1-H80)*((1-J$78)/(J$78))),"n/a")</f>
        <v>0.81594112473064284</v>
      </c>
      <c r="K80" s="132">
        <f t="shared" si="19"/>
        <v>9.0615988334979553E-2</v>
      </c>
      <c r="L80" s="132">
        <f t="shared" si="20"/>
        <v>-3.8813523873605345E-3</v>
      </c>
      <c r="M80" s="134"/>
      <c r="N80" s="134"/>
      <c r="O80" s="135"/>
      <c r="P80" s="135"/>
    </row>
    <row r="81" spans="1:16">
      <c r="A81" s="103" t="s">
        <v>2461</v>
      </c>
      <c r="B81" s="88" t="s">
        <v>652</v>
      </c>
      <c r="C81" s="120">
        <f t="shared" si="21"/>
        <v>46.71986217527315</v>
      </c>
      <c r="D81" s="120">
        <f t="shared" si="21"/>
        <v>1.813483247948497</v>
      </c>
      <c r="E81" s="120">
        <f t="shared" si="17"/>
        <v>51.466654576778346</v>
      </c>
      <c r="F81" s="120">
        <f t="shared" si="17"/>
        <v>0</v>
      </c>
      <c r="G81" s="167">
        <f t="shared" si="17"/>
        <v>0.93412499999999998</v>
      </c>
      <c r="H81" s="132">
        <f t="shared" si="17"/>
        <v>0.23400000000000001</v>
      </c>
      <c r="I81" s="167">
        <f t="shared" si="18"/>
        <v>0.54235734090015209</v>
      </c>
      <c r="J81" s="167">
        <f t="shared" si="22"/>
        <v>1.2201898365325212</v>
      </c>
      <c r="K81" s="132">
        <f t="shared" si="19"/>
        <v>9.0615988334979553E-2</v>
      </c>
      <c r="L81" s="132">
        <f t="shared" si="20"/>
        <v>2.5922047890278778E-2</v>
      </c>
      <c r="M81" s="134"/>
      <c r="N81" s="134"/>
      <c r="O81" s="135"/>
      <c r="P81" s="135"/>
    </row>
    <row r="82" spans="1:16">
      <c r="A82" s="103" t="s">
        <v>2573</v>
      </c>
      <c r="B82" s="88" t="s">
        <v>637</v>
      </c>
      <c r="C82" s="120">
        <f t="shared" si="21"/>
        <v>47.355037157675632</v>
      </c>
      <c r="D82" s="120">
        <f t="shared" si="21"/>
        <v>0.31757233184007161</v>
      </c>
      <c r="E82" s="120">
        <f t="shared" si="17"/>
        <v>52.327390510484292</v>
      </c>
      <c r="F82" s="120">
        <f t="shared" si="17"/>
        <v>0</v>
      </c>
      <c r="G82" s="167">
        <f t="shared" si="17"/>
        <v>0.72239589999999998</v>
      </c>
      <c r="H82" s="132">
        <f t="shared" si="17"/>
        <v>0.14599999999999999</v>
      </c>
      <c r="I82" s="167">
        <f t="shared" si="18"/>
        <v>0.40628948861517949</v>
      </c>
      <c r="J82" s="167">
        <f t="shared" si="22"/>
        <v>0.97240043185719327</v>
      </c>
      <c r="K82" s="132">
        <f t="shared" si="19"/>
        <v>9.0615988334979553E-2</v>
      </c>
      <c r="L82" s="132">
        <f t="shared" si="20"/>
        <v>2.265440774246345E-2</v>
      </c>
      <c r="M82" s="134"/>
      <c r="N82" s="134"/>
      <c r="O82" s="135"/>
      <c r="P82" s="135"/>
    </row>
    <row r="83" spans="1:16">
      <c r="A83" s="103" t="s">
        <v>2579</v>
      </c>
      <c r="B83" s="88" t="s">
        <v>2380</v>
      </c>
      <c r="C83" s="120">
        <f t="shared" si="21"/>
        <v>39.79750803770947</v>
      </c>
      <c r="D83" s="120">
        <f t="shared" si="21"/>
        <v>0</v>
      </c>
      <c r="E83" s="120">
        <f t="shared" si="17"/>
        <v>60.202491962290537</v>
      </c>
      <c r="F83" s="120">
        <f t="shared" si="17"/>
        <v>0</v>
      </c>
      <c r="G83" s="167">
        <f t="shared" si="17"/>
        <v>0.82918805364407167</v>
      </c>
      <c r="H83" s="132">
        <f t="shared" si="17"/>
        <v>0.114</v>
      </c>
      <c r="I83" s="167">
        <f t="shared" si="18"/>
        <v>0.52291613678608884</v>
      </c>
      <c r="J83" s="167">
        <f t="shared" si="22"/>
        <v>1.2788326953632845</v>
      </c>
      <c r="K83" s="132">
        <f t="shared" si="19"/>
        <v>9.0615988334979553E-2</v>
      </c>
      <c r="L83" s="132">
        <f t="shared" si="20"/>
        <v>4.0744993608914246E-2</v>
      </c>
      <c r="M83" s="134"/>
      <c r="N83" s="134"/>
      <c r="O83" s="135"/>
      <c r="P83" s="135"/>
    </row>
    <row r="84" spans="1:16">
      <c r="A84" s="103" t="s">
        <v>2387</v>
      </c>
      <c r="B84" s="88" t="s">
        <v>2388</v>
      </c>
      <c r="C84" s="120">
        <f t="shared" si="21"/>
        <v>52.398287974465219</v>
      </c>
      <c r="D84" s="120">
        <f t="shared" si="21"/>
        <v>0.63958919925185598</v>
      </c>
      <c r="E84" s="120">
        <f t="shared" si="17"/>
        <v>46.962122826282929</v>
      </c>
      <c r="F84" s="120">
        <f t="shared" si="17"/>
        <v>0</v>
      </c>
      <c r="G84" s="167">
        <f t="shared" si="17"/>
        <v>0.74464980030632322</v>
      </c>
      <c r="H84" s="132">
        <f t="shared" si="17"/>
        <v>0.25700000000000001</v>
      </c>
      <c r="I84" s="167">
        <f t="shared" si="18"/>
        <v>0.40489328183167222</v>
      </c>
      <c r="J84" s="167">
        <f t="shared" si="22"/>
        <v>0.89573049027529872</v>
      </c>
      <c r="K84" s="132">
        <f t="shared" si="19"/>
        <v>9.0615988334979553E-2</v>
      </c>
      <c r="L84" s="132">
        <f t="shared" si="20"/>
        <v>1.3690326039869347E-2</v>
      </c>
      <c r="M84" s="134"/>
      <c r="N84" s="134"/>
      <c r="O84" s="135"/>
      <c r="P84" s="135"/>
    </row>
    <row r="85" spans="1:16">
      <c r="A85" s="103" t="s">
        <v>2538</v>
      </c>
      <c r="B85" s="88" t="s">
        <v>2539</v>
      </c>
      <c r="C85" s="120">
        <f t="shared" si="21"/>
        <v>39.54935552780416</v>
      </c>
      <c r="D85" s="120">
        <f t="shared" si="21"/>
        <v>4.0505407783519159E-4</v>
      </c>
      <c r="E85" s="120">
        <f t="shared" si="17"/>
        <v>60.450239418118002</v>
      </c>
      <c r="F85" s="120">
        <f t="shared" si="17"/>
        <v>0</v>
      </c>
      <c r="G85" s="167">
        <f t="shared" si="17"/>
        <v>0.83247976724837924</v>
      </c>
      <c r="H85" s="132">
        <f t="shared" si="17"/>
        <v>0.14899999999999999</v>
      </c>
      <c r="I85" s="167">
        <f t="shared" si="18"/>
        <v>0.53474826981260637</v>
      </c>
      <c r="J85" s="167">
        <f t="shared" si="22"/>
        <v>1.2772321701245204</v>
      </c>
      <c r="K85" s="132">
        <f t="shared" si="19"/>
        <v>9.0615988334979553E-2</v>
      </c>
      <c r="L85" s="132">
        <f t="shared" si="20"/>
        <v>4.0301678550978534E-2</v>
      </c>
      <c r="M85" s="134"/>
      <c r="N85" s="134"/>
      <c r="O85" s="135"/>
      <c r="P85" s="135"/>
    </row>
    <row r="86" spans="1:16">
      <c r="A86" s="155" t="s">
        <v>2540</v>
      </c>
      <c r="B86" s="88" t="s">
        <v>2541</v>
      </c>
      <c r="C86" s="120">
        <f t="shared" si="21"/>
        <v>42.863774092268784</v>
      </c>
      <c r="D86" s="120">
        <f t="shared" si="21"/>
        <v>10.86671947546769</v>
      </c>
      <c r="E86" s="120">
        <f t="shared" si="17"/>
        <v>46.269506432263526</v>
      </c>
      <c r="F86" s="120">
        <f t="shared" si="17"/>
        <v>0</v>
      </c>
      <c r="G86" s="167">
        <f t="shared" si="17"/>
        <v>0.86346076191264043</v>
      </c>
      <c r="H86" s="132">
        <f t="shared" si="17"/>
        <v>0.151</v>
      </c>
      <c r="I86" s="167">
        <f t="shared" si="18"/>
        <v>0.43479529949811913</v>
      </c>
      <c r="J86" s="167">
        <f t="shared" si="22"/>
        <v>1.03707832515554</v>
      </c>
      <c r="K86" s="132">
        <f t="shared" si="19"/>
        <v>9.0615988334979553E-2</v>
      </c>
      <c r="L86" s="132">
        <f t="shared" si="20"/>
        <v>1.5732527085566161E-2</v>
      </c>
      <c r="M86" s="134"/>
      <c r="N86" s="134"/>
      <c r="O86" s="135"/>
      <c r="P86" s="135"/>
    </row>
    <row r="87" spans="1:16" ht="14" thickBot="1">
      <c r="A87" s="154" t="s">
        <v>2575</v>
      </c>
      <c r="B87" s="106"/>
      <c r="C87" s="107"/>
      <c r="D87" s="107"/>
      <c r="E87" s="107">
        <f>AVERAGE(E79:E86)</f>
        <v>50.493621034105892</v>
      </c>
      <c r="F87" s="107"/>
      <c r="G87" s="107">
        <f>AVERAGE(G79:G86)</f>
        <v>0.8675979228889269</v>
      </c>
      <c r="H87" s="108"/>
      <c r="I87" s="170"/>
      <c r="J87" s="166"/>
      <c r="K87" s="143"/>
      <c r="L87" s="184">
        <f>AVERAGE(L79:L86)</f>
        <v>2.3053666118698413E-2</v>
      </c>
      <c r="M87" s="88"/>
      <c r="N87" s="88"/>
      <c r="O87" s="88"/>
      <c r="P87" s="88"/>
    </row>
    <row r="88" spans="1:16">
      <c r="A88" s="103"/>
      <c r="B88" s="95"/>
      <c r="C88" s="104"/>
      <c r="D88" s="104"/>
      <c r="E88" s="104"/>
      <c r="F88" s="104"/>
      <c r="G88" s="120"/>
      <c r="H88" s="88"/>
      <c r="I88" s="171"/>
      <c r="J88" s="120"/>
      <c r="K88" s="144"/>
      <c r="L88" s="144"/>
      <c r="M88" s="88"/>
      <c r="N88" s="88"/>
      <c r="O88" s="88"/>
      <c r="P88" s="88"/>
    </row>
    <row r="89" spans="1:16">
      <c r="A89" s="103"/>
      <c r="B89" s="95"/>
      <c r="C89" s="104"/>
      <c r="D89" s="104"/>
      <c r="E89" s="104"/>
      <c r="F89" s="104"/>
      <c r="G89" s="120"/>
      <c r="H89" s="88"/>
      <c r="I89" s="171"/>
      <c r="J89" s="120"/>
      <c r="K89" s="144"/>
      <c r="L89" s="144"/>
      <c r="M89" s="88"/>
      <c r="N89" s="88"/>
      <c r="O89" s="88"/>
      <c r="P89" s="88"/>
    </row>
    <row r="90" spans="1:16">
      <c r="A90" s="103"/>
      <c r="B90" s="88"/>
      <c r="C90" s="88"/>
      <c r="D90" s="88"/>
      <c r="E90" s="120"/>
      <c r="F90" s="120"/>
      <c r="G90" s="120"/>
      <c r="H90" s="88"/>
      <c r="I90" s="120"/>
      <c r="J90" s="120"/>
      <c r="K90" s="88"/>
      <c r="L90" s="132"/>
      <c r="M90" s="87"/>
      <c r="N90" s="87"/>
      <c r="O90" s="87"/>
      <c r="P90" s="87"/>
    </row>
    <row r="91" spans="1:16">
      <c r="A91" s="103"/>
      <c r="B91" s="88"/>
      <c r="C91" s="88"/>
      <c r="D91" s="88"/>
      <c r="E91" s="120"/>
      <c r="F91" s="120"/>
      <c r="G91" s="120"/>
      <c r="H91" s="88"/>
      <c r="I91" s="120"/>
      <c r="J91" s="120"/>
      <c r="K91" s="88"/>
      <c r="L91" s="132"/>
      <c r="M91" s="87"/>
      <c r="N91" s="87"/>
      <c r="O91" s="87"/>
      <c r="P91" s="87"/>
    </row>
    <row r="92" spans="1:16" ht="14" thickBot="1">
      <c r="A92" s="103"/>
      <c r="B92" s="88"/>
      <c r="C92" s="88"/>
      <c r="D92" s="88"/>
      <c r="E92" s="120"/>
      <c r="F92" s="120"/>
      <c r="G92" s="120"/>
      <c r="H92" s="88"/>
      <c r="I92" s="120"/>
      <c r="J92" s="120"/>
      <c r="K92" s="88"/>
      <c r="L92" s="132"/>
      <c r="M92" s="87"/>
      <c r="N92" s="87"/>
      <c r="O92" s="87"/>
      <c r="P92" s="87"/>
    </row>
    <row r="93" spans="1:16">
      <c r="A93" s="206" t="s">
        <v>2582</v>
      </c>
      <c r="B93" s="209" t="s">
        <v>1</v>
      </c>
      <c r="C93" s="200" t="s">
        <v>2560</v>
      </c>
      <c r="D93" s="200"/>
      <c r="E93" s="200"/>
      <c r="F93" s="200"/>
      <c r="G93" s="202" t="s">
        <v>2561</v>
      </c>
      <c r="H93" s="200" t="s">
        <v>2562</v>
      </c>
      <c r="I93" s="202" t="s">
        <v>2563</v>
      </c>
      <c r="J93" s="202" t="s">
        <v>2564</v>
      </c>
      <c r="K93" s="200" t="s">
        <v>2583</v>
      </c>
      <c r="L93" s="212" t="s">
        <v>2566</v>
      </c>
      <c r="M93" s="87"/>
      <c r="N93" s="87"/>
      <c r="O93" s="87"/>
      <c r="P93" s="87"/>
    </row>
    <row r="94" spans="1:16" ht="14.25" customHeight="1">
      <c r="A94" s="207"/>
      <c r="B94" s="210"/>
      <c r="C94" s="201" t="s">
        <v>2567</v>
      </c>
      <c r="D94" s="201"/>
      <c r="E94" s="201"/>
      <c r="F94" s="201"/>
      <c r="G94" s="203"/>
      <c r="H94" s="201"/>
      <c r="I94" s="203"/>
      <c r="J94" s="203"/>
      <c r="K94" s="201"/>
      <c r="L94" s="213"/>
      <c r="M94" s="87"/>
      <c r="N94" s="87"/>
      <c r="O94" s="87"/>
      <c r="P94" s="87"/>
    </row>
    <row r="95" spans="1:16">
      <c r="A95" s="208"/>
      <c r="B95" s="211"/>
      <c r="C95" s="148" t="s">
        <v>2568</v>
      </c>
      <c r="D95" s="148" t="s">
        <v>2569</v>
      </c>
      <c r="E95" s="139" t="s">
        <v>2570</v>
      </c>
      <c r="F95" s="139" t="s">
        <v>2571</v>
      </c>
      <c r="G95" s="204"/>
      <c r="H95" s="205"/>
      <c r="I95" s="204"/>
      <c r="J95" s="173" t="s">
        <v>2594</v>
      </c>
      <c r="K95" s="205"/>
      <c r="L95" s="149" t="str">
        <f>J95</f>
        <v>45% or 38%</v>
      </c>
      <c r="M95" s="87"/>
      <c r="N95" s="87"/>
      <c r="O95" s="87"/>
      <c r="P95" s="87"/>
    </row>
    <row r="96" spans="1:16">
      <c r="A96" s="192" t="s">
        <v>2572</v>
      </c>
      <c r="B96" s="193" t="s">
        <v>430</v>
      </c>
      <c r="C96" s="120">
        <f>_xlfn.XLOOKUP($B96, $B$4:$B$45, C$4:C$45)</f>
        <v>44.306914735654445</v>
      </c>
      <c r="D96" s="120">
        <f>_xlfn.XLOOKUP($B96, $B$4:$B$45, D$4:D$45)</f>
        <v>5.3392152668460762</v>
      </c>
      <c r="E96" s="120">
        <f t="shared" ref="E96:K111" si="23">_xlfn.XLOOKUP($B96, $B$4:$B$45, E$4:E$45)</f>
        <v>50.35386999749948</v>
      </c>
      <c r="F96" s="120">
        <f t="shared" si="23"/>
        <v>0</v>
      </c>
      <c r="G96" s="163">
        <f t="shared" si="23"/>
        <v>1.15571</v>
      </c>
      <c r="H96" s="105">
        <f>_xlfn.XLOOKUP($B96, $B$4:$B$45, H$4:H$45)</f>
        <v>0.245</v>
      </c>
      <c r="I96" s="167">
        <f t="shared" ref="I96:K120" si="24">_xlfn.XLOOKUP($B96, $B$4:$B$45, I$4:I$45)</f>
        <v>0.66253026719921182</v>
      </c>
      <c r="J96" s="163">
        <f t="shared" si="23"/>
        <v>1.2738984748758178</v>
      </c>
      <c r="K96" s="136">
        <f t="shared" si="23"/>
        <v>9.0615988334979553E-2</v>
      </c>
      <c r="L96" s="105">
        <f t="shared" ref="L96:L120" si="25">IFERROR(K96*(J96-G96),"n/a")</f>
        <v>1.0709765460676124E-2</v>
      </c>
      <c r="M96" s="87"/>
      <c r="N96" s="87"/>
      <c r="O96" s="87"/>
      <c r="P96" s="87"/>
    </row>
    <row r="97" spans="1:16">
      <c r="A97" s="192" t="s">
        <v>2459</v>
      </c>
      <c r="B97" s="193" t="s">
        <v>610</v>
      </c>
      <c r="C97" s="137">
        <f t="shared" ref="C97:H120" si="26">_xlfn.XLOOKUP($B97, $B$4:$B$45, C$4:C$45)</f>
        <v>62.448371719759479</v>
      </c>
      <c r="D97" s="137">
        <f t="shared" si="26"/>
        <v>0</v>
      </c>
      <c r="E97" s="137">
        <f t="shared" si="23"/>
        <v>35.916692549130055</v>
      </c>
      <c r="F97" s="137">
        <f t="shared" si="23"/>
        <v>1.6349357311104638</v>
      </c>
      <c r="G97" s="120">
        <f t="shared" si="23"/>
        <v>0.85877409999999998</v>
      </c>
      <c r="H97" s="132">
        <f t="shared" si="23"/>
        <v>0.21639344262295082</v>
      </c>
      <c r="I97" s="120">
        <f t="shared" si="24"/>
        <v>0.35810200074326537</v>
      </c>
      <c r="J97" s="120">
        <f t="shared" si="23"/>
        <v>0.7010710936226987</v>
      </c>
      <c r="K97" s="145">
        <f t="shared" si="23"/>
        <v>9.0615988334979553E-2</v>
      </c>
      <c r="L97" s="180">
        <f t="shared" si="25"/>
        <v>-1.4290413786276738E-2</v>
      </c>
      <c r="M97" s="87"/>
      <c r="N97" s="87"/>
      <c r="O97" s="87"/>
      <c r="P97" s="87"/>
    </row>
    <row r="98" spans="1:16">
      <c r="A98" s="192" t="s">
        <v>2460</v>
      </c>
      <c r="B98" s="193" t="s">
        <v>445</v>
      </c>
      <c r="C98" s="137">
        <f t="shared" si="26"/>
        <v>48.728250475051112</v>
      </c>
      <c r="D98" s="137">
        <f t="shared" si="26"/>
        <v>4.8737641917640868</v>
      </c>
      <c r="E98" s="137">
        <f t="shared" si="23"/>
        <v>46.397985333184806</v>
      </c>
      <c r="F98" s="137">
        <f t="shared" si="23"/>
        <v>0</v>
      </c>
      <c r="G98" s="120">
        <f t="shared" si="23"/>
        <v>0.71881010000000001</v>
      </c>
      <c r="H98" s="132">
        <f t="shared" si="23"/>
        <v>0.11</v>
      </c>
      <c r="I98" s="120">
        <f t="shared" si="24"/>
        <v>0.3544102165601925</v>
      </c>
      <c r="J98" s="120">
        <f t="shared" si="23"/>
        <v>0.73992977435177987</v>
      </c>
      <c r="K98" s="145">
        <f t="shared" si="23"/>
        <v>9.0615988334979553E-2</v>
      </c>
      <c r="L98" s="180">
        <f t="shared" si="25"/>
        <v>1.9137801646994506E-3</v>
      </c>
      <c r="M98" s="87"/>
      <c r="N98" s="87"/>
      <c r="O98" s="87"/>
      <c r="P98" s="87"/>
    </row>
    <row r="99" spans="1:16">
      <c r="A99" s="192" t="s">
        <v>2461</v>
      </c>
      <c r="B99" s="193" t="s">
        <v>652</v>
      </c>
      <c r="C99" s="137">
        <f t="shared" si="26"/>
        <v>46.71986217527315</v>
      </c>
      <c r="D99" s="137">
        <f t="shared" si="26"/>
        <v>1.813483247948497</v>
      </c>
      <c r="E99" s="137">
        <f t="shared" si="23"/>
        <v>51.466654576778346</v>
      </c>
      <c r="F99" s="137">
        <f t="shared" si="23"/>
        <v>0</v>
      </c>
      <c r="G99" s="120">
        <f t="shared" si="23"/>
        <v>0.93412499999999998</v>
      </c>
      <c r="H99" s="132">
        <f t="shared" si="23"/>
        <v>0.23400000000000001</v>
      </c>
      <c r="I99" s="120">
        <f t="shared" si="24"/>
        <v>0.54235734090015209</v>
      </c>
      <c r="J99" s="120">
        <f t="shared" si="23"/>
        <v>1.0501243358362278</v>
      </c>
      <c r="K99" s="145">
        <f t="shared" si="23"/>
        <v>9.0615988334979553E-2</v>
      </c>
      <c r="L99" s="180">
        <f t="shared" si="25"/>
        <v>1.0511394463000994E-2</v>
      </c>
      <c r="M99" s="87"/>
      <c r="N99" s="87"/>
      <c r="O99" s="87"/>
      <c r="P99" s="87"/>
    </row>
    <row r="100" spans="1:16">
      <c r="A100" s="103" t="s">
        <v>2573</v>
      </c>
      <c r="B100" s="88" t="s">
        <v>637</v>
      </c>
      <c r="C100" s="120">
        <f t="shared" si="26"/>
        <v>47.355037157675632</v>
      </c>
      <c r="D100" s="120">
        <f t="shared" si="26"/>
        <v>0.31757233184007161</v>
      </c>
      <c r="E100" s="120">
        <f t="shared" si="23"/>
        <v>52.327390510484292</v>
      </c>
      <c r="F100" s="120">
        <f t="shared" si="23"/>
        <v>0</v>
      </c>
      <c r="G100" s="120">
        <f t="shared" si="23"/>
        <v>0.72239589999999998</v>
      </c>
      <c r="H100" s="132">
        <f t="shared" si="23"/>
        <v>0.14599999999999999</v>
      </c>
      <c r="I100" s="120">
        <f t="shared" si="24"/>
        <v>0.40628948861517949</v>
      </c>
      <c r="J100" s="120">
        <f>_xlfn.XLOOKUP($B100, $B$4:$B$45, J$4:J$45)</f>
        <v>0.83036542817640124</v>
      </c>
      <c r="K100" s="130">
        <f t="shared" si="23"/>
        <v>9.0615988334979553E-2</v>
      </c>
      <c r="L100" s="132">
        <f t="shared" si="25"/>
        <v>9.7837655057660226E-3</v>
      </c>
      <c r="M100" s="87"/>
      <c r="N100" s="87"/>
      <c r="O100" s="87"/>
      <c r="P100" s="87"/>
    </row>
    <row r="101" spans="1:16">
      <c r="A101" s="103" t="s">
        <v>2574</v>
      </c>
      <c r="B101" s="88" t="s">
        <v>2504</v>
      </c>
      <c r="C101" s="120">
        <f t="shared" si="26"/>
        <v>53.684566532636879</v>
      </c>
      <c r="D101" s="120">
        <f t="shared" si="26"/>
        <v>1.048438615610086</v>
      </c>
      <c r="E101" s="120">
        <f t="shared" si="23"/>
        <v>45.266994851753033</v>
      </c>
      <c r="F101" s="120">
        <f t="shared" si="23"/>
        <v>0</v>
      </c>
      <c r="G101" s="120">
        <f t="shared" si="23"/>
        <v>0.69190260000000003</v>
      </c>
      <c r="H101" s="132">
        <f t="shared" si="23"/>
        <v>0.13993710691823899</v>
      </c>
      <c r="I101" s="120">
        <f t="shared" si="24"/>
        <v>0.33918207448428689</v>
      </c>
      <c r="J101" s="120">
        <f t="shared" si="23"/>
        <v>0.69572619436058925</v>
      </c>
      <c r="K101" s="130">
        <f t="shared" si="23"/>
        <v>9.0615988334979553E-2</v>
      </c>
      <c r="L101" s="132">
        <f t="shared" si="25"/>
        <v>3.4647878197684553E-4</v>
      </c>
      <c r="M101" s="87"/>
      <c r="N101" s="87"/>
      <c r="O101" s="87"/>
      <c r="P101" s="87"/>
    </row>
    <row r="102" spans="1:16">
      <c r="A102" s="103" t="s">
        <v>2400</v>
      </c>
      <c r="B102" s="88" t="s">
        <v>2401</v>
      </c>
      <c r="C102" s="120">
        <f t="shared" si="26"/>
        <v>46.885162988888972</v>
      </c>
      <c r="D102" s="120">
        <f t="shared" si="26"/>
        <v>2.1180154043814552</v>
      </c>
      <c r="E102" s="120">
        <f t="shared" si="23"/>
        <v>50.996821606729569</v>
      </c>
      <c r="F102" s="120">
        <f t="shared" si="23"/>
        <v>0</v>
      </c>
      <c r="G102" s="120">
        <f t="shared" si="23"/>
        <v>0.87370040181842501</v>
      </c>
      <c r="H102" s="132">
        <f t="shared" si="23"/>
        <v>6.0000000000000001E-3</v>
      </c>
      <c r="I102" s="120">
        <f t="shared" si="24"/>
        <v>0.44687332809757929</v>
      </c>
      <c r="J102" s="120">
        <f t="shared" si="23"/>
        <v>0.98977476914412732</v>
      </c>
      <c r="K102" s="130">
        <f t="shared" si="23"/>
        <v>9.0615988334979553E-2</v>
      </c>
      <c r="L102" s="132">
        <f t="shared" si="25"/>
        <v>1.0518193515575973E-2</v>
      </c>
      <c r="M102" s="87"/>
      <c r="N102" s="87"/>
      <c r="O102" s="87"/>
      <c r="P102" s="87"/>
    </row>
    <row r="103" spans="1:16">
      <c r="A103" s="103" t="s">
        <v>2402</v>
      </c>
      <c r="B103" s="88" t="s">
        <v>1930</v>
      </c>
      <c r="C103" s="120">
        <f t="shared" si="26"/>
        <v>44.137938601801629</v>
      </c>
      <c r="D103" s="120">
        <f t="shared" si="26"/>
        <v>3.6925678334463385</v>
      </c>
      <c r="E103" s="120">
        <f t="shared" si="23"/>
        <v>51.679468047752806</v>
      </c>
      <c r="F103" s="120">
        <f t="shared" si="23"/>
        <v>0.49002551699922514</v>
      </c>
      <c r="G103" s="120">
        <f t="shared" si="23"/>
        <v>0.83927651394938352</v>
      </c>
      <c r="H103" s="132">
        <f t="shared" si="23"/>
        <v>0.12</v>
      </c>
      <c r="I103" s="120">
        <f t="shared" si="24"/>
        <v>0.46043159752266721</v>
      </c>
      <c r="J103" s="120">
        <f t="shared" si="23"/>
        <v>0.95565136019149166</v>
      </c>
      <c r="K103" s="130">
        <f t="shared" si="23"/>
        <v>9.0615988334979553E-2</v>
      </c>
      <c r="L103" s="132">
        <f t="shared" si="25"/>
        <v>1.054542170955991E-2</v>
      </c>
      <c r="M103" s="87"/>
      <c r="N103" s="87"/>
      <c r="O103" s="87"/>
      <c r="P103" s="87"/>
    </row>
    <row r="104" spans="1:16">
      <c r="A104" s="103" t="s">
        <v>2403</v>
      </c>
      <c r="B104" s="88" t="s">
        <v>946</v>
      </c>
      <c r="C104" s="120">
        <f t="shared" si="26"/>
        <v>50.695105118023719</v>
      </c>
      <c r="D104" s="120">
        <f t="shared" si="26"/>
        <v>1.6546185080761218</v>
      </c>
      <c r="E104" s="120">
        <f t="shared" si="23"/>
        <v>47.650276373900155</v>
      </c>
      <c r="F104" s="120">
        <f t="shared" si="23"/>
        <v>0</v>
      </c>
      <c r="G104" s="120">
        <f t="shared" si="23"/>
        <v>0.84497239355831155</v>
      </c>
      <c r="H104" s="132">
        <f t="shared" si="23"/>
        <v>0.21</v>
      </c>
      <c r="I104" s="120">
        <f t="shared" si="24"/>
        <v>0.45236181432771438</v>
      </c>
      <c r="J104" s="120">
        <f t="shared" si="23"/>
        <v>0.88914227727302975</v>
      </c>
      <c r="K104" s="130">
        <f t="shared" si="23"/>
        <v>9.0615988334979553E-2</v>
      </c>
      <c r="L104" s="132">
        <f t="shared" si="25"/>
        <v>4.0024976674503075E-3</v>
      </c>
      <c r="M104" s="87"/>
      <c r="N104" s="87"/>
      <c r="O104" s="87"/>
      <c r="P104" s="87"/>
    </row>
    <row r="105" spans="1:16">
      <c r="A105" s="103" t="s">
        <v>2415</v>
      </c>
      <c r="B105" s="88" t="s">
        <v>763</v>
      </c>
      <c r="C105" s="120">
        <f t="shared" si="26"/>
        <v>45.855890300126745</v>
      </c>
      <c r="D105" s="120">
        <f t="shared" si="26"/>
        <v>2.708600944757023</v>
      </c>
      <c r="E105" s="120">
        <f t="shared" si="23"/>
        <v>51.435508755116231</v>
      </c>
      <c r="F105" s="120">
        <f t="shared" si="23"/>
        <v>0</v>
      </c>
      <c r="G105" s="120">
        <f t="shared" si="23"/>
        <v>0.82378961834926434</v>
      </c>
      <c r="H105" s="132">
        <f t="shared" si="23"/>
        <v>9.1999999999999998E-2</v>
      </c>
      <c r="I105" s="120">
        <f t="shared" si="24"/>
        <v>0.4435373330010588</v>
      </c>
      <c r="J105" s="120">
        <f t="shared" si="23"/>
        <v>0.9357652087804561</v>
      </c>
      <c r="K105" s="130">
        <f t="shared" si="23"/>
        <v>9.0615988334979553E-2</v>
      </c>
      <c r="L105" s="132">
        <f t="shared" si="25"/>
        <v>1.0146778796315321E-2</v>
      </c>
      <c r="M105" s="87"/>
      <c r="N105" s="87"/>
      <c r="O105" s="87"/>
      <c r="P105" s="87"/>
    </row>
    <row r="106" spans="1:16">
      <c r="A106" s="103" t="s">
        <v>2420</v>
      </c>
      <c r="B106" s="88" t="s">
        <v>1115</v>
      </c>
      <c r="C106" s="120">
        <f t="shared" si="26"/>
        <v>47.990985455774066</v>
      </c>
      <c r="D106" s="120">
        <f t="shared" si="26"/>
        <v>3.1016018350390078E-3</v>
      </c>
      <c r="E106" s="120">
        <f t="shared" si="23"/>
        <v>51.911648572894606</v>
      </c>
      <c r="F106" s="120">
        <f t="shared" si="23"/>
        <v>9.4264369496283557E-2</v>
      </c>
      <c r="G106" s="120">
        <f t="shared" si="23"/>
        <v>0.97465009387607859</v>
      </c>
      <c r="H106" s="132">
        <f t="shared" si="23"/>
        <v>0.161</v>
      </c>
      <c r="I106" s="120">
        <f t="shared" si="24"/>
        <v>0.54841657436860292</v>
      </c>
      <c r="J106" s="120">
        <f t="shared" si="23"/>
        <v>1.1107873037961402</v>
      </c>
      <c r="K106" s="130">
        <f t="shared" si="23"/>
        <v>9.0615988334979553E-2</v>
      </c>
      <c r="L106" s="132">
        <f t="shared" si="25"/>
        <v>1.2336207826072967E-2</v>
      </c>
      <c r="M106" s="87"/>
      <c r="N106" s="87"/>
      <c r="O106" s="87"/>
      <c r="P106" s="87"/>
    </row>
    <row r="107" spans="1:16">
      <c r="A107" s="103" t="s">
        <v>1328</v>
      </c>
      <c r="B107" s="88" t="s">
        <v>764</v>
      </c>
      <c r="C107" s="120">
        <f t="shared" si="26"/>
        <v>41.03249822202735</v>
      </c>
      <c r="D107" s="120">
        <f t="shared" si="26"/>
        <v>3.9376742073792692</v>
      </c>
      <c r="E107" s="120">
        <f t="shared" si="23"/>
        <v>54.436051094018232</v>
      </c>
      <c r="F107" s="120">
        <f t="shared" si="23"/>
        <v>0.59377647657514498</v>
      </c>
      <c r="G107" s="120">
        <f t="shared" si="23"/>
        <v>0.90169525929291461</v>
      </c>
      <c r="H107" s="132">
        <f t="shared" si="23"/>
        <v>0.19800000000000001</v>
      </c>
      <c r="I107" s="120">
        <f t="shared" si="24"/>
        <v>0.53952105767404257</v>
      </c>
      <c r="J107" s="120">
        <f t="shared" si="23"/>
        <v>1.0683715877629762</v>
      </c>
      <c r="K107" s="130">
        <f t="shared" si="23"/>
        <v>9.0615988334979553E-2</v>
      </c>
      <c r="L107" s="132">
        <f t="shared" si="25"/>
        <v>1.5103540236360326E-2</v>
      </c>
      <c r="M107" s="87"/>
      <c r="N107" s="87"/>
      <c r="O107" s="87"/>
      <c r="P107" s="87"/>
    </row>
    <row r="108" spans="1:16">
      <c r="A108" s="103" t="s">
        <v>2421</v>
      </c>
      <c r="B108" s="88" t="s">
        <v>1366</v>
      </c>
      <c r="C108" s="120">
        <f t="shared" si="26"/>
        <v>45.657238909721279</v>
      </c>
      <c r="D108" s="120">
        <f t="shared" si="26"/>
        <v>2.292903089536579</v>
      </c>
      <c r="E108" s="120">
        <f t="shared" si="23"/>
        <v>52.049858000742141</v>
      </c>
      <c r="F108" s="120">
        <f t="shared" si="23"/>
        <v>0</v>
      </c>
      <c r="G108" s="120">
        <f t="shared" si="23"/>
        <v>0.98249693606702992</v>
      </c>
      <c r="H108" s="132">
        <f t="shared" si="23"/>
        <v>0.13800000000000001</v>
      </c>
      <c r="I108" s="120">
        <f t="shared" si="24"/>
        <v>0.54762527978529307</v>
      </c>
      <c r="J108" s="120">
        <f t="shared" si="23"/>
        <v>1.1245789356657541</v>
      </c>
      <c r="K108" s="130">
        <f t="shared" si="23"/>
        <v>9.0615988334979553E-2</v>
      </c>
      <c r="L108" s="132">
        <f t="shared" si="25"/>
        <v>1.2874900818248556E-2</v>
      </c>
      <c r="M108" s="87"/>
      <c r="N108" s="87"/>
      <c r="O108" s="87"/>
      <c r="P108" s="87"/>
    </row>
    <row r="109" spans="1:16">
      <c r="A109" s="103" t="s">
        <v>2526</v>
      </c>
      <c r="B109" s="88" t="s">
        <v>2527</v>
      </c>
      <c r="C109" s="120">
        <f t="shared" si="26"/>
        <v>37.11398538865344</v>
      </c>
      <c r="D109" s="120">
        <f t="shared" si="26"/>
        <v>6.9546894248985778</v>
      </c>
      <c r="E109" s="120">
        <f t="shared" si="23"/>
        <v>55.931325186447992</v>
      </c>
      <c r="F109" s="120">
        <f t="shared" si="23"/>
        <v>0</v>
      </c>
      <c r="G109" s="120">
        <f t="shared" si="23"/>
        <v>0.8927250421094256</v>
      </c>
      <c r="H109" s="132">
        <f t="shared" si="23"/>
        <v>0.09</v>
      </c>
      <c r="I109" s="120">
        <f t="shared" si="24"/>
        <v>0.51993448780371287</v>
      </c>
      <c r="J109" s="120">
        <f>_xlfn.XLOOKUP($B109, $B$4:$B$45, J$4:J$45)</f>
        <v>1.0982171792387314</v>
      </c>
      <c r="K109" s="130">
        <f t="shared" si="23"/>
        <v>9.0615988334979553E-2</v>
      </c>
      <c r="L109" s="132">
        <f t="shared" si="25"/>
        <v>1.8620873101039194E-2</v>
      </c>
      <c r="M109" s="87"/>
      <c r="N109" s="87"/>
      <c r="O109" s="87"/>
      <c r="P109" s="87"/>
    </row>
    <row r="110" spans="1:16">
      <c r="A110" s="103" t="s">
        <v>2432</v>
      </c>
      <c r="B110" s="88" t="s">
        <v>1138</v>
      </c>
      <c r="C110" s="120">
        <f t="shared" si="26"/>
        <v>39.63717632338421</v>
      </c>
      <c r="D110" s="120">
        <f t="shared" si="26"/>
        <v>4.092051939106395</v>
      </c>
      <c r="E110" s="120">
        <f t="shared" si="23"/>
        <v>56.270771737509392</v>
      </c>
      <c r="F110" s="120">
        <f t="shared" si="23"/>
        <v>0</v>
      </c>
      <c r="G110" s="120">
        <f t="shared" si="23"/>
        <v>0.91219232010489681</v>
      </c>
      <c r="H110" s="132">
        <f t="shared" si="23"/>
        <v>0.125</v>
      </c>
      <c r="I110" s="120">
        <f t="shared" si="24"/>
        <v>0.54297765026569156</v>
      </c>
      <c r="J110" s="120">
        <f t="shared" si="23"/>
        <v>1.123662081799834</v>
      </c>
      <c r="K110" s="130">
        <f t="shared" si="23"/>
        <v>9.0615988334979553E-2</v>
      </c>
      <c r="L110" s="132">
        <f t="shared" si="25"/>
        <v>1.9162541458949328E-2</v>
      </c>
      <c r="M110" s="87"/>
      <c r="N110" s="87"/>
      <c r="O110" s="87"/>
      <c r="P110" s="87"/>
    </row>
    <row r="111" spans="1:16">
      <c r="A111" s="103" t="s">
        <v>2435</v>
      </c>
      <c r="B111" s="88" t="s">
        <v>766</v>
      </c>
      <c r="C111" s="120">
        <f t="shared" si="26"/>
        <v>46.068948359780592</v>
      </c>
      <c r="D111" s="120">
        <f t="shared" si="26"/>
        <v>0.85899541095311693</v>
      </c>
      <c r="E111" s="120">
        <f t="shared" si="23"/>
        <v>53.072056229266295</v>
      </c>
      <c r="F111" s="120">
        <f t="shared" si="23"/>
        <v>0</v>
      </c>
      <c r="G111" s="120">
        <f t="shared" si="23"/>
        <v>1.0177614823084606</v>
      </c>
      <c r="H111" s="132">
        <f t="shared" si="23"/>
        <v>0.12</v>
      </c>
      <c r="I111" s="120">
        <f t="shared" si="24"/>
        <v>0.57237966717457611</v>
      </c>
      <c r="J111" s="120">
        <f t="shared" si="23"/>
        <v>1.1880057980912315</v>
      </c>
      <c r="K111" s="130">
        <f t="shared" si="23"/>
        <v>9.0615988334979553E-2</v>
      </c>
      <c r="L111" s="132">
        <f t="shared" si="25"/>
        <v>1.5426856933068141E-2</v>
      </c>
      <c r="M111" s="87"/>
      <c r="N111" s="87"/>
      <c r="O111" s="87"/>
      <c r="P111" s="87"/>
    </row>
    <row r="112" spans="1:16">
      <c r="A112" s="103" t="s">
        <v>2442</v>
      </c>
      <c r="B112" s="88" t="s">
        <v>767</v>
      </c>
      <c r="C112" s="120">
        <f t="shared" si="26"/>
        <v>48.669564665105824</v>
      </c>
      <c r="D112" s="120">
        <f t="shared" si="26"/>
        <v>3.517963765468378</v>
      </c>
      <c r="E112" s="120">
        <f t="shared" si="26"/>
        <v>47.812471569425796</v>
      </c>
      <c r="F112" s="120">
        <f t="shared" si="26"/>
        <v>0</v>
      </c>
      <c r="G112" s="120">
        <f t="shared" si="26"/>
        <v>0.93579719106169845</v>
      </c>
      <c r="H112" s="132">
        <f t="shared" si="26"/>
        <v>0.129</v>
      </c>
      <c r="I112" s="120">
        <f t="shared" si="24"/>
        <v>0.47972368121953884</v>
      </c>
      <c r="J112" s="120">
        <f t="shared" si="24"/>
        <v>0.99041619119336133</v>
      </c>
      <c r="K112" s="130">
        <f t="shared" si="24"/>
        <v>9.0615988334979553E-2</v>
      </c>
      <c r="L112" s="132">
        <f t="shared" si="25"/>
        <v>4.9493546787990096E-3</v>
      </c>
      <c r="M112" s="87"/>
      <c r="N112" s="87"/>
      <c r="O112" s="87"/>
      <c r="P112" s="87"/>
    </row>
    <row r="113" spans="1:16">
      <c r="A113" s="103" t="s">
        <v>2447</v>
      </c>
      <c r="B113" s="88" t="s">
        <v>31</v>
      </c>
      <c r="C113" s="120">
        <f t="shared" si="26"/>
        <v>41.892933776472269</v>
      </c>
      <c r="D113" s="120">
        <f t="shared" si="26"/>
        <v>3.7193170735697159</v>
      </c>
      <c r="E113" s="120">
        <f t="shared" si="26"/>
        <v>54.387749149958019</v>
      </c>
      <c r="F113" s="120">
        <f t="shared" si="26"/>
        <v>0</v>
      </c>
      <c r="G113" s="120">
        <f t="shared" si="26"/>
        <v>1.0663522553431179</v>
      </c>
      <c r="H113" s="132">
        <f t="shared" si="26"/>
        <v>0.19900000000000001</v>
      </c>
      <c r="I113" s="120">
        <f t="shared" si="24"/>
        <v>0.63786275841933004</v>
      </c>
      <c r="J113" s="120">
        <f t="shared" si="24"/>
        <v>1.2623303989118542</v>
      </c>
      <c r="K113" s="130">
        <f t="shared" si="24"/>
        <v>9.0615988334979553E-2</v>
      </c>
      <c r="L113" s="132">
        <f t="shared" si="25"/>
        <v>1.7758753171535548E-2</v>
      </c>
      <c r="M113" s="87"/>
      <c r="N113" s="87"/>
      <c r="O113" s="87"/>
      <c r="P113" s="87"/>
    </row>
    <row r="114" spans="1:16">
      <c r="A114" s="103" t="s">
        <v>2445</v>
      </c>
      <c r="B114" s="88" t="s">
        <v>2446</v>
      </c>
      <c r="C114" s="120">
        <f t="shared" si="26"/>
        <v>53.560996989944556</v>
      </c>
      <c r="D114" s="120">
        <f t="shared" si="26"/>
        <v>1.9531805171947958</v>
      </c>
      <c r="E114" s="120">
        <f t="shared" si="26"/>
        <v>44.485822492860642</v>
      </c>
      <c r="F114" s="120">
        <f t="shared" si="26"/>
        <v>0</v>
      </c>
      <c r="G114" s="120">
        <f t="shared" si="26"/>
        <v>0.87885600974494305</v>
      </c>
      <c r="H114" s="132">
        <f t="shared" si="26"/>
        <v>0.16800000000000001</v>
      </c>
      <c r="I114" s="120">
        <f t="shared" si="24"/>
        <v>0.4311797988385348</v>
      </c>
      <c r="J114" s="120">
        <f t="shared" si="24"/>
        <v>0.86964174539078709</v>
      </c>
      <c r="K114" s="130">
        <f t="shared" si="24"/>
        <v>9.0615988334979553E-2</v>
      </c>
      <c r="L114" s="132">
        <f t="shared" si="25"/>
        <v>-8.3495967123161383E-4</v>
      </c>
      <c r="M114" s="87"/>
      <c r="N114" s="87"/>
      <c r="O114" s="87"/>
      <c r="P114" s="87"/>
    </row>
    <row r="115" spans="1:16">
      <c r="A115" s="103" t="s">
        <v>2450</v>
      </c>
      <c r="B115" s="88" t="s">
        <v>768</v>
      </c>
      <c r="C115" s="120">
        <f t="shared" si="26"/>
        <v>44.253102338740064</v>
      </c>
      <c r="D115" s="120">
        <f t="shared" si="26"/>
        <v>2.0601591204408196</v>
      </c>
      <c r="E115" s="120">
        <f t="shared" si="26"/>
        <v>53.686738540819114</v>
      </c>
      <c r="F115" s="120">
        <f t="shared" si="26"/>
        <v>0</v>
      </c>
      <c r="G115" s="120">
        <f t="shared" si="26"/>
        <v>0.89737403966762719</v>
      </c>
      <c r="H115" s="132">
        <f t="shared" si="26"/>
        <v>0.114</v>
      </c>
      <c r="I115" s="120">
        <f t="shared" si="24"/>
        <v>0.50862477680027351</v>
      </c>
      <c r="J115" s="120">
        <f t="shared" si="24"/>
        <v>1.059408896210881</v>
      </c>
      <c r="K115" s="130">
        <f t="shared" si="24"/>
        <v>9.0615988334979553E-2</v>
      </c>
      <c r="L115" s="132">
        <f t="shared" si="25"/>
        <v>1.4682948670383569E-2</v>
      </c>
      <c r="M115" s="87"/>
      <c r="N115" s="87"/>
      <c r="O115" s="87"/>
      <c r="P115" s="87"/>
    </row>
    <row r="116" spans="1:16">
      <c r="A116" s="103" t="s">
        <v>2458</v>
      </c>
      <c r="B116" s="88" t="s">
        <v>2053</v>
      </c>
      <c r="C116" s="120">
        <f t="shared" si="26"/>
        <v>44.796038316387978</v>
      </c>
      <c r="D116" s="120">
        <f t="shared" si="26"/>
        <v>1.6055483333994263</v>
      </c>
      <c r="E116" s="120">
        <f t="shared" si="26"/>
        <v>53.598413350212603</v>
      </c>
      <c r="F116" s="120">
        <f t="shared" si="26"/>
        <v>0</v>
      </c>
      <c r="G116" s="120">
        <f t="shared" si="26"/>
        <v>0.82948435931460662</v>
      </c>
      <c r="H116" s="132" t="str">
        <f t="shared" si="26"/>
        <v>NMF</v>
      </c>
      <c r="I116" s="120" t="str">
        <f t="shared" si="24"/>
        <v>n/a</v>
      </c>
      <c r="J116" s="120" t="str">
        <f t="shared" si="24"/>
        <v>n/a</v>
      </c>
      <c r="K116" s="130">
        <f t="shared" si="24"/>
        <v>9.0615988334979553E-2</v>
      </c>
      <c r="L116" s="132" t="str">
        <f t="shared" si="25"/>
        <v>n/a</v>
      </c>
      <c r="M116" s="87"/>
      <c r="N116" s="87"/>
      <c r="O116" s="87"/>
      <c r="P116" s="87"/>
    </row>
    <row r="117" spans="1:16">
      <c r="A117" s="103" t="s">
        <v>2579</v>
      </c>
      <c r="B117" s="88" t="s">
        <v>2380</v>
      </c>
      <c r="C117" s="120">
        <f t="shared" si="26"/>
        <v>39.79750803770947</v>
      </c>
      <c r="D117" s="120">
        <f t="shared" si="26"/>
        <v>0</v>
      </c>
      <c r="E117" s="120">
        <f t="shared" si="26"/>
        <v>60.202491962290537</v>
      </c>
      <c r="F117" s="120">
        <f t="shared" si="26"/>
        <v>0</v>
      </c>
      <c r="G117" s="120">
        <f t="shared" si="26"/>
        <v>0.82918805364407167</v>
      </c>
      <c r="H117" s="132">
        <f t="shared" si="26"/>
        <v>0.114</v>
      </c>
      <c r="I117" s="120">
        <f t="shared" si="24"/>
        <v>0.52291613678608884</v>
      </c>
      <c r="J117" s="120">
        <f t="shared" si="24"/>
        <v>1.2788326953632845</v>
      </c>
      <c r="K117" s="130">
        <f t="shared" si="24"/>
        <v>9.0615988334979553E-2</v>
      </c>
      <c r="L117" s="194">
        <f t="shared" si="25"/>
        <v>4.0744993608914246E-2</v>
      </c>
      <c r="M117" s="87"/>
      <c r="N117" s="87"/>
      <c r="O117" s="87"/>
      <c r="P117" s="87"/>
    </row>
    <row r="118" spans="1:16">
      <c r="A118" s="103" t="s">
        <v>2387</v>
      </c>
      <c r="B118" s="88" t="s">
        <v>2388</v>
      </c>
      <c r="C118" s="120">
        <f t="shared" si="26"/>
        <v>52.398287974465219</v>
      </c>
      <c r="D118" s="120">
        <f t="shared" si="26"/>
        <v>0.63958919925185598</v>
      </c>
      <c r="E118" s="120">
        <f t="shared" si="26"/>
        <v>46.962122826282929</v>
      </c>
      <c r="F118" s="120">
        <f t="shared" si="26"/>
        <v>0</v>
      </c>
      <c r="G118" s="120">
        <f t="shared" si="26"/>
        <v>0.74464980030632322</v>
      </c>
      <c r="H118" s="132">
        <f t="shared" si="26"/>
        <v>0.25700000000000001</v>
      </c>
      <c r="I118" s="120">
        <f t="shared" si="24"/>
        <v>0.40489328183167222</v>
      </c>
      <c r="J118" s="120">
        <f t="shared" si="24"/>
        <v>0.89573049027529872</v>
      </c>
      <c r="K118" s="130">
        <f t="shared" si="24"/>
        <v>9.0615988334979553E-2</v>
      </c>
      <c r="L118" s="194">
        <f t="shared" si="25"/>
        <v>1.3690326039869347E-2</v>
      </c>
      <c r="M118" s="87"/>
      <c r="N118" s="87"/>
      <c r="O118" s="87"/>
      <c r="P118" s="87"/>
    </row>
    <row r="119" spans="1:16">
      <c r="A119" s="103" t="s">
        <v>2538</v>
      </c>
      <c r="B119" s="88" t="s">
        <v>2539</v>
      </c>
      <c r="C119" s="120">
        <f t="shared" si="26"/>
        <v>39.54935552780416</v>
      </c>
      <c r="D119" s="120">
        <f t="shared" si="26"/>
        <v>4.0505407783519159E-4</v>
      </c>
      <c r="E119" s="120">
        <f t="shared" si="26"/>
        <v>60.450239418118002</v>
      </c>
      <c r="F119" s="120">
        <f t="shared" si="26"/>
        <v>0</v>
      </c>
      <c r="G119" s="120">
        <f t="shared" si="26"/>
        <v>0.83247976724837924</v>
      </c>
      <c r="H119" s="132">
        <f t="shared" si="26"/>
        <v>0.14899999999999999</v>
      </c>
      <c r="I119" s="120">
        <f t="shared" si="24"/>
        <v>0.53474826981260637</v>
      </c>
      <c r="J119" s="120">
        <f t="shared" si="24"/>
        <v>1.2772321701245204</v>
      </c>
      <c r="K119" s="130">
        <f t="shared" si="24"/>
        <v>9.0615988334979553E-2</v>
      </c>
      <c r="L119" s="194">
        <f t="shared" si="25"/>
        <v>4.0301678550978534E-2</v>
      </c>
      <c r="M119" s="87"/>
      <c r="N119" s="87"/>
      <c r="O119" s="87"/>
      <c r="P119" s="87"/>
    </row>
    <row r="120" spans="1:16">
      <c r="A120" s="103" t="s">
        <v>2540</v>
      </c>
      <c r="B120" s="88" t="s">
        <v>2541</v>
      </c>
      <c r="C120" s="120">
        <f t="shared" si="26"/>
        <v>42.863774092268784</v>
      </c>
      <c r="D120" s="120">
        <f t="shared" si="26"/>
        <v>10.86671947546769</v>
      </c>
      <c r="E120" s="120">
        <f t="shared" si="26"/>
        <v>46.269506432263526</v>
      </c>
      <c r="F120" s="120">
        <f t="shared" si="26"/>
        <v>0</v>
      </c>
      <c r="G120" s="120">
        <f t="shared" si="26"/>
        <v>0.86346076191264043</v>
      </c>
      <c r="H120" s="132">
        <f t="shared" si="26"/>
        <v>0.151</v>
      </c>
      <c r="I120" s="120">
        <f t="shared" si="24"/>
        <v>0.43479529949811913</v>
      </c>
      <c r="J120" s="120">
        <f t="shared" si="24"/>
        <v>1.03707832515554</v>
      </c>
      <c r="K120" s="130">
        <f t="shared" si="24"/>
        <v>9.0615988334979553E-2</v>
      </c>
      <c r="L120" s="194">
        <f t="shared" si="25"/>
        <v>1.5732527085566161E-2</v>
      </c>
      <c r="M120" s="87"/>
      <c r="N120" s="87"/>
      <c r="O120" s="87"/>
      <c r="P120" s="87"/>
    </row>
    <row r="121" spans="1:16" ht="14" thickBot="1">
      <c r="A121" s="151" t="s">
        <v>2575</v>
      </c>
      <c r="B121" s="108"/>
      <c r="C121" s="166"/>
      <c r="D121" s="166"/>
      <c r="E121" s="166">
        <f>AVERAGE(E96:E120)</f>
        <v>51.000757166617539</v>
      </c>
      <c r="F121" s="166"/>
      <c r="G121" s="166">
        <f>AVERAGE(G96:G120)</f>
        <v>0.88090479998710391</v>
      </c>
      <c r="H121" s="108"/>
      <c r="I121" s="166"/>
      <c r="J121" s="166"/>
      <c r="K121" s="195"/>
      <c r="L121" s="196">
        <f>AVERAGE(L96:L120)</f>
        <v>1.2280758532804066E-2</v>
      </c>
      <c r="M121" s="87"/>
      <c r="N121" s="87"/>
      <c r="O121" s="87"/>
      <c r="P121" s="87"/>
    </row>
    <row r="123" spans="1:16" s="94" customFormat="1">
      <c r="A123" s="92" t="s">
        <v>2505</v>
      </c>
      <c r="B123" s="174"/>
      <c r="E123" s="175"/>
      <c r="F123" s="104"/>
      <c r="G123" s="168"/>
      <c r="H123" s="96"/>
      <c r="I123" s="168"/>
      <c r="J123" s="168"/>
      <c r="K123" s="96"/>
      <c r="L123" s="181"/>
      <c r="M123" s="96"/>
    </row>
    <row r="124" spans="1:16" s="94" customFormat="1">
      <c r="A124" s="83" t="s">
        <v>2585</v>
      </c>
      <c r="B124" s="174"/>
      <c r="E124" s="175"/>
      <c r="F124" s="104"/>
      <c r="G124" s="168"/>
      <c r="H124" s="96"/>
      <c r="I124" s="168"/>
      <c r="J124" s="168"/>
      <c r="K124" s="96"/>
      <c r="L124" s="181"/>
      <c r="M124" s="96"/>
    </row>
    <row r="125" spans="1:16" s="94" customFormat="1">
      <c r="A125" s="83" t="s">
        <v>2586</v>
      </c>
      <c r="B125" s="174"/>
      <c r="E125" s="175"/>
      <c r="F125" s="104"/>
      <c r="G125" s="168"/>
      <c r="H125" s="96"/>
      <c r="I125" s="168"/>
      <c r="J125" s="168"/>
      <c r="K125" s="96"/>
      <c r="L125" s="181"/>
      <c r="M125" s="96"/>
    </row>
    <row r="126" spans="1:16" s="94" customFormat="1">
      <c r="A126" s="83" t="s">
        <v>2587</v>
      </c>
      <c r="B126" s="174"/>
      <c r="E126" s="175"/>
      <c r="F126" s="168"/>
      <c r="G126" s="168"/>
      <c r="H126" s="96"/>
      <c r="I126" s="168"/>
      <c r="J126" s="168"/>
      <c r="K126" s="96"/>
      <c r="L126" s="181"/>
      <c r="M126" s="96"/>
    </row>
    <row r="127" spans="1:16" s="94" customFormat="1">
      <c r="A127" s="83" t="s">
        <v>2588</v>
      </c>
      <c r="B127" s="95"/>
      <c r="E127" s="175"/>
      <c r="F127" s="168"/>
      <c r="G127" s="168"/>
      <c r="H127" s="96"/>
      <c r="I127" s="168"/>
      <c r="J127" s="168"/>
      <c r="K127" s="96"/>
      <c r="L127" s="181"/>
      <c r="M127" s="96"/>
    </row>
    <row r="128" spans="1:16" s="94" customFormat="1">
      <c r="A128" s="83" t="s">
        <v>2589</v>
      </c>
      <c r="B128" s="174"/>
      <c r="E128" s="175"/>
      <c r="F128" s="168"/>
      <c r="G128" s="168"/>
      <c r="H128" s="96"/>
      <c r="I128" s="168"/>
      <c r="J128" s="168"/>
      <c r="K128" s="96"/>
      <c r="L128" s="181"/>
    </row>
    <row r="129" spans="1:12" s="94" customFormat="1">
      <c r="A129" s="83" t="s">
        <v>2590</v>
      </c>
      <c r="B129" s="174"/>
      <c r="E129" s="175"/>
      <c r="F129" s="168"/>
      <c r="G129" s="168"/>
      <c r="H129" s="96"/>
      <c r="I129" s="168"/>
      <c r="J129" s="168"/>
      <c r="K129" s="96"/>
      <c r="L129" s="181"/>
    </row>
    <row r="130" spans="1:12" s="94" customFormat="1">
      <c r="A130" s="83" t="s">
        <v>2591</v>
      </c>
      <c r="B130" s="174"/>
      <c r="E130" s="175"/>
      <c r="F130" s="168"/>
      <c r="G130" s="168"/>
      <c r="H130" s="96"/>
      <c r="I130" s="168"/>
      <c r="J130" s="168"/>
      <c r="K130" s="96"/>
      <c r="L130" s="181"/>
    </row>
    <row r="131" spans="1:12" s="94" customFormat="1">
      <c r="A131" s="83" t="s">
        <v>2592</v>
      </c>
      <c r="B131" s="174"/>
      <c r="E131" s="175"/>
      <c r="F131" s="168"/>
      <c r="G131" s="168"/>
      <c r="H131" s="96"/>
      <c r="I131" s="168"/>
      <c r="J131" s="168"/>
      <c r="K131" s="96"/>
      <c r="L131" s="181"/>
    </row>
    <row r="132" spans="1:12" s="94" customFormat="1">
      <c r="A132" s="83" t="s">
        <v>2593</v>
      </c>
      <c r="B132" s="174"/>
      <c r="E132" s="175"/>
      <c r="F132" s="168"/>
      <c r="G132" s="168"/>
      <c r="H132" s="96"/>
      <c r="I132" s="168"/>
      <c r="J132" s="168"/>
      <c r="K132" s="96"/>
      <c r="L132" s="181"/>
    </row>
  </sheetData>
  <mergeCells count="61">
    <mergeCell ref="A93:A95"/>
    <mergeCell ref="B93:B95"/>
    <mergeCell ref="C93:F93"/>
    <mergeCell ref="G93:G95"/>
    <mergeCell ref="H93:H95"/>
    <mergeCell ref="I76:I78"/>
    <mergeCell ref="J76:J77"/>
    <mergeCell ref="K76:K78"/>
    <mergeCell ref="L93:L94"/>
    <mergeCell ref="C94:F94"/>
    <mergeCell ref="L76:L77"/>
    <mergeCell ref="C77:F77"/>
    <mergeCell ref="I93:I95"/>
    <mergeCell ref="J93:J94"/>
    <mergeCell ref="K93:K95"/>
    <mergeCell ref="A76:A78"/>
    <mergeCell ref="B76:B78"/>
    <mergeCell ref="C76:F76"/>
    <mergeCell ref="G76:G78"/>
    <mergeCell ref="H76:H78"/>
    <mergeCell ref="I50:I52"/>
    <mergeCell ref="J50:J51"/>
    <mergeCell ref="K50:K52"/>
    <mergeCell ref="L50:L51"/>
    <mergeCell ref="C51:F51"/>
    <mergeCell ref="A50:A52"/>
    <mergeCell ref="B50:B52"/>
    <mergeCell ref="C50:F50"/>
    <mergeCell ref="G50:G52"/>
    <mergeCell ref="H50:H52"/>
    <mergeCell ref="I39:I41"/>
    <mergeCell ref="J39:J40"/>
    <mergeCell ref="K39:K41"/>
    <mergeCell ref="L39:L40"/>
    <mergeCell ref="C40:F40"/>
    <mergeCell ref="A39:A41"/>
    <mergeCell ref="B39:B41"/>
    <mergeCell ref="C39:F39"/>
    <mergeCell ref="G39:G41"/>
    <mergeCell ref="H39:H41"/>
    <mergeCell ref="L4:L5"/>
    <mergeCell ref="C5:F5"/>
    <mergeCell ref="A17:A19"/>
    <mergeCell ref="B17:B19"/>
    <mergeCell ref="C17:F17"/>
    <mergeCell ref="G17:G19"/>
    <mergeCell ref="H17:H19"/>
    <mergeCell ref="I17:I19"/>
    <mergeCell ref="J17:J18"/>
    <mergeCell ref="K17:K19"/>
    <mergeCell ref="L17:L18"/>
    <mergeCell ref="C18:F18"/>
    <mergeCell ref="A1:K1"/>
    <mergeCell ref="A4:A6"/>
    <mergeCell ref="B4:B6"/>
    <mergeCell ref="C4:F4"/>
    <mergeCell ref="G4:G6"/>
    <mergeCell ref="H4:H6"/>
    <mergeCell ref="I4:I6"/>
    <mergeCell ref="J4:J5"/>
    <mergeCell ref="K4:K6"/>
  </mergeCells>
  <hyperlinks>
    <hyperlink ref="J124" r:id="rId1" display="https://corporatefinanceinstitute.com/resources/knowledge/valuation/unlevered-beta-asset-beta/" xr:uid="{C2B9664D-76E9-4DD3-A532-A84F8BA2C780}"/>
  </hyperlinks>
  <printOptions horizontalCentered="1"/>
  <pageMargins left="0.27" right="0.27" top="0.86755952380952395" bottom="0.75" header="0.3" footer="0.3"/>
  <pageSetup scale="55" fitToWidth="0" fitToHeight="0" orientation="landscape" useFirstPageNumber="1" r:id="rId2"/>
  <headerFooter>
    <oddHeader>&amp;R&amp;"Century Gothic,Regular"&amp;11Ontario Energy Assn.
Exhibit CEA-7.1
Page &amp;P of 3</oddHeader>
  </headerFooter>
  <rowBreaks count="1" manualBreakCount="1">
    <brk id="37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2A4E604E-F6EC-40FC-A111-497DD9486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2BC73-47E8-4E49-9E9C-D7F718E398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F36E2E-C870-47EB-8EC4-63F8998ADE4A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e0893123-66fa-4b19-a433-47924ff5ec26"/>
    <ds:schemaRef ds:uri="c813d627-6812-41ba-b21c-8d274ce8823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S&amp;P TSX Download</vt:lpstr>
      <vt:lpstr>Prices &amp; Dividends </vt:lpstr>
      <vt:lpstr>S&amp;P_500_Download</vt:lpstr>
      <vt:lpstr>Beta_Download</vt:lpstr>
      <vt:lpstr>Growth Rates</vt:lpstr>
      <vt:lpstr>JMC -2 Proxy Group Screen</vt:lpstr>
      <vt:lpstr>Summary</vt:lpstr>
      <vt:lpstr>CEA-7.1a Avg ERP Hamada Adj 40%</vt:lpstr>
      <vt:lpstr>CEA-7.1a Avg ERP Hamada Adj 45%</vt:lpstr>
      <vt:lpstr>CEA-7.2a Fwd ERP Hamada Adj 40%</vt:lpstr>
      <vt:lpstr>CEA-7.2a Fwd ERP Hamada Adj 45%</vt:lpstr>
      <vt:lpstr>CEA-7.3a His ERP Hamada Adj 40%</vt:lpstr>
      <vt:lpstr>CEA-7.3a His ERP Hamada Adj 45%</vt:lpstr>
      <vt:lpstr>'CEA-7.1a Avg ERP Hamada Adj 40%'!Print_Area</vt:lpstr>
      <vt:lpstr>'CEA-7.1a Avg ERP Hamada Adj 45%'!Print_Area</vt:lpstr>
      <vt:lpstr>'CEA-7.2a Fwd ERP Hamada Adj 40%'!Print_Area</vt:lpstr>
      <vt:lpstr>'CEA-7.2a Fwd ERP Hamada Adj 45%'!Print_Area</vt:lpstr>
      <vt:lpstr>'CEA-7.3a His ERP Hamada Adj 40%'!Print_Area</vt:lpstr>
      <vt:lpstr>'CEA-7.3a His ERP Hamada Adj 45%'!Print_Area</vt:lpstr>
      <vt:lpstr>'JMC -2 Proxy Group Screen'!Print_Area</vt:lpstr>
      <vt:lpstr>'CEA-7.1a Avg ERP Hamada Adj 40%'!Print_Titles</vt:lpstr>
      <vt:lpstr>'CEA-7.1a Avg ERP Hamada Adj 45%'!Print_Titles</vt:lpstr>
      <vt:lpstr>'CEA-7.2a Fwd ERP Hamada Adj 40%'!Print_Titles</vt:lpstr>
      <vt:lpstr>'CEA-7.2a Fwd ERP Hamada Adj 45%'!Print_Titles</vt:lpstr>
      <vt:lpstr>'CEA-7.3a His ERP Hamada Adj 40%'!Print_Titles</vt:lpstr>
      <vt:lpstr>'CEA-7.3a His ERP Hamada Adj 45%'!Print_Titles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Mona Habashy</cp:lastModifiedBy>
  <cp:revision/>
  <dcterms:created xsi:type="dcterms:W3CDTF">2012-11-09T20:34:27Z</dcterms:created>
  <dcterms:modified xsi:type="dcterms:W3CDTF">2024-08-23T13:34:23Z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0x010100B03FF908193E414D9892E49E70D7829E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2024-08-21T18:33:43Z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245de7aa-961a-45fb-b4f4-20b9bc18411e</vt:lpwstr>
  </property>
  <property fmtid="{D5CDD505-2E9C-101B-9397-08002B2CF9AE}" pid="11" name="MSIP_Label_b1a6f161-e42b-4c47-8f69-f6a81e023e2d_ContentBits">
    <vt:lpwstr>0</vt:lpwstr>
  </property>
</Properties>
</file>