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H:\2025 COS\Application\Exhibit 9\"/>
    </mc:Choice>
  </mc:AlternateContent>
  <xr:revisionPtr revIDLastSave="0" documentId="13_ncr:1_{952BBBBB-9EF2-4B9E-90F9-40FD82DEA4F6}" xr6:coauthVersionLast="47" xr6:coauthVersionMax="47" xr10:uidLastSave="{00000000-0000-0000-0000-000000000000}"/>
  <bookViews>
    <workbookView xWindow="22932" yWindow="-108" windowWidth="23256" windowHeight="12576" xr2:uid="{3A12E35E-1BF7-4DBA-BB53-48AC8B2AD0AE}"/>
  </bookViews>
  <sheets>
    <sheet name="Summary of Impact" sheetId="2" r:id="rId1"/>
    <sheet name="Detailed Calculations" sheetId="1" r:id="rId2"/>
    <sheet name="OEB Prescribed Int Rate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2" l="1"/>
  <c r="B8" i="2"/>
  <c r="D8" i="2" s="1"/>
  <c r="B7" i="2"/>
  <c r="D7" i="2" s="1"/>
  <c r="B6" i="2"/>
  <c r="D6" i="2" s="1"/>
  <c r="B5" i="2"/>
  <c r="D5" i="2" s="1"/>
  <c r="B4" i="2"/>
  <c r="D4" i="2" s="1"/>
  <c r="B3" i="2"/>
  <c r="D3" i="2" s="1"/>
  <c r="E3" i="2" l="1"/>
  <c r="F3" i="2" l="1"/>
  <c r="B29" i="3"/>
  <c r="B30" i="3" s="1"/>
  <c r="B31" i="3" s="1"/>
  <c r="E5" i="3"/>
  <c r="E4" i="3"/>
  <c r="H3" i="2" s="1"/>
  <c r="I3" i="2" s="1"/>
  <c r="E3" i="3"/>
  <c r="E2" i="3"/>
  <c r="F2" i="3" s="1"/>
  <c r="E7" i="2"/>
  <c r="F7" i="2" s="1"/>
  <c r="K16" i="1"/>
  <c r="E8" i="2" l="1"/>
  <c r="F8" i="2" s="1"/>
  <c r="E6" i="2"/>
  <c r="F6" i="2" s="1"/>
  <c r="E5" i="2"/>
  <c r="F5" i="2" s="1"/>
  <c r="E4" i="2"/>
  <c r="F4" i="2" s="1"/>
  <c r="G3" i="2"/>
  <c r="D6" i="3"/>
  <c r="F3" i="3"/>
  <c r="G2" i="3"/>
  <c r="G4" i="2" l="1"/>
  <c r="G5" i="2" s="1"/>
  <c r="G6" i="2" s="1"/>
  <c r="G7" i="2" s="1"/>
  <c r="G8" i="2" s="1"/>
  <c r="D7" i="3"/>
  <c r="E6" i="3"/>
  <c r="J3" i="2"/>
  <c r="G3" i="3"/>
  <c r="F4" i="3"/>
  <c r="G9" i="2" l="1"/>
  <c r="G10" i="2" s="1"/>
  <c r="E7" i="3"/>
  <c r="D8" i="3"/>
  <c r="G4" i="3"/>
  <c r="F5" i="3"/>
  <c r="F6" i="3" l="1"/>
  <c r="G5" i="3"/>
  <c r="E8" i="3"/>
  <c r="D9" i="3"/>
  <c r="D10" i="3" s="1"/>
  <c r="F7" i="3" l="1"/>
  <c r="G6" i="3"/>
  <c r="E9" i="3"/>
  <c r="H4" i="2" s="1"/>
  <c r="I4" i="2" s="1"/>
  <c r="J4" i="2" s="1"/>
  <c r="E10" i="3" l="1"/>
  <c r="D11" i="3"/>
  <c r="G7" i="3"/>
  <c r="F8" i="3"/>
  <c r="E11" i="3" l="1"/>
  <c r="D12" i="3"/>
  <c r="F9" i="3"/>
  <c r="G8" i="3"/>
  <c r="D13" i="3" l="1"/>
  <c r="E12" i="3"/>
  <c r="F10" i="3"/>
  <c r="G9" i="3"/>
  <c r="G10" i="3" l="1"/>
  <c r="F11" i="3"/>
  <c r="E13" i="3"/>
  <c r="H5" i="2" s="1"/>
  <c r="I5" i="2" s="1"/>
  <c r="J5" i="2" s="1"/>
  <c r="D14" i="3"/>
  <c r="F12" i="3" l="1"/>
  <c r="G11" i="3"/>
  <c r="D15" i="3"/>
  <c r="E14" i="3"/>
  <c r="D16" i="3" l="1"/>
  <c r="E15" i="3"/>
  <c r="F13" i="3"/>
  <c r="G12" i="3"/>
  <c r="E16" i="3" l="1"/>
  <c r="D17" i="3"/>
  <c r="G13" i="3"/>
  <c r="F14" i="3"/>
  <c r="F15" i="3" l="1"/>
  <c r="G14" i="3"/>
  <c r="E17" i="3"/>
  <c r="H6" i="2" s="1"/>
  <c r="I6" i="2" s="1"/>
  <c r="J6" i="2" s="1"/>
  <c r="D18" i="3"/>
  <c r="D19" i="3" l="1"/>
  <c r="E18" i="3"/>
  <c r="F16" i="3"/>
  <c r="G15" i="3"/>
  <c r="G16" i="3" l="1"/>
  <c r="F17" i="3"/>
  <c r="E19" i="3"/>
  <c r="D20" i="3"/>
  <c r="E20" i="3" l="1"/>
  <c r="D21" i="3"/>
  <c r="F18" i="3"/>
  <c r="G17" i="3"/>
  <c r="F19" i="3" l="1"/>
  <c r="G18" i="3"/>
  <c r="D22" i="3"/>
  <c r="E21" i="3"/>
  <c r="H7" i="2" s="1"/>
  <c r="I7" i="2" s="1"/>
  <c r="J7" i="2" s="1"/>
  <c r="E22" i="3" l="1"/>
  <c r="D23" i="3"/>
  <c r="G19" i="3"/>
  <c r="F20" i="3"/>
  <c r="E23" i="3" l="1"/>
  <c r="D24" i="3"/>
  <c r="F21" i="3"/>
  <c r="G20" i="3"/>
  <c r="F22" i="3" l="1"/>
  <c r="G21" i="3"/>
  <c r="D25" i="3"/>
  <c r="E24" i="3"/>
  <c r="E25" i="3" l="1"/>
  <c r="H8" i="2" s="1"/>
  <c r="I8" i="2" s="1"/>
  <c r="J8" i="2" s="1"/>
  <c r="D26" i="3"/>
  <c r="G22" i="3"/>
  <c r="F23" i="3"/>
  <c r="F24" i="3" l="1"/>
  <c r="G23" i="3"/>
  <c r="E26" i="3"/>
  <c r="D27" i="3"/>
  <c r="D28" i="3" l="1"/>
  <c r="E27" i="3"/>
  <c r="F25" i="3"/>
  <c r="G24" i="3"/>
  <c r="G25" i="3" l="1"/>
  <c r="F26" i="3"/>
  <c r="E28" i="3"/>
  <c r="D29" i="3"/>
  <c r="D30" i="3" l="1"/>
  <c r="E29" i="3"/>
  <c r="H9" i="2"/>
  <c r="I9" i="2" s="1"/>
  <c r="J9" i="2" s="1"/>
  <c r="F27" i="3"/>
  <c r="G26" i="3"/>
  <c r="F28" i="3" l="1"/>
  <c r="G27" i="3"/>
  <c r="E30" i="3"/>
  <c r="D31" i="3"/>
  <c r="E31" i="3" s="1"/>
  <c r="H10" i="2" l="1"/>
  <c r="I10" i="2" s="1"/>
  <c r="G28" i="3"/>
  <c r="F29" i="3"/>
  <c r="F30" i="3" l="1"/>
  <c r="G29" i="3"/>
  <c r="G30" i="3" l="1"/>
  <c r="F31" i="3"/>
  <c r="G31" i="3" s="1"/>
  <c r="O15" i="1" l="1"/>
  <c r="R59" i="1" l="1"/>
  <c r="R20" i="1"/>
  <c r="R9" i="1"/>
  <c r="R58" i="1"/>
  <c r="R46" i="1"/>
  <c r="R34" i="1"/>
  <c r="R23" i="1"/>
  <c r="R12" i="1"/>
  <c r="R4" i="1"/>
  <c r="R5" i="1"/>
  <c r="R6" i="1"/>
  <c r="R7" i="1"/>
  <c r="R8" i="1"/>
  <c r="R13" i="1"/>
  <c r="R14" i="1"/>
  <c r="R15" i="1"/>
  <c r="R16" i="1"/>
  <c r="R17" i="1"/>
  <c r="R18" i="1"/>
  <c r="R19" i="1"/>
  <c r="R24" i="1"/>
  <c r="R25" i="1"/>
  <c r="R27" i="1"/>
  <c r="R28" i="1"/>
  <c r="R29" i="1"/>
  <c r="R30" i="1"/>
  <c r="R35" i="1"/>
  <c r="R36" i="1"/>
  <c r="R38" i="1"/>
  <c r="R39" i="1"/>
  <c r="R40" i="1"/>
  <c r="R41" i="1"/>
  <c r="R42" i="1"/>
  <c r="R47" i="1"/>
  <c r="R48" i="1"/>
  <c r="R50" i="1"/>
  <c r="R51" i="1"/>
  <c r="R52" i="1"/>
  <c r="R53" i="1"/>
  <c r="R54" i="1"/>
  <c r="R60" i="1"/>
  <c r="R62" i="1"/>
  <c r="R63" i="1"/>
  <c r="R64" i="1"/>
  <c r="R65" i="1"/>
  <c r="R66" i="1"/>
  <c r="R67" i="1"/>
  <c r="R3" i="1"/>
  <c r="O67" i="1"/>
  <c r="O42" i="1"/>
  <c r="P42" i="1" s="1"/>
  <c r="N54" i="1" s="1"/>
  <c r="O19" i="1"/>
  <c r="P12" i="1"/>
  <c r="N58" i="1"/>
  <c r="K65" i="1"/>
  <c r="K67" i="1"/>
  <c r="J67" i="1"/>
  <c r="L67" i="1" s="1"/>
  <c r="P67" i="1" s="1"/>
  <c r="H58" i="1"/>
  <c r="F67" i="1"/>
  <c r="F58" i="1"/>
  <c r="D68" i="1"/>
  <c r="E68" i="1"/>
  <c r="H68" i="1"/>
  <c r="I68" i="1"/>
  <c r="C68" i="1"/>
  <c r="G66" i="1"/>
  <c r="K66" i="1" s="1"/>
  <c r="L66" i="1" s="1"/>
  <c r="F66" i="1"/>
  <c r="G65" i="1"/>
  <c r="F65" i="1"/>
  <c r="G64" i="1"/>
  <c r="F64" i="1"/>
  <c r="G63" i="1"/>
  <c r="K63" i="1" s="1"/>
  <c r="G62" i="1"/>
  <c r="K62" i="1" s="1"/>
  <c r="F61" i="1"/>
  <c r="K61" i="1" s="1"/>
  <c r="G60" i="1"/>
  <c r="G59" i="1"/>
  <c r="K59" i="1" s="1"/>
  <c r="N46" i="1"/>
  <c r="J48" i="1"/>
  <c r="F42" i="1"/>
  <c r="G43" i="1" s="1"/>
  <c r="F54" i="1"/>
  <c r="K54" i="1" s="1"/>
  <c r="L54" i="1" s="1"/>
  <c r="G54" i="1"/>
  <c r="H46" i="1"/>
  <c r="G50" i="1"/>
  <c r="K50" i="1" s="1"/>
  <c r="G51" i="1"/>
  <c r="J51" i="1" s="1"/>
  <c r="G52" i="1"/>
  <c r="G53" i="1"/>
  <c r="G47" i="1"/>
  <c r="K47" i="1" s="1"/>
  <c r="G48" i="1"/>
  <c r="F46" i="1"/>
  <c r="I55" i="1"/>
  <c r="H55" i="1"/>
  <c r="E55" i="1"/>
  <c r="C55" i="1"/>
  <c r="F53" i="1"/>
  <c r="F52" i="1"/>
  <c r="F49" i="1"/>
  <c r="J49" i="1" s="1"/>
  <c r="K36" i="1"/>
  <c r="K38" i="1"/>
  <c r="J38" i="1"/>
  <c r="J35" i="1"/>
  <c r="J36" i="1"/>
  <c r="I43" i="1"/>
  <c r="H12" i="1"/>
  <c r="H23" i="1" s="1"/>
  <c r="H34" i="1" s="1"/>
  <c r="F12" i="1"/>
  <c r="F23" i="1" s="1"/>
  <c r="F34" i="1" s="1"/>
  <c r="E43" i="1"/>
  <c r="H43" i="1"/>
  <c r="C43" i="1"/>
  <c r="D42" i="1"/>
  <c r="F41" i="1"/>
  <c r="K41" i="1" s="1"/>
  <c r="D41" i="1"/>
  <c r="F40" i="1"/>
  <c r="K40" i="1" s="1"/>
  <c r="D40" i="1"/>
  <c r="F39" i="1"/>
  <c r="K39" i="1" s="1"/>
  <c r="D39" i="1"/>
  <c r="D38" i="1"/>
  <c r="F37" i="1"/>
  <c r="J37" i="1" s="1"/>
  <c r="D37" i="1"/>
  <c r="D36" i="1"/>
  <c r="F35" i="1"/>
  <c r="K35" i="1" s="1"/>
  <c r="D35" i="1"/>
  <c r="N12" i="1"/>
  <c r="N23" i="1" s="1"/>
  <c r="N34" i="1" s="1"/>
  <c r="E9" i="1"/>
  <c r="F9" i="1"/>
  <c r="H9" i="1"/>
  <c r="N9" i="1"/>
  <c r="O9" i="1"/>
  <c r="C9" i="1"/>
  <c r="D30" i="1"/>
  <c r="D19" i="1"/>
  <c r="H31" i="1"/>
  <c r="E31" i="1"/>
  <c r="C31" i="1"/>
  <c r="F30" i="1"/>
  <c r="K30" i="1" s="1"/>
  <c r="F29" i="1"/>
  <c r="K29" i="1" s="1"/>
  <c r="D29" i="1"/>
  <c r="F28" i="1"/>
  <c r="K28" i="1" s="1"/>
  <c r="D28" i="1"/>
  <c r="F27" i="1"/>
  <c r="K27" i="1" s="1"/>
  <c r="D27" i="1"/>
  <c r="F26" i="1"/>
  <c r="K26" i="1" s="1"/>
  <c r="D26" i="1"/>
  <c r="F25" i="1"/>
  <c r="K25" i="1" s="1"/>
  <c r="D25" i="1"/>
  <c r="F24" i="1"/>
  <c r="D24" i="1"/>
  <c r="O54" i="1" l="1"/>
  <c r="P54" i="1" s="1"/>
  <c r="N66" i="1" s="1"/>
  <c r="J39" i="1"/>
  <c r="J47" i="1"/>
  <c r="J63" i="1"/>
  <c r="L63" i="1" s="1"/>
  <c r="J53" i="1"/>
  <c r="G68" i="1"/>
  <c r="F68" i="1"/>
  <c r="K64" i="1"/>
  <c r="K37" i="1"/>
  <c r="K43" i="1" s="1"/>
  <c r="J41" i="1"/>
  <c r="J50" i="1"/>
  <c r="L50" i="1" s="1"/>
  <c r="K52" i="1"/>
  <c r="K53" i="1"/>
  <c r="L53" i="1" s="1"/>
  <c r="J52" i="1"/>
  <c r="L52" i="1" s="1"/>
  <c r="J60" i="1"/>
  <c r="K60" i="1"/>
  <c r="J65" i="1"/>
  <c r="L65" i="1" s="1"/>
  <c r="J62" i="1"/>
  <c r="L62" i="1" s="1"/>
  <c r="J59" i="1"/>
  <c r="J64" i="1"/>
  <c r="J61" i="1"/>
  <c r="L61" i="1" s="1"/>
  <c r="G55" i="1"/>
  <c r="K48" i="1"/>
  <c r="K49" i="1"/>
  <c r="L49" i="1" s="1"/>
  <c r="F55" i="1"/>
  <c r="J40" i="1"/>
  <c r="L40" i="1" s="1"/>
  <c r="D55" i="1"/>
  <c r="K51" i="1"/>
  <c r="D43" i="1"/>
  <c r="F43" i="1"/>
  <c r="L38" i="1"/>
  <c r="L36" i="1"/>
  <c r="L39" i="1"/>
  <c r="F31" i="1"/>
  <c r="D31" i="1"/>
  <c r="J24" i="1"/>
  <c r="J26" i="1"/>
  <c r="L26" i="1" s="1"/>
  <c r="J30" i="1"/>
  <c r="L30" i="1" s="1"/>
  <c r="K24" i="1"/>
  <c r="K31" i="1" s="1"/>
  <c r="J28" i="1"/>
  <c r="L28" i="1" s="1"/>
  <c r="J25" i="1"/>
  <c r="L25" i="1" s="1"/>
  <c r="J27" i="1"/>
  <c r="L27" i="1" s="1"/>
  <c r="J29" i="1"/>
  <c r="L29" i="1" s="1"/>
  <c r="O66" i="1" l="1"/>
  <c r="P66" i="1" s="1"/>
  <c r="K68" i="1"/>
  <c r="J68" i="1"/>
  <c r="L64" i="1"/>
  <c r="L37" i="1"/>
  <c r="L59" i="1"/>
  <c r="L60" i="1"/>
  <c r="L68" i="1" s="1"/>
  <c r="K55" i="1"/>
  <c r="L48" i="1"/>
  <c r="J55" i="1"/>
  <c r="L47" i="1"/>
  <c r="L51" i="1"/>
  <c r="L41" i="1"/>
  <c r="J43" i="1"/>
  <c r="L35" i="1"/>
  <c r="J31" i="1"/>
  <c r="L24" i="1"/>
  <c r="L69" i="1" l="1"/>
  <c r="L55" i="1"/>
  <c r="L56" i="1" s="1"/>
  <c r="L43" i="1"/>
  <c r="L44" i="1" s="1"/>
  <c r="L31" i="1"/>
  <c r="L32" i="1" s="1"/>
  <c r="F17" i="1" l="1"/>
  <c r="K17" i="1" s="1"/>
  <c r="J5" i="1"/>
  <c r="F14" i="1"/>
  <c r="F15" i="1"/>
  <c r="K15" i="1" s="1"/>
  <c r="F16" i="1"/>
  <c r="F18" i="1"/>
  <c r="K18" i="1" s="1"/>
  <c r="F19" i="1"/>
  <c r="K19" i="1" s="1"/>
  <c r="F13" i="1"/>
  <c r="C20" i="1"/>
  <c r="H20" i="1"/>
  <c r="E20" i="1"/>
  <c r="D18" i="1"/>
  <c r="D17" i="1"/>
  <c r="D16" i="1"/>
  <c r="D15" i="1"/>
  <c r="D14" i="1"/>
  <c r="D13" i="1"/>
  <c r="K5" i="1"/>
  <c r="K4" i="1"/>
  <c r="K6" i="1"/>
  <c r="K7" i="1"/>
  <c r="K8" i="1"/>
  <c r="K3" i="1"/>
  <c r="J3" i="1"/>
  <c r="J4" i="1"/>
  <c r="J6" i="1"/>
  <c r="J7" i="1"/>
  <c r="J8" i="1"/>
  <c r="D8" i="1"/>
  <c r="D4" i="1"/>
  <c r="D5" i="1"/>
  <c r="D6" i="1"/>
  <c r="D7" i="1"/>
  <c r="D3" i="1"/>
  <c r="K14" i="1" l="1"/>
  <c r="D9" i="1"/>
  <c r="J9" i="1"/>
  <c r="J14" i="1"/>
  <c r="K9" i="1"/>
  <c r="J15" i="1"/>
  <c r="L15" i="1" s="1"/>
  <c r="K13" i="1"/>
  <c r="J13" i="1"/>
  <c r="L13" i="1" s="1"/>
  <c r="J17" i="1"/>
  <c r="L17" i="1" s="1"/>
  <c r="J16" i="1"/>
  <c r="L16" i="1" s="1"/>
  <c r="J18" i="1"/>
  <c r="L18" i="1" s="1"/>
  <c r="J19" i="1"/>
  <c r="L19" i="1" s="1"/>
  <c r="P19" i="1" s="1"/>
  <c r="N30" i="1" s="1"/>
  <c r="L8" i="1"/>
  <c r="P8" i="1" s="1"/>
  <c r="N18" i="1" s="1"/>
  <c r="L3" i="1"/>
  <c r="L4" i="1"/>
  <c r="P4" i="1" s="1"/>
  <c r="N14" i="1" s="1"/>
  <c r="L7" i="1"/>
  <c r="P7" i="1" s="1"/>
  <c r="N17" i="1" s="1"/>
  <c r="L5" i="1"/>
  <c r="P5" i="1" s="1"/>
  <c r="N15" i="1" s="1"/>
  <c r="L6" i="1"/>
  <c r="P6" i="1" s="1"/>
  <c r="N16" i="1" s="1"/>
  <c r="F20" i="1"/>
  <c r="D20" i="1"/>
  <c r="O16" i="1" l="1"/>
  <c r="P16" i="1" s="1"/>
  <c r="N27" i="1" s="1"/>
  <c r="O27" i="1" s="1"/>
  <c r="P27" i="1" s="1"/>
  <c r="N38" i="1" s="1"/>
  <c r="O38" i="1" s="1"/>
  <c r="P38" i="1" s="1"/>
  <c r="N50" i="1" s="1"/>
  <c r="P15" i="1"/>
  <c r="N26" i="1" s="1"/>
  <c r="O26" i="1" s="1"/>
  <c r="O30" i="1"/>
  <c r="P30" i="1"/>
  <c r="N41" i="1" s="1"/>
  <c r="O41" i="1" s="1"/>
  <c r="P41" i="1" s="1"/>
  <c r="N53" i="1" s="1"/>
  <c r="O17" i="1"/>
  <c r="P17" i="1"/>
  <c r="N28" i="1" s="1"/>
  <c r="O28" i="1" s="1"/>
  <c r="P28" i="1" s="1"/>
  <c r="N39" i="1" s="1"/>
  <c r="O39" i="1" s="1"/>
  <c r="P39" i="1" s="1"/>
  <c r="N51" i="1" s="1"/>
  <c r="O14" i="1"/>
  <c r="P14" i="1" s="1"/>
  <c r="N25" i="1" s="1"/>
  <c r="O25" i="1" s="1"/>
  <c r="P25" i="1" s="1"/>
  <c r="N36" i="1" s="1"/>
  <c r="P3" i="1"/>
  <c r="N13" i="1" s="1"/>
  <c r="L9" i="1"/>
  <c r="L10" i="1" s="1"/>
  <c r="O18" i="1"/>
  <c r="P18" i="1"/>
  <c r="N29" i="1" s="1"/>
  <c r="O29" i="1" s="1"/>
  <c r="P29" i="1" s="1"/>
  <c r="N40" i="1" s="1"/>
  <c r="O40" i="1" s="1"/>
  <c r="P40" i="1" s="1"/>
  <c r="N52" i="1" s="1"/>
  <c r="J20" i="1"/>
  <c r="L14" i="1"/>
  <c r="K20" i="1"/>
  <c r="P26" i="1" l="1"/>
  <c r="N37" i="1" s="1"/>
  <c r="O37" i="1" s="1"/>
  <c r="R26" i="1"/>
  <c r="R31" i="1" s="1"/>
  <c r="O36" i="1"/>
  <c r="P36" i="1"/>
  <c r="N48" i="1" s="1"/>
  <c r="O50" i="1"/>
  <c r="P50" i="1" s="1"/>
  <c r="N62" i="1" s="1"/>
  <c r="O53" i="1"/>
  <c r="P53" i="1" s="1"/>
  <c r="N65" i="1" s="1"/>
  <c r="O65" i="1" s="1"/>
  <c r="P65" i="1" s="1"/>
  <c r="O13" i="1"/>
  <c r="O20" i="1" s="1"/>
  <c r="O52" i="1"/>
  <c r="P52" i="1" s="1"/>
  <c r="N64" i="1" s="1"/>
  <c r="O64" i="1" s="1"/>
  <c r="P64" i="1" s="1"/>
  <c r="O51" i="1"/>
  <c r="P51" i="1" s="1"/>
  <c r="N63" i="1" s="1"/>
  <c r="O63" i="1" s="1"/>
  <c r="P63" i="1" s="1"/>
  <c r="P9" i="1"/>
  <c r="L20" i="1"/>
  <c r="L21" i="1" s="1"/>
  <c r="N20" i="1"/>
  <c r="P37" i="1" l="1"/>
  <c r="N49" i="1" s="1"/>
  <c r="O49" i="1" s="1"/>
  <c r="R37" i="1"/>
  <c r="R43" i="1" s="1"/>
  <c r="O62" i="1"/>
  <c r="P62" i="1" s="1"/>
  <c r="P13" i="1"/>
  <c r="N24" i="1" s="1"/>
  <c r="O24" i="1" s="1"/>
  <c r="O48" i="1"/>
  <c r="P48" i="1" s="1"/>
  <c r="N60" i="1" s="1"/>
  <c r="O60" i="1" s="1"/>
  <c r="P60" i="1" s="1"/>
  <c r="P20" i="1"/>
  <c r="P49" i="1" l="1"/>
  <c r="N61" i="1" s="1"/>
  <c r="O61" i="1" s="1"/>
  <c r="R49" i="1"/>
  <c r="R55" i="1" s="1"/>
  <c r="P24" i="1"/>
  <c r="N35" i="1" s="1"/>
  <c r="O31" i="1"/>
  <c r="N31" i="1"/>
  <c r="P61" i="1" l="1"/>
  <c r="R61" i="1"/>
  <c r="R68" i="1" s="1"/>
  <c r="O35" i="1"/>
  <c r="P35" i="1" s="1"/>
  <c r="N47" i="1" s="1"/>
  <c r="O47" i="1" s="1"/>
  <c r="P31" i="1"/>
  <c r="O43" i="1"/>
  <c r="N43" i="1"/>
  <c r="P47" i="1" l="1"/>
  <c r="N59" i="1" s="1"/>
  <c r="O55" i="1"/>
  <c r="P43" i="1"/>
  <c r="O59" i="1" l="1"/>
  <c r="P59" i="1"/>
  <c r="O68" i="1"/>
  <c r="N55" i="1"/>
  <c r="N68" i="1" l="1"/>
  <c r="P55" i="1"/>
  <c r="P68" i="1" l="1"/>
</calcChain>
</file>

<file path=xl/sharedStrings.xml><?xml version="1.0" encoding="utf-8"?>
<sst xmlns="http://schemas.openxmlformats.org/spreadsheetml/2006/main" count="142" uniqueCount="72">
  <si>
    <t>2018 TAX YEAR</t>
  </si>
  <si>
    <t>Class</t>
  </si>
  <si>
    <t>CCA Rate</t>
  </si>
  <si>
    <t>Audit Adjustments</t>
  </si>
  <si>
    <t>Revised Additions</t>
  </si>
  <si>
    <t>CCA Claimed on AIIP/DIEP Amounts</t>
  </si>
  <si>
    <t>CCA  Claimed If No AIIP/DIEP</t>
  </si>
  <si>
    <t>TOTALS</t>
  </si>
  <si>
    <t>2019 TAX YEAR</t>
  </si>
  <si>
    <t>1B</t>
  </si>
  <si>
    <t>CCA Claimed on CY AIIP/DIEP Amounts</t>
  </si>
  <si>
    <t>Total Cost of Acquistions per Sch 8</t>
  </si>
  <si>
    <t>Current Year Difference in CCA due to AIIP/DIEP</t>
  </si>
  <si>
    <t>Cumulative CCA Difference</t>
  </si>
  <si>
    <t>2020 TAX YEAR</t>
  </si>
  <si>
    <t>Cumulative Reduction of CCA in Prior Years Due to AIIP/DIEP</t>
  </si>
  <si>
    <t>2021 TAX YEAR</t>
  </si>
  <si>
    <t>Revised Cost of Acquisitions Subject to AIIP</t>
  </si>
  <si>
    <t>Sch 8 Disposals Subject to AIIP</t>
  </si>
  <si>
    <t>Cost of Acquisitions Subject to DIEP</t>
  </si>
  <si>
    <t>Sch 8 Disposals Subject to DIEP</t>
  </si>
  <si>
    <t>2022 TAX YEAR</t>
  </si>
  <si>
    <t>2023 TAX YEAR</t>
  </si>
  <si>
    <t>Opening Difference in UCC Due to AIIP/DIEP Rules</t>
  </si>
  <si>
    <t>Reduction in CY CCA Claim Due to Difference in Opening UCC</t>
  </si>
  <si>
    <t>Closing Difference in UCC Due to AIIP/DIEP Rules (+ is more CCA taken)</t>
  </si>
  <si>
    <t>Net CCA Difference</t>
  </si>
  <si>
    <t>Year</t>
  </si>
  <si>
    <t>PILs Impact</t>
  </si>
  <si>
    <t>PILs Gross Up</t>
  </si>
  <si>
    <t>Credit Entry to 1592</t>
  </si>
  <si>
    <t>Carrying Charges</t>
  </si>
  <si>
    <t>Cumulative Carrying Charges</t>
  </si>
  <si>
    <t>Total Balance</t>
  </si>
  <si>
    <t>N/A</t>
  </si>
  <si>
    <t>Period</t>
  </si>
  <si>
    <t>Interest Rate</t>
  </si>
  <si>
    <t>Principal Balance</t>
  </si>
  <si>
    <t>Quarterly Interest</t>
  </si>
  <si>
    <t>Cumulative Interest</t>
  </si>
  <si>
    <t>Q1 2018 (Actual)</t>
  </si>
  <si>
    <t>Q2 2018 (Actual)</t>
  </si>
  <si>
    <t>Q3 2018 (Actual)</t>
  </si>
  <si>
    <t>Q4 2018 (Actual)</t>
  </si>
  <si>
    <t>Q1 2019 (Actual)</t>
  </si>
  <si>
    <t>Q2 2019 (Actual)</t>
  </si>
  <si>
    <t>Q3 2019 (Actual)</t>
  </si>
  <si>
    <t>Q4 2019 (Actual)</t>
  </si>
  <si>
    <t>Q1 2020 (Actual)</t>
  </si>
  <si>
    <t>Q2 2020 (Actual)</t>
  </si>
  <si>
    <t>Q3 2020 (Actual)</t>
  </si>
  <si>
    <t>Q4 2020 (Actual)</t>
  </si>
  <si>
    <t>Q1 2021 (Actual)</t>
  </si>
  <si>
    <t>Q2 2021 (Actual)</t>
  </si>
  <si>
    <t>Q3 2021 (Actual)</t>
  </si>
  <si>
    <t>Q4 2021 (Actual)</t>
  </si>
  <si>
    <t>Q1 2022 (Actual)</t>
  </si>
  <si>
    <t>Q2 2022 (Actual)</t>
  </si>
  <si>
    <t>Q3 2022 (Actual)</t>
  </si>
  <si>
    <t>Q4 2022 (Actual)</t>
  </si>
  <si>
    <t>Q1 2023 (Actual)</t>
  </si>
  <si>
    <t>Q2 2023 (Actual)</t>
  </si>
  <si>
    <t>Q3 2023 (Actual)</t>
  </si>
  <si>
    <t>Q4 2023 (Actual)</t>
  </si>
  <si>
    <t>Q1 2024 (Actual)</t>
  </si>
  <si>
    <t>Q2 2024 (Actual)</t>
  </si>
  <si>
    <t>Q3 2024 (Actual)</t>
  </si>
  <si>
    <t>Q4 2024 (Forecast)</t>
  </si>
  <si>
    <t>Q1 2025 (Forecast)</t>
  </si>
  <si>
    <t>Q2 2025 (Forecast)</t>
  </si>
  <si>
    <t>Tax Rate</t>
  </si>
  <si>
    <t>Account 1592 Cumulative Principal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</si>
</sst>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_-;\-* #,##0_-;_-* &quot;-&quot;??_-;_-@_-"/>
    <numFmt numFmtId="165" formatCode="_-&quot;$&quot;* #,##0_-;\-&quot;$&quot;* #,##0_-;_-&quot;$&quot;* &quot;-&quot;??_-;_-@_-"/>
    <numFmt numFmtId="166" formatCode="0.0%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ptos Narrow"/>
      <family val="2"/>
      <scheme val="minor"/>
    </font>
    <font>
      <b/>
      <sz val="10"/>
      <color rgb="FFFFFFFF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809EC2"/>
        <bgColor indexed="64"/>
      </patternFill>
    </fill>
    <fill>
      <patternFill patternType="solid">
        <fgColor rgb="FFE5EBF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809EC2"/>
      </left>
      <right/>
      <top style="medium">
        <color rgb="FF809EC2"/>
      </top>
      <bottom style="medium">
        <color rgb="FF809EC2"/>
      </bottom>
      <diagonal/>
    </border>
    <border>
      <left/>
      <right style="medium">
        <color rgb="FF809EC2"/>
      </right>
      <top style="medium">
        <color rgb="FF809EC2"/>
      </top>
      <bottom style="medium">
        <color rgb="FF809EC2"/>
      </bottom>
      <diagonal/>
    </border>
    <border>
      <left style="medium">
        <color rgb="FFB2C4DA"/>
      </left>
      <right style="medium">
        <color rgb="FFB2C4DA"/>
      </right>
      <top/>
      <bottom style="medium">
        <color rgb="FFB2C4DA"/>
      </bottom>
      <diagonal/>
    </border>
    <border>
      <left/>
      <right style="medium">
        <color rgb="FFB2C4DA"/>
      </right>
      <top/>
      <bottom style="medium">
        <color rgb="FFB2C4DA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9" fontId="3" fillId="0" borderId="0" xfId="0" applyNumberFormat="1" applyFont="1" applyAlignment="1">
      <alignment horizontal="center"/>
    </xf>
    <xf numFmtId="164" fontId="3" fillId="0" borderId="0" xfId="1" applyNumberFormat="1" applyFont="1"/>
    <xf numFmtId="38" fontId="3" fillId="0" borderId="0" xfId="1" applyNumberFormat="1" applyFont="1"/>
    <xf numFmtId="0" fontId="3" fillId="0" borderId="0" xfId="0" applyFont="1"/>
    <xf numFmtId="164" fontId="2" fillId="0" borderId="0" xfId="0" applyNumberFormat="1" applyFont="1"/>
    <xf numFmtId="164" fontId="3" fillId="0" borderId="0" xfId="0" applyNumberFormat="1" applyFont="1"/>
    <xf numFmtId="0" fontId="4" fillId="2" borderId="0" xfId="0" applyFont="1" applyFill="1"/>
    <xf numFmtId="0" fontId="4" fillId="0" borderId="0" xfId="0" applyFont="1"/>
    <xf numFmtId="0" fontId="5" fillId="0" borderId="0" xfId="0" applyFont="1"/>
    <xf numFmtId="164" fontId="2" fillId="0" borderId="0" xfId="0" applyNumberFormat="1" applyFont="1" applyAlignment="1">
      <alignment horizontal="center" wrapText="1"/>
    </xf>
    <xf numFmtId="0" fontId="5" fillId="2" borderId="0" xfId="0" applyFont="1" applyFill="1"/>
    <xf numFmtId="164" fontId="3" fillId="2" borderId="0" xfId="0" applyNumberFormat="1" applyFont="1" applyFill="1"/>
    <xf numFmtId="43" fontId="3" fillId="0" borderId="0" xfId="1" applyFont="1"/>
    <xf numFmtId="43" fontId="2" fillId="0" borderId="0" xfId="1" applyFont="1"/>
    <xf numFmtId="43" fontId="5" fillId="0" borderId="0" xfId="1" applyFont="1"/>
    <xf numFmtId="43" fontId="3" fillId="0" borderId="0" xfId="0" applyNumberFormat="1" applyFont="1"/>
    <xf numFmtId="165" fontId="0" fillId="3" borderId="1" xfId="2" applyNumberFormat="1" applyFont="1" applyFill="1" applyBorder="1"/>
    <xf numFmtId="165" fontId="0" fillId="3" borderId="1" xfId="2" applyNumberFormat="1" applyFont="1" applyFill="1" applyBorder="1" applyAlignment="1">
      <alignment horizontal="center" vertical="center"/>
    </xf>
    <xf numFmtId="165" fontId="0" fillId="3" borderId="1" xfId="0" applyNumberFormat="1" applyFill="1" applyBorder="1"/>
    <xf numFmtId="165" fontId="0" fillId="4" borderId="1" xfId="2" applyNumberFormat="1" applyFont="1" applyFill="1" applyBorder="1" applyAlignment="1">
      <alignment horizontal="center" vertical="center"/>
    </xf>
    <xf numFmtId="43" fontId="0" fillId="0" borderId="0" xfId="1" applyFont="1"/>
    <xf numFmtId="43" fontId="0" fillId="0" borderId="0" xfId="0" applyNumberFormat="1"/>
    <xf numFmtId="44" fontId="0" fillId="0" borderId="0" xfId="0" applyNumberFormat="1"/>
    <xf numFmtId="0" fontId="7" fillId="5" borderId="2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0" fontId="8" fillId="6" borderId="4" xfId="0" applyFont="1" applyFill="1" applyBorder="1" applyAlignment="1">
      <alignment horizontal="center" vertical="center" wrapText="1"/>
    </xf>
    <xf numFmtId="10" fontId="9" fillId="6" borderId="5" xfId="0" applyNumberFormat="1" applyFont="1" applyFill="1" applyBorder="1" applyAlignment="1">
      <alignment horizontal="center" vertical="center" wrapText="1"/>
    </xf>
    <xf numFmtId="165" fontId="0" fillId="0" borderId="0" xfId="2" applyNumberFormat="1" applyFont="1"/>
    <xf numFmtId="165" fontId="0" fillId="0" borderId="0" xfId="0" applyNumberFormat="1"/>
    <xf numFmtId="0" fontId="10" fillId="0" borderId="4" xfId="0" applyFont="1" applyBorder="1" applyAlignment="1">
      <alignment horizontal="center" vertical="center" wrapText="1"/>
    </xf>
    <xf numFmtId="10" fontId="11" fillId="0" borderId="5" xfId="0" applyNumberFormat="1" applyFont="1" applyBorder="1" applyAlignment="1">
      <alignment horizontal="center" vertical="center" wrapText="1"/>
    </xf>
    <xf numFmtId="0" fontId="10" fillId="7" borderId="4" xfId="0" applyFont="1" applyFill="1" applyBorder="1" applyAlignment="1">
      <alignment horizontal="center" vertical="center" wrapText="1"/>
    </xf>
    <xf numFmtId="10" fontId="10" fillId="7" borderId="5" xfId="0" applyNumberFormat="1" applyFont="1" applyFill="1" applyBorder="1" applyAlignment="1">
      <alignment horizontal="center" vertical="center" wrapText="1"/>
    </xf>
    <xf numFmtId="166" fontId="0" fillId="3" borderId="1" xfId="3" applyNumberFormat="1" applyFont="1" applyFill="1" applyBorder="1" applyAlignment="1">
      <alignment horizontal="center"/>
    </xf>
    <xf numFmtId="0" fontId="0" fillId="7" borderId="0" xfId="0" applyFill="1"/>
    <xf numFmtId="165" fontId="1" fillId="7" borderId="0" xfId="2" applyNumberFormat="1" applyFont="1" applyFill="1"/>
    <xf numFmtId="165" fontId="0" fillId="7" borderId="0" xfId="0" applyNumberFormat="1" applyFill="1"/>
    <xf numFmtId="165" fontId="0" fillId="8" borderId="1" xfId="0" applyNumberFormat="1" applyFill="1" applyBorder="1"/>
    <xf numFmtId="0" fontId="6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CDD555-90A1-47D1-B87B-797A5D39670B}">
  <dimension ref="A2:P16"/>
  <sheetViews>
    <sheetView tabSelected="1" workbookViewId="0">
      <selection activeCell="B3" sqref="B3"/>
    </sheetView>
  </sheetViews>
  <sheetFormatPr defaultRowHeight="14.4" x14ac:dyDescent="0.3"/>
  <cols>
    <col min="1" max="1" width="9.5546875" customWidth="1"/>
    <col min="2" max="2" width="13.109375" bestFit="1" customWidth="1"/>
    <col min="3" max="3" width="12" bestFit="1" customWidth="1"/>
    <col min="4" max="6" width="12.5546875" bestFit="1" customWidth="1"/>
    <col min="7" max="7" width="14.21875" customWidth="1"/>
    <col min="8" max="8" width="11.109375" customWidth="1"/>
    <col min="9" max="9" width="12.5546875" bestFit="1" customWidth="1"/>
    <col min="10" max="10" width="12.6640625" bestFit="1" customWidth="1"/>
    <col min="15" max="16" width="11.5546875" bestFit="1" customWidth="1"/>
  </cols>
  <sheetData>
    <row r="2" spans="1:16" ht="43.2" x14ac:dyDescent="0.3">
      <c r="A2" s="42" t="s">
        <v>27</v>
      </c>
      <c r="B2" s="42" t="s">
        <v>26</v>
      </c>
      <c r="C2" s="42" t="s">
        <v>70</v>
      </c>
      <c r="D2" s="42" t="s">
        <v>28</v>
      </c>
      <c r="E2" s="42" t="s">
        <v>29</v>
      </c>
      <c r="F2" s="42" t="s">
        <v>30</v>
      </c>
      <c r="G2" s="42" t="s">
        <v>71</v>
      </c>
      <c r="H2" s="42" t="s">
        <v>31</v>
      </c>
      <c r="I2" s="42" t="s">
        <v>32</v>
      </c>
      <c r="J2" s="42" t="s">
        <v>33</v>
      </c>
    </row>
    <row r="3" spans="1:16" x14ac:dyDescent="0.3">
      <c r="A3" s="43">
        <v>2018</v>
      </c>
      <c r="B3" s="20">
        <f>-'Detailed Calculations'!R9</f>
        <v>-9814.4800000000014</v>
      </c>
      <c r="C3" s="37">
        <v>0.26500000000000001</v>
      </c>
      <c r="D3" s="21">
        <f>B3*C3</f>
        <v>-2600.8372000000004</v>
      </c>
      <c r="E3" s="20">
        <f>D3/(1-0.265)</f>
        <v>-3538.5540136054428</v>
      </c>
      <c r="F3" s="20">
        <f>E3</f>
        <v>-3538.5540136054428</v>
      </c>
      <c r="G3" s="22">
        <f>F3</f>
        <v>-3538.5540136054428</v>
      </c>
      <c r="H3" s="20">
        <f>SUM('OEB Prescribed Int Rates'!E2:E5)</f>
        <v>0</v>
      </c>
      <c r="I3" s="20">
        <f>H3</f>
        <v>0</v>
      </c>
      <c r="J3" s="22">
        <f>I3+G3</f>
        <v>-3538.5540136054428</v>
      </c>
    </row>
    <row r="4" spans="1:16" x14ac:dyDescent="0.3">
      <c r="A4" s="43">
        <v>2019</v>
      </c>
      <c r="B4" s="20">
        <f>-'Detailed Calculations'!R20</f>
        <v>-501104.4</v>
      </c>
      <c r="C4" s="37">
        <v>0.26500000000000001</v>
      </c>
      <c r="D4" s="21">
        <f t="shared" ref="D4:D8" si="0">B4*C4</f>
        <v>-132792.66600000003</v>
      </c>
      <c r="E4" s="20">
        <f t="shared" ref="E4:E8" si="1">D4/(1-0.265)</f>
        <v>-180670.29387755107</v>
      </c>
      <c r="F4" s="20">
        <f t="shared" ref="F4:F8" si="2">E4</f>
        <v>-180670.29387755107</v>
      </c>
      <c r="G4" s="22">
        <f>G3+F4</f>
        <v>-184208.8478911565</v>
      </c>
      <c r="H4" s="20">
        <f>SUM('OEB Prescribed Int Rates'!E6:E9)</f>
        <v>-79.529001455782321</v>
      </c>
      <c r="I4" s="20">
        <f>H4+I3</f>
        <v>-79.529001455782321</v>
      </c>
      <c r="J4" s="22">
        <f t="shared" ref="J4:J10" si="3">I4+G4</f>
        <v>-184288.37689261229</v>
      </c>
    </row>
    <row r="5" spans="1:16" x14ac:dyDescent="0.3">
      <c r="A5" s="43">
        <v>2020</v>
      </c>
      <c r="B5" s="20">
        <f>-'Detailed Calculations'!R31</f>
        <v>-199523.28</v>
      </c>
      <c r="C5" s="37">
        <v>0.26500000000000001</v>
      </c>
      <c r="D5" s="21">
        <f t="shared" si="0"/>
        <v>-52873.669200000004</v>
      </c>
      <c r="E5" s="20">
        <f t="shared" si="1"/>
        <v>-71936.964897959188</v>
      </c>
      <c r="F5" s="20">
        <f t="shared" si="2"/>
        <v>-71936.964897959188</v>
      </c>
      <c r="G5" s="22">
        <f t="shared" ref="G5:G7" si="4">G4+F5</f>
        <v>-256145.81278911571</v>
      </c>
      <c r="H5" s="20">
        <f>SUM('OEB Prescribed Int Rates'!E10:E13)</f>
        <v>-2532.8716585034017</v>
      </c>
      <c r="I5" s="20">
        <f t="shared" ref="I5:I10" si="5">H5+I4</f>
        <v>-2612.4006599591839</v>
      </c>
      <c r="J5" s="22">
        <f t="shared" si="3"/>
        <v>-258758.21344907489</v>
      </c>
    </row>
    <row r="6" spans="1:16" x14ac:dyDescent="0.3">
      <c r="A6" s="43">
        <v>2021</v>
      </c>
      <c r="B6" s="20">
        <f>-'Detailed Calculations'!R43</f>
        <v>-306406.74500000005</v>
      </c>
      <c r="C6" s="37">
        <v>0.26500000000000001</v>
      </c>
      <c r="D6" s="21">
        <f t="shared" si="0"/>
        <v>-81197.787425000017</v>
      </c>
      <c r="E6" s="20">
        <f t="shared" si="1"/>
        <v>-110473.18017006805</v>
      </c>
      <c r="F6" s="20">
        <f t="shared" si="2"/>
        <v>-110473.18017006805</v>
      </c>
      <c r="G6" s="22">
        <f t="shared" si="4"/>
        <v>-366618.99295918376</v>
      </c>
      <c r="H6" s="20">
        <f>SUM('OEB Prescribed Int Rates'!E14:E17)</f>
        <v>-1460.0311328979597</v>
      </c>
      <c r="I6" s="20">
        <f t="shared" si="5"/>
        <v>-4072.4317928571436</v>
      </c>
      <c r="J6" s="22">
        <f t="shared" si="3"/>
        <v>-370691.42475204088</v>
      </c>
    </row>
    <row r="7" spans="1:16" x14ac:dyDescent="0.3">
      <c r="A7" s="43">
        <v>2022</v>
      </c>
      <c r="B7" s="20">
        <f>-'Detailed Calculations'!R55</f>
        <v>-166408.1</v>
      </c>
      <c r="C7" s="37">
        <v>0.26500000000000001</v>
      </c>
      <c r="D7" s="21">
        <f t="shared" si="0"/>
        <v>-44098.146500000003</v>
      </c>
      <c r="E7" s="20">
        <f t="shared" si="1"/>
        <v>-59997.478231292524</v>
      </c>
      <c r="F7" s="20">
        <f t="shared" si="2"/>
        <v>-59997.478231292524</v>
      </c>
      <c r="G7" s="22">
        <f t="shared" si="4"/>
        <v>-426616.47119047627</v>
      </c>
      <c r="H7" s="20">
        <f>SUM('OEB Prescribed Int Rates'!E18:E21)</f>
        <v>-7020.7537151683682</v>
      </c>
      <c r="I7" s="20">
        <f t="shared" si="5"/>
        <v>-11093.185508025512</v>
      </c>
      <c r="J7" s="22">
        <f t="shared" si="3"/>
        <v>-437709.65669850179</v>
      </c>
    </row>
    <row r="8" spans="1:16" x14ac:dyDescent="0.3">
      <c r="A8" s="43">
        <v>2023</v>
      </c>
      <c r="B8" s="20">
        <f>-'Detailed Calculations'!R68</f>
        <v>-187134.52999999994</v>
      </c>
      <c r="C8" s="37">
        <v>0.26500000000000001</v>
      </c>
      <c r="D8" s="21">
        <f t="shared" si="0"/>
        <v>-49590.650449999986</v>
      </c>
      <c r="E8" s="20">
        <f t="shared" si="1"/>
        <v>-67470.272721088419</v>
      </c>
      <c r="F8" s="20">
        <f t="shared" si="2"/>
        <v>-67470.272721088419</v>
      </c>
      <c r="G8" s="22">
        <f>G7+F8</f>
        <v>-494086.7439115647</v>
      </c>
      <c r="H8" s="20">
        <f>SUM('OEB Prescribed Int Rates'!E22:E25)</f>
        <v>-21522.800971559529</v>
      </c>
      <c r="I8" s="20">
        <f t="shared" si="5"/>
        <v>-32615.986479585041</v>
      </c>
      <c r="J8" s="22">
        <f t="shared" si="3"/>
        <v>-526702.73039114976</v>
      </c>
    </row>
    <row r="9" spans="1:16" x14ac:dyDescent="0.3">
      <c r="A9" s="43">
        <v>2024</v>
      </c>
      <c r="B9" s="23" t="s">
        <v>34</v>
      </c>
      <c r="C9" s="23" t="s">
        <v>34</v>
      </c>
      <c r="D9" s="23" t="s">
        <v>34</v>
      </c>
      <c r="E9" s="23" t="s">
        <v>34</v>
      </c>
      <c r="F9" s="23" t="s">
        <v>34</v>
      </c>
      <c r="G9" s="22">
        <f>G8</f>
        <v>-494086.7439115647</v>
      </c>
      <c r="H9" s="20">
        <f>SUM('OEB Prescribed Int Rates'!E26:E29)</f>
        <v>-26408.936462073136</v>
      </c>
      <c r="I9" s="20">
        <f t="shared" si="5"/>
        <v>-59024.92294165818</v>
      </c>
      <c r="J9" s="22">
        <f t="shared" si="3"/>
        <v>-553111.66685322288</v>
      </c>
    </row>
    <row r="10" spans="1:16" x14ac:dyDescent="0.3">
      <c r="A10" s="43">
        <v>2025</v>
      </c>
      <c r="B10" s="23" t="s">
        <v>34</v>
      </c>
      <c r="C10" s="23" t="s">
        <v>34</v>
      </c>
      <c r="D10" s="23" t="s">
        <v>34</v>
      </c>
      <c r="E10" s="23" t="s">
        <v>34</v>
      </c>
      <c r="F10" s="23" t="s">
        <v>34</v>
      </c>
      <c r="G10" s="22">
        <f>G9</f>
        <v>-494086.7439115647</v>
      </c>
      <c r="H10" s="20">
        <f>SUM('OEB Prescribed Int Rates'!E30:E31)</f>
        <v>-8564.1702278004541</v>
      </c>
      <c r="I10" s="20">
        <f t="shared" si="5"/>
        <v>-67589.093169458632</v>
      </c>
      <c r="J10" s="41">
        <f>I10+G10</f>
        <v>-561675.83708102338</v>
      </c>
      <c r="O10" s="24"/>
    </row>
    <row r="11" spans="1:16" x14ac:dyDescent="0.3">
      <c r="O11" s="24"/>
      <c r="P11" s="25"/>
    </row>
    <row r="12" spans="1:16" x14ac:dyDescent="0.3">
      <c r="O12" s="24"/>
      <c r="P12" s="25"/>
    </row>
    <row r="13" spans="1:16" x14ac:dyDescent="0.3">
      <c r="I13" s="24"/>
      <c r="O13" s="24"/>
      <c r="P13" s="25"/>
    </row>
    <row r="14" spans="1:16" x14ac:dyDescent="0.3">
      <c r="I14" s="26"/>
      <c r="O14" s="24"/>
      <c r="P14" s="25"/>
    </row>
    <row r="15" spans="1:16" x14ac:dyDescent="0.3">
      <c r="I15" s="26"/>
      <c r="O15" s="24"/>
      <c r="P15" s="25"/>
    </row>
    <row r="16" spans="1:16" x14ac:dyDescent="0.3">
      <c r="O16" s="2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E30B33-F8CF-4F65-AD07-931F57C4761C}">
  <dimension ref="A1:S69"/>
  <sheetViews>
    <sheetView topLeftCell="A12" zoomScale="70" zoomScaleNormal="70" workbookViewId="0">
      <selection activeCell="P24" sqref="P24"/>
    </sheetView>
  </sheetViews>
  <sheetFormatPr defaultColWidth="9.109375" defaultRowHeight="13.2" x14ac:dyDescent="0.25"/>
  <cols>
    <col min="1" max="1" width="14.88671875" style="7" customWidth="1"/>
    <col min="2" max="2" width="13.88671875" style="7" customWidth="1"/>
    <col min="3" max="12" width="16.109375" style="7" customWidth="1"/>
    <col min="13" max="13" width="6.44140625" style="7" customWidth="1"/>
    <col min="14" max="14" width="16.109375" style="7" customWidth="1"/>
    <col min="15" max="16" width="18.6640625" style="7" customWidth="1"/>
    <col min="17" max="17" width="6.44140625" style="7" customWidth="1"/>
    <col min="18" max="18" width="12.33203125" style="7" customWidth="1"/>
    <col min="19" max="19" width="12.21875" style="7" bestFit="1" customWidth="1"/>
    <col min="20" max="16384" width="9.109375" style="7"/>
  </cols>
  <sheetData>
    <row r="1" spans="1:19" s="11" customFormat="1" ht="15.6" x14ac:dyDescent="0.3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</row>
    <row r="2" spans="1:19" s="2" customFormat="1" ht="52.8" x14ac:dyDescent="0.25">
      <c r="A2" s="2" t="s">
        <v>1</v>
      </c>
      <c r="B2" s="2" t="s">
        <v>2</v>
      </c>
      <c r="C2" s="2" t="s">
        <v>11</v>
      </c>
      <c r="D2" s="2" t="s">
        <v>3</v>
      </c>
      <c r="E2" s="2" t="s">
        <v>4</v>
      </c>
      <c r="F2" s="2" t="s">
        <v>17</v>
      </c>
      <c r="H2" s="2" t="s">
        <v>18</v>
      </c>
      <c r="J2" s="2" t="s">
        <v>5</v>
      </c>
      <c r="K2" s="2" t="s">
        <v>6</v>
      </c>
      <c r="L2" s="2" t="s">
        <v>12</v>
      </c>
      <c r="N2" s="2" t="s">
        <v>23</v>
      </c>
      <c r="O2" s="2" t="s">
        <v>24</v>
      </c>
      <c r="P2" s="2" t="s">
        <v>25</v>
      </c>
      <c r="R2" s="2" t="s">
        <v>26</v>
      </c>
    </row>
    <row r="3" spans="1:19" x14ac:dyDescent="0.25">
      <c r="A3" s="3">
        <v>8</v>
      </c>
      <c r="B3" s="4">
        <v>0.2</v>
      </c>
      <c r="C3" s="5">
        <v>128178</v>
      </c>
      <c r="D3" s="6">
        <f>E3-C3</f>
        <v>-107804</v>
      </c>
      <c r="E3" s="5">
        <v>20374</v>
      </c>
      <c r="F3" s="5">
        <v>0</v>
      </c>
      <c r="G3" s="5"/>
      <c r="H3" s="5">
        <v>0</v>
      </c>
      <c r="I3" s="5"/>
      <c r="J3" s="5">
        <f>$F3*1.5*$B3</f>
        <v>0</v>
      </c>
      <c r="K3" s="5">
        <f>$F3*0.5*$B3</f>
        <v>0</v>
      </c>
      <c r="L3" s="5">
        <f t="shared" ref="L3:L8" si="0">J3-K3</f>
        <v>0</v>
      </c>
      <c r="M3" s="5"/>
      <c r="N3" s="5">
        <v>0</v>
      </c>
      <c r="O3" s="5">
        <v>0</v>
      </c>
      <c r="P3" s="9">
        <f>N3+L3-O3</f>
        <v>0</v>
      </c>
      <c r="Q3" s="9"/>
      <c r="R3" s="9">
        <f>L3-O3</f>
        <v>0</v>
      </c>
    </row>
    <row r="4" spans="1:19" x14ac:dyDescent="0.25">
      <c r="A4" s="3">
        <v>10</v>
      </c>
      <c r="B4" s="4">
        <v>0.3</v>
      </c>
      <c r="C4" s="5">
        <v>220016</v>
      </c>
      <c r="D4" s="6">
        <f t="shared" ref="D4:D8" si="1">E4-C4</f>
        <v>0</v>
      </c>
      <c r="E4" s="5">
        <v>220016</v>
      </c>
      <c r="F4" s="5">
        <v>0</v>
      </c>
      <c r="G4" s="5"/>
      <c r="H4" s="5">
        <v>0</v>
      </c>
      <c r="I4" s="5"/>
      <c r="J4" s="5">
        <f>F4*1.5*B4</f>
        <v>0</v>
      </c>
      <c r="K4" s="5">
        <f t="shared" ref="K4:K8" si="2">$F4*0.5*$B4</f>
        <v>0</v>
      </c>
      <c r="L4" s="5">
        <f t="shared" si="0"/>
        <v>0</v>
      </c>
      <c r="M4" s="5"/>
      <c r="N4" s="5">
        <v>0</v>
      </c>
      <c r="O4" s="5">
        <v>0</v>
      </c>
      <c r="P4" s="9">
        <f t="shared" ref="P4:P8" si="3">N4+L4-O4</f>
        <v>0</v>
      </c>
      <c r="Q4" s="9"/>
      <c r="R4" s="9">
        <f t="shared" ref="R4:R67" si="4">L4-O4</f>
        <v>0</v>
      </c>
    </row>
    <row r="5" spans="1:19" x14ac:dyDescent="0.25">
      <c r="A5" s="3">
        <v>47</v>
      </c>
      <c r="B5" s="4">
        <v>0.08</v>
      </c>
      <c r="C5" s="5">
        <v>1695665</v>
      </c>
      <c r="D5" s="6">
        <f t="shared" si="1"/>
        <v>1270</v>
      </c>
      <c r="E5" s="5">
        <v>1696935</v>
      </c>
      <c r="F5" s="5">
        <v>122681</v>
      </c>
      <c r="G5" s="5"/>
      <c r="H5" s="5">
        <v>0</v>
      </c>
      <c r="I5" s="5"/>
      <c r="J5" s="5">
        <f>F5*1.5*B5</f>
        <v>14721.720000000001</v>
      </c>
      <c r="K5" s="5">
        <f>$F5*0.5*$B5</f>
        <v>4907.24</v>
      </c>
      <c r="L5" s="5">
        <f t="shared" si="0"/>
        <v>9814.4800000000014</v>
      </c>
      <c r="M5" s="5"/>
      <c r="N5" s="5">
        <v>0</v>
      </c>
      <c r="O5" s="5">
        <v>0</v>
      </c>
      <c r="P5" s="9">
        <f t="shared" si="3"/>
        <v>9814.4800000000014</v>
      </c>
      <c r="Q5" s="9"/>
      <c r="R5" s="9">
        <f t="shared" si="4"/>
        <v>9814.4800000000014</v>
      </c>
    </row>
    <row r="6" spans="1:19" x14ac:dyDescent="0.25">
      <c r="A6" s="3">
        <v>50</v>
      </c>
      <c r="B6" s="4">
        <v>0.55000000000000004</v>
      </c>
      <c r="C6" s="5">
        <v>87652</v>
      </c>
      <c r="D6" s="6">
        <f t="shared" si="1"/>
        <v>-87652</v>
      </c>
      <c r="E6" s="5">
        <v>0</v>
      </c>
      <c r="F6" s="5">
        <v>0</v>
      </c>
      <c r="G6" s="5"/>
      <c r="H6" s="5">
        <v>0</v>
      </c>
      <c r="I6" s="5"/>
      <c r="J6" s="5">
        <f>F6*1.5*B6</f>
        <v>0</v>
      </c>
      <c r="K6" s="5">
        <f t="shared" si="2"/>
        <v>0</v>
      </c>
      <c r="L6" s="5">
        <f t="shared" si="0"/>
        <v>0</v>
      </c>
      <c r="M6" s="5"/>
      <c r="N6" s="5">
        <v>0</v>
      </c>
      <c r="O6" s="5">
        <v>0</v>
      </c>
      <c r="P6" s="9">
        <f t="shared" si="3"/>
        <v>0</v>
      </c>
      <c r="Q6" s="9"/>
      <c r="R6" s="9">
        <f t="shared" si="4"/>
        <v>0</v>
      </c>
      <c r="S6" s="16"/>
    </row>
    <row r="7" spans="1:19" x14ac:dyDescent="0.25">
      <c r="A7" s="3">
        <v>12</v>
      </c>
      <c r="B7" s="4">
        <v>1</v>
      </c>
      <c r="C7" s="5">
        <v>215087</v>
      </c>
      <c r="D7" s="6">
        <f t="shared" si="1"/>
        <v>0</v>
      </c>
      <c r="E7" s="5">
        <v>215087</v>
      </c>
      <c r="F7" s="5">
        <v>0</v>
      </c>
      <c r="G7" s="5"/>
      <c r="H7" s="5">
        <v>0</v>
      </c>
      <c r="I7" s="5"/>
      <c r="J7" s="5">
        <f>F7*1.5*B7</f>
        <v>0</v>
      </c>
      <c r="K7" s="5">
        <f t="shared" si="2"/>
        <v>0</v>
      </c>
      <c r="L7" s="5">
        <f t="shared" si="0"/>
        <v>0</v>
      </c>
      <c r="M7" s="5"/>
      <c r="N7" s="5">
        <v>0</v>
      </c>
      <c r="O7" s="5">
        <v>0</v>
      </c>
      <c r="P7" s="9">
        <f t="shared" si="3"/>
        <v>0</v>
      </c>
      <c r="Q7" s="9"/>
      <c r="R7" s="9">
        <f t="shared" si="4"/>
        <v>0</v>
      </c>
      <c r="S7" s="16"/>
    </row>
    <row r="8" spans="1:19" x14ac:dyDescent="0.25">
      <c r="A8" s="3">
        <v>17</v>
      </c>
      <c r="B8" s="4">
        <v>0.08</v>
      </c>
      <c r="C8" s="5">
        <v>0</v>
      </c>
      <c r="D8" s="6">
        <f t="shared" si="1"/>
        <v>107804</v>
      </c>
      <c r="E8" s="5">
        <v>107804</v>
      </c>
      <c r="F8" s="5">
        <v>0</v>
      </c>
      <c r="G8" s="5"/>
      <c r="H8" s="5">
        <v>0</v>
      </c>
      <c r="I8" s="5"/>
      <c r="J8" s="5">
        <f>F8*1.5*B8</f>
        <v>0</v>
      </c>
      <c r="K8" s="5">
        <f t="shared" si="2"/>
        <v>0</v>
      </c>
      <c r="L8" s="5">
        <f t="shared" si="0"/>
        <v>0</v>
      </c>
      <c r="M8" s="5"/>
      <c r="N8" s="5">
        <v>0</v>
      </c>
      <c r="O8" s="5">
        <v>0</v>
      </c>
      <c r="P8" s="9">
        <f t="shared" si="3"/>
        <v>0</v>
      </c>
      <c r="Q8" s="9"/>
      <c r="R8" s="9">
        <f t="shared" si="4"/>
        <v>0</v>
      </c>
      <c r="S8" s="16"/>
    </row>
    <row r="9" spans="1:19" s="1" customFormat="1" x14ac:dyDescent="0.25">
      <c r="A9" s="1" t="s">
        <v>7</v>
      </c>
      <c r="C9" s="8">
        <f>SUM(C3:C8)</f>
        <v>2346598</v>
      </c>
      <c r="D9" s="8">
        <f t="shared" ref="D9:R9" si="5">SUM(D3:D8)</f>
        <v>-86382</v>
      </c>
      <c r="E9" s="8">
        <f t="shared" si="5"/>
        <v>2260216</v>
      </c>
      <c r="F9" s="8">
        <f t="shared" si="5"/>
        <v>122681</v>
      </c>
      <c r="G9" s="8"/>
      <c r="H9" s="8">
        <f t="shared" si="5"/>
        <v>0</v>
      </c>
      <c r="I9" s="8"/>
      <c r="J9" s="8">
        <f t="shared" si="5"/>
        <v>14721.720000000001</v>
      </c>
      <c r="K9" s="8">
        <f t="shared" si="5"/>
        <v>4907.24</v>
      </c>
      <c r="L9" s="8">
        <f>SUM(L3:L8)</f>
        <v>9814.4800000000014</v>
      </c>
      <c r="M9" s="8"/>
      <c r="N9" s="8">
        <f t="shared" si="5"/>
        <v>0</v>
      </c>
      <c r="O9" s="8">
        <f t="shared" si="5"/>
        <v>0</v>
      </c>
      <c r="P9" s="8">
        <f t="shared" si="5"/>
        <v>9814.4800000000014</v>
      </c>
      <c r="Q9" s="8"/>
      <c r="R9" s="8">
        <f t="shared" si="5"/>
        <v>9814.4800000000014</v>
      </c>
      <c r="S9" s="17"/>
    </row>
    <row r="10" spans="1:19" x14ac:dyDescent="0.25">
      <c r="L10" s="9">
        <f>J9-K9-L9</f>
        <v>0</v>
      </c>
      <c r="R10" s="9"/>
      <c r="S10" s="16"/>
    </row>
    <row r="11" spans="1:19" s="12" customFormat="1" ht="15.6" x14ac:dyDescent="0.3">
      <c r="A11" s="10" t="s">
        <v>8</v>
      </c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4"/>
      <c r="Q11" s="14"/>
      <c r="R11" s="15"/>
      <c r="S11" s="18"/>
    </row>
    <row r="12" spans="1:19" ht="52.8" x14ac:dyDescent="0.25">
      <c r="A12" s="2" t="s">
        <v>1</v>
      </c>
      <c r="B12" s="2" t="s">
        <v>2</v>
      </c>
      <c r="C12" s="2" t="s">
        <v>11</v>
      </c>
      <c r="D12" s="2" t="s">
        <v>3</v>
      </c>
      <c r="E12" s="2" t="s">
        <v>4</v>
      </c>
      <c r="F12" s="2" t="str">
        <f>F2</f>
        <v>Revised Cost of Acquisitions Subject to AIIP</v>
      </c>
      <c r="G12" s="2"/>
      <c r="H12" s="2" t="str">
        <f>H2</f>
        <v>Sch 8 Disposals Subject to AIIP</v>
      </c>
      <c r="I12" s="2"/>
      <c r="J12" s="2" t="s">
        <v>10</v>
      </c>
      <c r="K12" s="2" t="s">
        <v>6</v>
      </c>
      <c r="L12" s="2" t="s">
        <v>12</v>
      </c>
      <c r="M12" s="2"/>
      <c r="N12" s="2" t="str">
        <f>N2</f>
        <v>Opening Difference in UCC Due to AIIP/DIEP Rules</v>
      </c>
      <c r="O12" s="2" t="s">
        <v>15</v>
      </c>
      <c r="P12" s="2" t="str">
        <f>P2</f>
        <v>Closing Difference in UCC Due to AIIP/DIEP Rules (+ is more CCA taken)</v>
      </c>
      <c r="Q12" s="2"/>
      <c r="R12" s="2" t="str">
        <f>R2</f>
        <v>Net CCA Difference</v>
      </c>
      <c r="S12" s="16"/>
    </row>
    <row r="13" spans="1:19" x14ac:dyDescent="0.25">
      <c r="A13" s="3">
        <v>8</v>
      </c>
      <c r="B13" s="4">
        <v>0.2</v>
      </c>
      <c r="C13" s="5">
        <v>366707</v>
      </c>
      <c r="D13" s="6">
        <f>E13-C13</f>
        <v>-345644</v>
      </c>
      <c r="E13" s="5">
        <v>21063</v>
      </c>
      <c r="F13" s="5">
        <f>E13</f>
        <v>21063</v>
      </c>
      <c r="G13" s="5"/>
      <c r="H13" s="5">
        <v>0</v>
      </c>
      <c r="I13" s="5"/>
      <c r="J13" s="5">
        <f>(F13-H13+(F13-H13)*0.5)*$B13</f>
        <v>6318.9000000000005</v>
      </c>
      <c r="K13" s="5">
        <f>($F13-H13)*0.5*$B13</f>
        <v>2106.3000000000002</v>
      </c>
      <c r="L13" s="5">
        <f t="shared" ref="L13:L19" si="6">J13-K13</f>
        <v>4212.6000000000004</v>
      </c>
      <c r="M13" s="5"/>
      <c r="N13" s="9">
        <f>P3</f>
        <v>0</v>
      </c>
      <c r="O13" s="9">
        <f t="shared" ref="O13:O14" si="7">ROUND(N13*B13,0)</f>
        <v>0</v>
      </c>
      <c r="P13" s="9">
        <f>N13+L13-O13</f>
        <v>4212.6000000000004</v>
      </c>
      <c r="Q13" s="9"/>
      <c r="R13" s="9">
        <f t="shared" si="4"/>
        <v>4212.6000000000004</v>
      </c>
      <c r="S13" s="16"/>
    </row>
    <row r="14" spans="1:19" x14ac:dyDescent="0.25">
      <c r="A14" s="3">
        <v>10</v>
      </c>
      <c r="B14" s="4">
        <v>0.3</v>
      </c>
      <c r="C14" s="5">
        <v>459036</v>
      </c>
      <c r="D14" s="6">
        <f t="shared" ref="D14:D19" si="8">E14-C14</f>
        <v>0</v>
      </c>
      <c r="E14" s="5">
        <v>459036</v>
      </c>
      <c r="F14" s="5">
        <f t="shared" ref="F14:F19" si="9">E14</f>
        <v>459036</v>
      </c>
      <c r="G14" s="5"/>
      <c r="H14" s="5">
        <v>7206</v>
      </c>
      <c r="I14" s="5"/>
      <c r="J14" s="5">
        <f>(F14-H14+(F14-H14)*0.5)*$B14</f>
        <v>203323.5</v>
      </c>
      <c r="K14" s="5">
        <f>($F14-H14)*0.5*$B14</f>
        <v>67774.5</v>
      </c>
      <c r="L14" s="5">
        <f t="shared" si="6"/>
        <v>135549</v>
      </c>
      <c r="M14" s="5"/>
      <c r="N14" s="9">
        <f t="shared" ref="N14:N18" si="10">P4</f>
        <v>0</v>
      </c>
      <c r="O14" s="9">
        <f t="shared" si="7"/>
        <v>0</v>
      </c>
      <c r="P14" s="9">
        <f t="shared" ref="P14:P19" si="11">N14+L14-O14</f>
        <v>135549</v>
      </c>
      <c r="Q14" s="9"/>
      <c r="R14" s="9">
        <f t="shared" si="4"/>
        <v>135549</v>
      </c>
      <c r="S14" s="16"/>
    </row>
    <row r="15" spans="1:19" x14ac:dyDescent="0.25">
      <c r="A15" s="3">
        <v>47</v>
      </c>
      <c r="B15" s="4">
        <v>0.08</v>
      </c>
      <c r="C15" s="5">
        <v>2068283</v>
      </c>
      <c r="D15" s="6">
        <f t="shared" si="8"/>
        <v>80745</v>
      </c>
      <c r="E15" s="5">
        <v>2149028</v>
      </c>
      <c r="F15" s="5">
        <f t="shared" si="9"/>
        <v>2149028</v>
      </c>
      <c r="G15" s="5"/>
      <c r="H15" s="5">
        <v>18744</v>
      </c>
      <c r="I15" s="5"/>
      <c r="J15" s="5">
        <f t="shared" ref="J15:J19" si="12">(F15-H15+(F15-H15)*0.5)*$B15</f>
        <v>255634.08000000002</v>
      </c>
      <c r="K15" s="5">
        <f t="shared" ref="K15:K19" si="13">($F15-H15)*0.5*$B15</f>
        <v>85211.36</v>
      </c>
      <c r="L15" s="5">
        <f t="shared" si="6"/>
        <v>170422.72000000003</v>
      </c>
      <c r="M15" s="5"/>
      <c r="N15" s="9">
        <f t="shared" si="10"/>
        <v>9814.4800000000014</v>
      </c>
      <c r="O15" s="9">
        <f>ROUND(N15*B15,0)</f>
        <v>785</v>
      </c>
      <c r="P15" s="9">
        <f>N15+L15-O15</f>
        <v>179452.20000000004</v>
      </c>
      <c r="Q15" s="9"/>
      <c r="R15" s="9">
        <f t="shared" si="4"/>
        <v>169637.72000000003</v>
      </c>
      <c r="S15" s="16"/>
    </row>
    <row r="16" spans="1:19" x14ac:dyDescent="0.25">
      <c r="A16" s="3">
        <v>50</v>
      </c>
      <c r="B16" s="4">
        <v>0.55000000000000004</v>
      </c>
      <c r="C16" s="5">
        <v>258904</v>
      </c>
      <c r="D16" s="6">
        <f t="shared" si="8"/>
        <v>-103042</v>
      </c>
      <c r="E16" s="5">
        <v>155862</v>
      </c>
      <c r="F16" s="5">
        <f t="shared" si="9"/>
        <v>155862</v>
      </c>
      <c r="G16" s="5"/>
      <c r="H16" s="5">
        <v>0</v>
      </c>
      <c r="I16" s="5"/>
      <c r="J16" s="5">
        <f t="shared" si="12"/>
        <v>128586.15000000001</v>
      </c>
      <c r="K16" s="5">
        <f>($F16-H16)*0.5*$B16</f>
        <v>42862.05</v>
      </c>
      <c r="L16" s="5">
        <f t="shared" si="6"/>
        <v>85724.1</v>
      </c>
      <c r="M16" s="5"/>
      <c r="N16" s="9">
        <f t="shared" si="10"/>
        <v>0</v>
      </c>
      <c r="O16" s="9">
        <f t="shared" ref="O16:O19" si="14">ROUND(N16*B16,0)</f>
        <v>0</v>
      </c>
      <c r="P16" s="9">
        <f t="shared" si="11"/>
        <v>85724.1</v>
      </c>
      <c r="Q16" s="9"/>
      <c r="R16" s="9">
        <f t="shared" si="4"/>
        <v>85724.1</v>
      </c>
      <c r="S16" s="16"/>
    </row>
    <row r="17" spans="1:19" x14ac:dyDescent="0.25">
      <c r="A17" s="3">
        <v>12</v>
      </c>
      <c r="B17" s="4">
        <v>1</v>
      </c>
      <c r="C17" s="5">
        <v>218986</v>
      </c>
      <c r="D17" s="6">
        <f t="shared" si="8"/>
        <v>-51760</v>
      </c>
      <c r="E17" s="5">
        <v>167226</v>
      </c>
      <c r="F17" s="5">
        <f t="shared" si="9"/>
        <v>167226</v>
      </c>
      <c r="G17" s="5"/>
      <c r="H17" s="5">
        <v>0</v>
      </c>
      <c r="I17" s="5"/>
      <c r="J17" s="5">
        <f>F17</f>
        <v>167226</v>
      </c>
      <c r="K17" s="5">
        <f t="shared" si="13"/>
        <v>83613</v>
      </c>
      <c r="L17" s="5">
        <f t="shared" si="6"/>
        <v>83613</v>
      </c>
      <c r="M17" s="5"/>
      <c r="N17" s="9">
        <f t="shared" si="10"/>
        <v>0</v>
      </c>
      <c r="O17" s="9">
        <f t="shared" si="14"/>
        <v>0</v>
      </c>
      <c r="P17" s="9">
        <f t="shared" si="11"/>
        <v>83613</v>
      </c>
      <c r="Q17" s="9"/>
      <c r="R17" s="9">
        <f t="shared" si="4"/>
        <v>83613</v>
      </c>
      <c r="S17" s="16"/>
    </row>
    <row r="18" spans="1:19" x14ac:dyDescent="0.25">
      <c r="A18" s="3">
        <v>17</v>
      </c>
      <c r="B18" s="4">
        <v>0.08</v>
      </c>
      <c r="C18" s="5">
        <v>0</v>
      </c>
      <c r="D18" s="6">
        <f t="shared" si="8"/>
        <v>81464</v>
      </c>
      <c r="E18" s="5">
        <v>81464</v>
      </c>
      <c r="F18" s="5">
        <f t="shared" si="9"/>
        <v>81464</v>
      </c>
      <c r="G18" s="5"/>
      <c r="H18" s="5">
        <v>0</v>
      </c>
      <c r="I18" s="5"/>
      <c r="J18" s="5">
        <f t="shared" si="12"/>
        <v>9775.68</v>
      </c>
      <c r="K18" s="5">
        <f t="shared" si="13"/>
        <v>3258.56</v>
      </c>
      <c r="L18" s="5">
        <f t="shared" si="6"/>
        <v>6517.1200000000008</v>
      </c>
      <c r="M18" s="5"/>
      <c r="N18" s="9">
        <f t="shared" si="10"/>
        <v>0</v>
      </c>
      <c r="O18" s="9">
        <f t="shared" si="14"/>
        <v>0</v>
      </c>
      <c r="P18" s="9">
        <f t="shared" si="11"/>
        <v>6517.1200000000008</v>
      </c>
      <c r="Q18" s="9"/>
      <c r="R18" s="9">
        <f t="shared" si="4"/>
        <v>6517.1200000000008</v>
      </c>
      <c r="S18" s="16"/>
    </row>
    <row r="19" spans="1:19" x14ac:dyDescent="0.25">
      <c r="A19" s="3" t="s">
        <v>9</v>
      </c>
      <c r="B19" s="4">
        <v>0.06</v>
      </c>
      <c r="C19" s="5">
        <v>0</v>
      </c>
      <c r="D19" s="6">
        <f t="shared" si="8"/>
        <v>264181</v>
      </c>
      <c r="E19" s="5">
        <v>264181</v>
      </c>
      <c r="F19" s="5">
        <f t="shared" si="9"/>
        <v>264181</v>
      </c>
      <c r="G19" s="5"/>
      <c r="H19" s="5">
        <v>0</v>
      </c>
      <c r="I19" s="5"/>
      <c r="J19" s="5">
        <f t="shared" si="12"/>
        <v>23776.29</v>
      </c>
      <c r="K19" s="5">
        <f t="shared" si="13"/>
        <v>7925.4299999999994</v>
      </c>
      <c r="L19" s="5">
        <f t="shared" si="6"/>
        <v>15850.86</v>
      </c>
      <c r="M19" s="5"/>
      <c r="N19" s="9"/>
      <c r="O19" s="9">
        <f t="shared" si="14"/>
        <v>0</v>
      </c>
      <c r="P19" s="9">
        <f t="shared" si="11"/>
        <v>15850.86</v>
      </c>
      <c r="Q19" s="9"/>
      <c r="R19" s="9">
        <f t="shared" si="4"/>
        <v>15850.86</v>
      </c>
      <c r="S19" s="16"/>
    </row>
    <row r="20" spans="1:19" x14ac:dyDescent="0.25">
      <c r="A20" s="1" t="s">
        <v>7</v>
      </c>
      <c r="B20" s="1"/>
      <c r="C20" s="8">
        <f t="shared" ref="C20:D20" si="15">SUM(C13:C19)</f>
        <v>3371916</v>
      </c>
      <c r="D20" s="8">
        <f t="shared" si="15"/>
        <v>-74056</v>
      </c>
      <c r="E20" s="8">
        <f>SUM(E13:E19)</f>
        <v>3297860</v>
      </c>
      <c r="F20" s="8">
        <f t="shared" ref="F20:K20" si="16">SUM(F13:F19)</f>
        <v>3297860</v>
      </c>
      <c r="G20" s="8"/>
      <c r="H20" s="8">
        <f t="shared" si="16"/>
        <v>25950</v>
      </c>
      <c r="I20" s="8"/>
      <c r="J20" s="8">
        <f t="shared" si="16"/>
        <v>794640.60000000009</v>
      </c>
      <c r="K20" s="8">
        <f t="shared" si="16"/>
        <v>292751.2</v>
      </c>
      <c r="L20" s="8">
        <f>SUM(L13:L19)</f>
        <v>501889.4</v>
      </c>
      <c r="M20" s="8"/>
      <c r="N20" s="8">
        <f t="shared" ref="N20:R20" si="17">SUM(N13:N19)</f>
        <v>9814.4800000000014</v>
      </c>
      <c r="O20" s="8">
        <f t="shared" si="17"/>
        <v>785</v>
      </c>
      <c r="P20" s="8">
        <f t="shared" si="17"/>
        <v>510918.88</v>
      </c>
      <c r="Q20" s="8"/>
      <c r="R20" s="8">
        <f t="shared" si="17"/>
        <v>501104.4</v>
      </c>
      <c r="S20" s="17"/>
    </row>
    <row r="21" spans="1:19" x14ac:dyDescent="0.25">
      <c r="L21" s="9">
        <f>J20-K20-L20</f>
        <v>0</v>
      </c>
      <c r="R21" s="9"/>
      <c r="S21" s="16"/>
    </row>
    <row r="22" spans="1:19" s="12" customFormat="1" ht="15.6" x14ac:dyDescent="0.3">
      <c r="A22" s="10" t="s">
        <v>14</v>
      </c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4"/>
      <c r="Q22" s="14"/>
      <c r="R22" s="15"/>
      <c r="S22" s="18"/>
    </row>
    <row r="23" spans="1:19" ht="52.8" x14ac:dyDescent="0.25">
      <c r="A23" s="2" t="s">
        <v>1</v>
      </c>
      <c r="B23" s="2" t="s">
        <v>2</v>
      </c>
      <c r="C23" s="2" t="s">
        <v>11</v>
      </c>
      <c r="D23" s="2" t="s">
        <v>3</v>
      </c>
      <c r="E23" s="2" t="s">
        <v>4</v>
      </c>
      <c r="F23" s="2" t="str">
        <f>F12</f>
        <v>Revised Cost of Acquisitions Subject to AIIP</v>
      </c>
      <c r="G23" s="2"/>
      <c r="H23" s="2" t="str">
        <f>H12</f>
        <v>Sch 8 Disposals Subject to AIIP</v>
      </c>
      <c r="I23" s="2"/>
      <c r="J23" s="2" t="s">
        <v>10</v>
      </c>
      <c r="K23" s="2" t="s">
        <v>6</v>
      </c>
      <c r="L23" s="2" t="s">
        <v>12</v>
      </c>
      <c r="M23" s="2"/>
      <c r="N23" s="2" t="str">
        <f>N12</f>
        <v>Opening Difference in UCC Due to AIIP/DIEP Rules</v>
      </c>
      <c r="O23" s="2" t="s">
        <v>15</v>
      </c>
      <c r="P23" s="2" t="s">
        <v>13</v>
      </c>
      <c r="Q23" s="2"/>
      <c r="R23" s="13" t="str">
        <f>R2</f>
        <v>Net CCA Difference</v>
      </c>
      <c r="S23" s="16"/>
    </row>
    <row r="24" spans="1:19" x14ac:dyDescent="0.25">
      <c r="A24" s="3">
        <v>8</v>
      </c>
      <c r="B24" s="4">
        <v>0.2</v>
      </c>
      <c r="C24" s="5">
        <v>4400</v>
      </c>
      <c r="D24" s="5">
        <f>E24-C24</f>
        <v>0</v>
      </c>
      <c r="E24" s="5">
        <v>4400</v>
      </c>
      <c r="F24" s="5">
        <f>E24</f>
        <v>4400</v>
      </c>
      <c r="G24" s="5"/>
      <c r="H24" s="5">
        <v>0</v>
      </c>
      <c r="I24" s="5"/>
      <c r="J24" s="5">
        <f>(F24-H24+(F24-H24)*0.5)*$B24</f>
        <v>1320</v>
      </c>
      <c r="K24" s="5">
        <f>($F24-H24)*0.5*$B24</f>
        <v>440</v>
      </c>
      <c r="L24" s="5">
        <f t="shared" ref="L24:L30" si="18">J24-K24</f>
        <v>880</v>
      </c>
      <c r="M24" s="5"/>
      <c r="N24" s="9">
        <f>P13</f>
        <v>4212.6000000000004</v>
      </c>
      <c r="O24" s="9">
        <f t="shared" ref="O24:O25" si="19">ROUND(N24*B24,0)</f>
        <v>843</v>
      </c>
      <c r="P24" s="9">
        <f>N24+L24-O24</f>
        <v>4249.6000000000004</v>
      </c>
      <c r="Q24" s="9"/>
      <c r="R24" s="9">
        <f t="shared" si="4"/>
        <v>37</v>
      </c>
      <c r="S24" s="16"/>
    </row>
    <row r="25" spans="1:19" x14ac:dyDescent="0.25">
      <c r="A25" s="3">
        <v>10</v>
      </c>
      <c r="B25" s="4">
        <v>0.3</v>
      </c>
      <c r="C25" s="5">
        <v>31355</v>
      </c>
      <c r="D25" s="5">
        <f t="shared" ref="D25:D30" si="20">E25-C25</f>
        <v>0</v>
      </c>
      <c r="E25" s="5">
        <v>31355</v>
      </c>
      <c r="F25" s="5">
        <f t="shared" ref="F25:F30" si="21">E25</f>
        <v>31355</v>
      </c>
      <c r="G25" s="5"/>
      <c r="H25" s="5">
        <v>5000</v>
      </c>
      <c r="I25" s="5"/>
      <c r="J25" s="5">
        <f>(F25-H25+(F25-H25)*0.5)*$B25</f>
        <v>11859.75</v>
      </c>
      <c r="K25" s="5">
        <f>($F25-H25)*0.5*$B25</f>
        <v>3953.25</v>
      </c>
      <c r="L25" s="5">
        <f t="shared" si="18"/>
        <v>7906.5</v>
      </c>
      <c r="M25" s="5"/>
      <c r="N25" s="9">
        <f t="shared" ref="N25:N29" si="22">P14</f>
        <v>135549</v>
      </c>
      <c r="O25" s="9">
        <f t="shared" si="19"/>
        <v>40665</v>
      </c>
      <c r="P25" s="9">
        <f t="shared" ref="P25" si="23">N25+L25-O25</f>
        <v>102790.5</v>
      </c>
      <c r="Q25" s="9"/>
      <c r="R25" s="9">
        <f t="shared" si="4"/>
        <v>-32758.5</v>
      </c>
      <c r="S25" s="16"/>
    </row>
    <row r="26" spans="1:19" x14ac:dyDescent="0.25">
      <c r="A26" s="3">
        <v>47</v>
      </c>
      <c r="B26" s="4">
        <v>0.08</v>
      </c>
      <c r="C26" s="5">
        <v>2777156</v>
      </c>
      <c r="D26" s="5">
        <f t="shared" si="20"/>
        <v>-69225</v>
      </c>
      <c r="E26" s="5">
        <v>2707931</v>
      </c>
      <c r="F26" s="5">
        <f t="shared" si="21"/>
        <v>2707931</v>
      </c>
      <c r="G26" s="5"/>
      <c r="H26" s="5">
        <v>8892</v>
      </c>
      <c r="I26" s="5"/>
      <c r="J26" s="5">
        <f t="shared" ref="J26:J27" si="24">(F26-H26+(F26-H26)*0.5)*$B26</f>
        <v>323884.68</v>
      </c>
      <c r="K26" s="5">
        <f t="shared" ref="K26:K30" si="25">($F26-H26)*0.5*$B26</f>
        <v>107961.56</v>
      </c>
      <c r="L26" s="5">
        <f t="shared" si="18"/>
        <v>215923.12</v>
      </c>
      <c r="M26" s="5"/>
      <c r="N26" s="9">
        <f t="shared" si="22"/>
        <v>179452.20000000004</v>
      </c>
      <c r="O26" s="9">
        <f>ROUND(N26*B26,0)</f>
        <v>14356</v>
      </c>
      <c r="P26" s="9">
        <f>N26+L26-O26</f>
        <v>381019.32000000007</v>
      </c>
      <c r="Q26" s="9"/>
      <c r="R26" s="9">
        <f t="shared" si="4"/>
        <v>201567.12</v>
      </c>
      <c r="S26" s="16"/>
    </row>
    <row r="27" spans="1:19" x14ac:dyDescent="0.25">
      <c r="A27" s="3">
        <v>50</v>
      </c>
      <c r="B27" s="4">
        <v>0.55000000000000004</v>
      </c>
      <c r="C27" s="5">
        <v>33360</v>
      </c>
      <c r="D27" s="5">
        <f t="shared" si="20"/>
        <v>0</v>
      </c>
      <c r="E27" s="5">
        <v>33360</v>
      </c>
      <c r="F27" s="5">
        <f t="shared" si="21"/>
        <v>33360</v>
      </c>
      <c r="G27" s="5"/>
      <c r="H27" s="5">
        <v>0</v>
      </c>
      <c r="I27" s="5"/>
      <c r="J27" s="5">
        <f t="shared" si="24"/>
        <v>27522.000000000004</v>
      </c>
      <c r="K27" s="5">
        <f t="shared" si="25"/>
        <v>9174</v>
      </c>
      <c r="L27" s="5">
        <f t="shared" si="18"/>
        <v>18348.000000000004</v>
      </c>
      <c r="M27" s="5"/>
      <c r="N27" s="9">
        <f t="shared" si="22"/>
        <v>85724.1</v>
      </c>
      <c r="O27" s="9">
        <f t="shared" ref="O27:O29" si="26">ROUND(N27*B27,0)</f>
        <v>47148</v>
      </c>
      <c r="P27" s="9">
        <f t="shared" ref="P27:P30" si="27">N27+L27-O27</f>
        <v>56924.100000000006</v>
      </c>
      <c r="Q27" s="9"/>
      <c r="R27" s="9">
        <f t="shared" si="4"/>
        <v>-28799.999999999996</v>
      </c>
    </row>
    <row r="28" spans="1:19" x14ac:dyDescent="0.25">
      <c r="A28" s="3">
        <v>12</v>
      </c>
      <c r="B28" s="4">
        <v>1</v>
      </c>
      <c r="C28" s="5">
        <v>235917</v>
      </c>
      <c r="D28" s="5">
        <f t="shared" si="20"/>
        <v>51760</v>
      </c>
      <c r="E28" s="5">
        <v>287677</v>
      </c>
      <c r="F28" s="5">
        <f t="shared" si="21"/>
        <v>287677</v>
      </c>
      <c r="G28" s="5"/>
      <c r="H28" s="5">
        <v>0</v>
      </c>
      <c r="I28" s="5"/>
      <c r="J28" s="5">
        <f>F28</f>
        <v>287677</v>
      </c>
      <c r="K28" s="5">
        <f t="shared" si="25"/>
        <v>143838.5</v>
      </c>
      <c r="L28" s="5">
        <f t="shared" si="18"/>
        <v>143838.5</v>
      </c>
      <c r="M28" s="5"/>
      <c r="N28" s="9">
        <f t="shared" si="22"/>
        <v>83613</v>
      </c>
      <c r="O28" s="9">
        <f t="shared" si="26"/>
        <v>83613</v>
      </c>
      <c r="P28" s="9">
        <f t="shared" si="27"/>
        <v>143838.5</v>
      </c>
      <c r="Q28" s="9"/>
      <c r="R28" s="9">
        <f t="shared" si="4"/>
        <v>60225.5</v>
      </c>
    </row>
    <row r="29" spans="1:19" x14ac:dyDescent="0.25">
      <c r="A29" s="3">
        <v>17</v>
      </c>
      <c r="B29" s="4">
        <v>0.08</v>
      </c>
      <c r="C29" s="5">
        <v>9052</v>
      </c>
      <c r="D29" s="5">
        <f t="shared" si="20"/>
        <v>0</v>
      </c>
      <c r="E29" s="5">
        <v>9052</v>
      </c>
      <c r="F29" s="5">
        <f t="shared" si="21"/>
        <v>9052</v>
      </c>
      <c r="G29" s="5"/>
      <c r="H29" s="5">
        <v>0</v>
      </c>
      <c r="I29" s="5"/>
      <c r="J29" s="5">
        <f t="shared" ref="J29:J30" si="28">(F29-H29+(F29-H29)*0.5)*$B29</f>
        <v>1086.24</v>
      </c>
      <c r="K29" s="5">
        <f t="shared" si="25"/>
        <v>362.08</v>
      </c>
      <c r="L29" s="5">
        <f t="shared" si="18"/>
        <v>724.16000000000008</v>
      </c>
      <c r="M29" s="5"/>
      <c r="N29" s="9">
        <f t="shared" si="22"/>
        <v>6517.1200000000008</v>
      </c>
      <c r="O29" s="9">
        <f t="shared" si="26"/>
        <v>521</v>
      </c>
      <c r="P29" s="9">
        <f t="shared" si="27"/>
        <v>6720.2800000000007</v>
      </c>
      <c r="Q29" s="9"/>
      <c r="R29" s="9">
        <f t="shared" si="4"/>
        <v>203.16000000000008</v>
      </c>
    </row>
    <row r="30" spans="1:19" x14ac:dyDescent="0.25">
      <c r="A30" s="3" t="s">
        <v>9</v>
      </c>
      <c r="B30" s="4">
        <v>0.06</v>
      </c>
      <c r="C30" s="5">
        <v>0</v>
      </c>
      <c r="D30" s="5">
        <f t="shared" si="20"/>
        <v>0</v>
      </c>
      <c r="E30" s="5">
        <v>0</v>
      </c>
      <c r="F30" s="5">
        <f t="shared" si="21"/>
        <v>0</v>
      </c>
      <c r="G30" s="5"/>
      <c r="H30" s="5">
        <v>0</v>
      </c>
      <c r="I30" s="5"/>
      <c r="J30" s="5">
        <f t="shared" si="28"/>
        <v>0</v>
      </c>
      <c r="K30" s="5">
        <f t="shared" si="25"/>
        <v>0</v>
      </c>
      <c r="L30" s="5">
        <f t="shared" si="18"/>
        <v>0</v>
      </c>
      <c r="M30" s="5"/>
      <c r="N30" s="9">
        <f>P19</f>
        <v>15850.86</v>
      </c>
      <c r="O30" s="9">
        <f>ROUND(N30*B30,0)</f>
        <v>951</v>
      </c>
      <c r="P30" s="9">
        <f t="shared" si="27"/>
        <v>14899.86</v>
      </c>
      <c r="Q30" s="9"/>
      <c r="R30" s="9">
        <f t="shared" si="4"/>
        <v>-951</v>
      </c>
    </row>
    <row r="31" spans="1:19" x14ac:dyDescent="0.25">
      <c r="A31" s="1" t="s">
        <v>7</v>
      </c>
      <c r="B31" s="1"/>
      <c r="C31" s="8">
        <f t="shared" ref="C31" si="29">SUM(C24:C30)</f>
        <v>3091240</v>
      </c>
      <c r="D31" s="8">
        <f t="shared" ref="D31" si="30">SUM(D24:D30)</f>
        <v>-17465</v>
      </c>
      <c r="E31" s="8">
        <f>SUM(E24:E30)</f>
        <v>3073775</v>
      </c>
      <c r="F31" s="8">
        <f t="shared" ref="F31" si="31">SUM(F24:F30)</f>
        <v>3073775</v>
      </c>
      <c r="G31" s="8"/>
      <c r="H31" s="8">
        <f t="shared" ref="H31" si="32">SUM(H24:H30)</f>
        <v>13892</v>
      </c>
      <c r="I31" s="8"/>
      <c r="J31" s="8">
        <f t="shared" ref="J31" si="33">SUM(J24:J30)</f>
        <v>653349.66999999993</v>
      </c>
      <c r="K31" s="8">
        <f t="shared" ref="K31" si="34">SUM(K24:K30)</f>
        <v>265729.39</v>
      </c>
      <c r="L31" s="8">
        <f>SUM(L24:L30)</f>
        <v>387620.27999999997</v>
      </c>
      <c r="M31" s="8"/>
      <c r="N31" s="8">
        <f t="shared" ref="N31:O31" si="35">SUM(N24:N30)</f>
        <v>510918.88</v>
      </c>
      <c r="O31" s="8">
        <f t="shared" si="35"/>
        <v>188097</v>
      </c>
      <c r="P31" s="8">
        <f>SUM(P24:P30)</f>
        <v>710442.16</v>
      </c>
      <c r="Q31" s="8"/>
      <c r="R31" s="8">
        <f>SUM(R24:R30)</f>
        <v>199523.28</v>
      </c>
      <c r="S31" s="17"/>
    </row>
    <row r="32" spans="1:19" x14ac:dyDescent="0.25">
      <c r="L32" s="9">
        <f>J31-K31-L31</f>
        <v>0</v>
      </c>
      <c r="R32" s="9"/>
    </row>
    <row r="33" spans="1:19" s="12" customFormat="1" ht="15.6" x14ac:dyDescent="0.3">
      <c r="A33" s="10" t="s">
        <v>16</v>
      </c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4"/>
      <c r="N33" s="14"/>
      <c r="O33" s="14"/>
      <c r="P33" s="14"/>
      <c r="Q33" s="14"/>
      <c r="R33" s="15"/>
    </row>
    <row r="34" spans="1:19" ht="52.8" x14ac:dyDescent="0.25">
      <c r="A34" s="2" t="s">
        <v>1</v>
      </c>
      <c r="B34" s="2" t="s">
        <v>2</v>
      </c>
      <c r="C34" s="2" t="s">
        <v>11</v>
      </c>
      <c r="D34" s="2" t="s">
        <v>3</v>
      </c>
      <c r="E34" s="2" t="s">
        <v>4</v>
      </c>
      <c r="F34" s="2" t="str">
        <f>F23</f>
        <v>Revised Cost of Acquisitions Subject to AIIP</v>
      </c>
      <c r="G34" s="2" t="s">
        <v>19</v>
      </c>
      <c r="H34" s="2" t="str">
        <f>H23</f>
        <v>Sch 8 Disposals Subject to AIIP</v>
      </c>
      <c r="I34" s="2" t="s">
        <v>20</v>
      </c>
      <c r="J34" s="2" t="s">
        <v>10</v>
      </c>
      <c r="K34" s="2" t="s">
        <v>6</v>
      </c>
      <c r="L34" s="2" t="s">
        <v>12</v>
      </c>
      <c r="N34" s="2" t="str">
        <f>N23</f>
        <v>Opening Difference in UCC Due to AIIP/DIEP Rules</v>
      </c>
      <c r="O34" s="2" t="s">
        <v>15</v>
      </c>
      <c r="P34" s="2" t="s">
        <v>13</v>
      </c>
      <c r="Q34" s="2"/>
      <c r="R34" s="13" t="str">
        <f>R2</f>
        <v>Net CCA Difference</v>
      </c>
    </row>
    <row r="35" spans="1:19" x14ac:dyDescent="0.25">
      <c r="A35" s="3">
        <v>8</v>
      </c>
      <c r="B35" s="4">
        <v>0.2</v>
      </c>
      <c r="C35" s="5">
        <v>15762</v>
      </c>
      <c r="D35" s="5">
        <f>E35-C35</f>
        <v>0</v>
      </c>
      <c r="E35" s="5">
        <v>15762</v>
      </c>
      <c r="F35" s="5">
        <f>E35</f>
        <v>15762</v>
      </c>
      <c r="G35" s="5"/>
      <c r="H35" s="5">
        <v>0</v>
      </c>
      <c r="I35" s="5"/>
      <c r="J35" s="5">
        <f>(F35-H35+(F35-H35)*0.5)*$B35+(G35-I35)</f>
        <v>4728.6000000000004</v>
      </c>
      <c r="K35" s="5">
        <f>(F35+G35-H35-I35)*0.5*$B35</f>
        <v>1576.2</v>
      </c>
      <c r="L35" s="5">
        <f t="shared" ref="L35:L41" si="36">J35-K35</f>
        <v>3152.4000000000005</v>
      </c>
      <c r="N35" s="9">
        <f>P24</f>
        <v>4249.6000000000004</v>
      </c>
      <c r="O35" s="9">
        <f>ROUND(N35*B35,0)</f>
        <v>850</v>
      </c>
      <c r="P35" s="9">
        <f>N35+L35-O35</f>
        <v>6552.0000000000009</v>
      </c>
      <c r="Q35" s="9"/>
      <c r="R35" s="9">
        <f t="shared" si="4"/>
        <v>2302.4000000000005</v>
      </c>
    </row>
    <row r="36" spans="1:19" x14ac:dyDescent="0.25">
      <c r="A36" s="3">
        <v>10</v>
      </c>
      <c r="B36" s="4">
        <v>0.3</v>
      </c>
      <c r="C36" s="5">
        <v>361328</v>
      </c>
      <c r="D36" s="5">
        <f t="shared" ref="D36:D42" si="37">E36-C36</f>
        <v>0</v>
      </c>
      <c r="E36" s="5">
        <v>361328</v>
      </c>
      <c r="F36" s="5">
        <v>11652</v>
      </c>
      <c r="G36" s="5">
        <v>349676</v>
      </c>
      <c r="H36" s="5">
        <v>0</v>
      </c>
      <c r="I36" s="5">
        <v>500</v>
      </c>
      <c r="J36" s="5">
        <f>(F36-H36+(F36-H36)*0.5)*$B36+(G36-I36)</f>
        <v>354419.4</v>
      </c>
      <c r="K36" s="5">
        <f t="shared" ref="K36:K41" si="38">(F36+G36-H36-I36)*0.5*$B36</f>
        <v>54124.2</v>
      </c>
      <c r="L36" s="5">
        <f t="shared" si="36"/>
        <v>300295.2</v>
      </c>
      <c r="N36" s="9">
        <f t="shared" ref="N36:N41" si="39">P25</f>
        <v>102790.5</v>
      </c>
      <c r="O36" s="9">
        <f t="shared" ref="O36" si="40">ROUND(N36*B36,0)</f>
        <v>30837</v>
      </c>
      <c r="P36" s="9">
        <f t="shared" ref="P36" si="41">N36+L36-O36</f>
        <v>372248.7</v>
      </c>
      <c r="Q36" s="9"/>
      <c r="R36" s="9">
        <f t="shared" si="4"/>
        <v>269458.2</v>
      </c>
    </row>
    <row r="37" spans="1:19" x14ac:dyDescent="0.25">
      <c r="A37" s="3">
        <v>47</v>
      </c>
      <c r="B37" s="4">
        <v>0.08</v>
      </c>
      <c r="C37" s="5">
        <v>2734953</v>
      </c>
      <c r="D37" s="5">
        <f t="shared" si="37"/>
        <v>0</v>
      </c>
      <c r="E37" s="5">
        <v>2734953</v>
      </c>
      <c r="F37" s="5">
        <f t="shared" ref="F37:F41" si="42">E37</f>
        <v>2734953</v>
      </c>
      <c r="G37" s="5"/>
      <c r="H37" s="5">
        <v>120465</v>
      </c>
      <c r="I37" s="5"/>
      <c r="J37" s="5">
        <f t="shared" ref="J37:J41" si="43">(F37-H37+(F37-H37)*0.5)*$B37+(G37-I37)</f>
        <v>313738.56</v>
      </c>
      <c r="K37" s="5">
        <f t="shared" si="38"/>
        <v>104579.52</v>
      </c>
      <c r="L37" s="5">
        <f t="shared" si="36"/>
        <v>209159.03999999998</v>
      </c>
      <c r="N37" s="9">
        <f t="shared" si="39"/>
        <v>381019.32000000007</v>
      </c>
      <c r="O37" s="9">
        <f>ROUND(N37*B37,0)</f>
        <v>30482</v>
      </c>
      <c r="P37" s="9">
        <f>N37+L37-O37</f>
        <v>559696.3600000001</v>
      </c>
      <c r="Q37" s="9"/>
      <c r="R37" s="9">
        <f t="shared" si="4"/>
        <v>178677.03999999998</v>
      </c>
    </row>
    <row r="38" spans="1:19" x14ac:dyDescent="0.25">
      <c r="A38" s="3">
        <v>50</v>
      </c>
      <c r="B38" s="4">
        <v>0.55000000000000004</v>
      </c>
      <c r="C38" s="5">
        <v>39044</v>
      </c>
      <c r="D38" s="5">
        <f t="shared" si="37"/>
        <v>0</v>
      </c>
      <c r="E38" s="5">
        <v>39044</v>
      </c>
      <c r="F38" s="5">
        <v>11205</v>
      </c>
      <c r="G38" s="5">
        <v>27839</v>
      </c>
      <c r="H38" s="5">
        <v>0</v>
      </c>
      <c r="I38" s="5"/>
      <c r="J38" s="5">
        <f t="shared" si="43"/>
        <v>37083.125</v>
      </c>
      <c r="K38" s="5">
        <f t="shared" si="38"/>
        <v>10737.1</v>
      </c>
      <c r="L38" s="5">
        <f t="shared" si="36"/>
        <v>26346.025000000001</v>
      </c>
      <c r="N38" s="9">
        <f t="shared" si="39"/>
        <v>56924.100000000006</v>
      </c>
      <c r="O38" s="9">
        <f t="shared" ref="O38:O40" si="44">ROUND(N38*B38,0)</f>
        <v>31308</v>
      </c>
      <c r="P38" s="9">
        <f t="shared" ref="P38:P41" si="45">N38+L38-O38</f>
        <v>51962.125</v>
      </c>
      <c r="Q38" s="9"/>
      <c r="R38" s="9">
        <f t="shared" si="4"/>
        <v>-4961.9749999999985</v>
      </c>
    </row>
    <row r="39" spans="1:19" x14ac:dyDescent="0.25">
      <c r="A39" s="3">
        <v>12</v>
      </c>
      <c r="B39" s="4">
        <v>1</v>
      </c>
      <c r="C39" s="5">
        <v>11781</v>
      </c>
      <c r="D39" s="5">
        <f t="shared" si="37"/>
        <v>0</v>
      </c>
      <c r="E39" s="5">
        <v>11781</v>
      </c>
      <c r="F39" s="5">
        <f t="shared" si="42"/>
        <v>11781</v>
      </c>
      <c r="G39" s="5"/>
      <c r="H39" s="5">
        <v>0</v>
      </c>
      <c r="I39" s="5"/>
      <c r="J39" s="5">
        <f>F39</f>
        <v>11781</v>
      </c>
      <c r="K39" s="5">
        <f t="shared" si="38"/>
        <v>5890.5</v>
      </c>
      <c r="L39" s="5">
        <f t="shared" si="36"/>
        <v>5890.5</v>
      </c>
      <c r="N39" s="9">
        <f t="shared" si="39"/>
        <v>143838.5</v>
      </c>
      <c r="O39" s="9">
        <f t="shared" si="44"/>
        <v>143839</v>
      </c>
      <c r="P39" s="9">
        <f t="shared" si="45"/>
        <v>5890</v>
      </c>
      <c r="Q39" s="9"/>
      <c r="R39" s="9">
        <f t="shared" si="4"/>
        <v>-137948.5</v>
      </c>
    </row>
    <row r="40" spans="1:19" x14ac:dyDescent="0.25">
      <c r="A40" s="3">
        <v>17</v>
      </c>
      <c r="B40" s="4">
        <v>0.08</v>
      </c>
      <c r="C40" s="5">
        <v>0</v>
      </c>
      <c r="D40" s="5">
        <f t="shared" si="37"/>
        <v>0</v>
      </c>
      <c r="E40" s="5">
        <v>0</v>
      </c>
      <c r="F40" s="5">
        <f t="shared" si="42"/>
        <v>0</v>
      </c>
      <c r="G40" s="5"/>
      <c r="H40" s="5">
        <v>0</v>
      </c>
      <c r="I40" s="5"/>
      <c r="J40" s="5">
        <f t="shared" si="43"/>
        <v>0</v>
      </c>
      <c r="K40" s="5">
        <f t="shared" si="38"/>
        <v>0</v>
      </c>
      <c r="L40" s="5">
        <f t="shared" si="36"/>
        <v>0</v>
      </c>
      <c r="N40" s="9">
        <f t="shared" si="39"/>
        <v>6720.2800000000007</v>
      </c>
      <c r="O40" s="9">
        <f t="shared" si="44"/>
        <v>538</v>
      </c>
      <c r="P40" s="9">
        <f t="shared" si="45"/>
        <v>6182.2800000000007</v>
      </c>
      <c r="Q40" s="9"/>
      <c r="R40" s="9">
        <f t="shared" si="4"/>
        <v>-538</v>
      </c>
    </row>
    <row r="41" spans="1:19" x14ac:dyDescent="0.25">
      <c r="A41" s="3" t="s">
        <v>9</v>
      </c>
      <c r="B41" s="4">
        <v>0.06</v>
      </c>
      <c r="C41" s="5">
        <v>5193</v>
      </c>
      <c r="D41" s="5">
        <f t="shared" si="37"/>
        <v>0</v>
      </c>
      <c r="E41" s="5">
        <v>5193</v>
      </c>
      <c r="F41" s="5">
        <f t="shared" si="42"/>
        <v>5193</v>
      </c>
      <c r="G41" s="5"/>
      <c r="H41" s="5">
        <v>0</v>
      </c>
      <c r="I41" s="5"/>
      <c r="J41" s="5">
        <f t="shared" si="43"/>
        <v>467.37</v>
      </c>
      <c r="K41" s="5">
        <f t="shared" si="38"/>
        <v>155.79</v>
      </c>
      <c r="L41" s="5">
        <f t="shared" si="36"/>
        <v>311.58000000000004</v>
      </c>
      <c r="N41" s="9">
        <f t="shared" si="39"/>
        <v>14899.86</v>
      </c>
      <c r="O41" s="9">
        <f>ROUND(N41*B41,0)</f>
        <v>894</v>
      </c>
      <c r="P41" s="9">
        <f t="shared" si="45"/>
        <v>14317.44</v>
      </c>
      <c r="Q41" s="9"/>
      <c r="R41" s="9">
        <f t="shared" si="4"/>
        <v>-582.41999999999996</v>
      </c>
    </row>
    <row r="42" spans="1:19" x14ac:dyDescent="0.25">
      <c r="A42" s="3">
        <v>95</v>
      </c>
      <c r="B42" s="4">
        <v>0</v>
      </c>
      <c r="C42" s="5">
        <v>65690</v>
      </c>
      <c r="D42" s="5">
        <f t="shared" si="37"/>
        <v>0</v>
      </c>
      <c r="E42" s="5">
        <v>65690</v>
      </c>
      <c r="F42" s="5">
        <f>E42</f>
        <v>65690</v>
      </c>
      <c r="G42" s="5"/>
      <c r="H42" s="5"/>
      <c r="I42" s="5"/>
      <c r="J42" s="5"/>
      <c r="K42" s="5"/>
      <c r="L42" s="5"/>
      <c r="N42" s="9">
        <v>0</v>
      </c>
      <c r="O42" s="9">
        <f>ROUND(N42*B42,0)</f>
        <v>0</v>
      </c>
      <c r="P42" s="9">
        <f t="shared" ref="P42" si="46">N42+L42-O42</f>
        <v>0</v>
      </c>
      <c r="Q42" s="9"/>
      <c r="R42" s="9">
        <f t="shared" si="4"/>
        <v>0</v>
      </c>
    </row>
    <row r="43" spans="1:19" x14ac:dyDescent="0.25">
      <c r="A43" s="1" t="s">
        <v>7</v>
      </c>
      <c r="B43" s="1"/>
      <c r="C43" s="8">
        <f>SUM(C35:C42)</f>
        <v>3233751</v>
      </c>
      <c r="D43" s="8">
        <f t="shared" ref="D43:L43" si="47">SUM(D35:D42)</f>
        <v>0</v>
      </c>
      <c r="E43" s="8">
        <f t="shared" si="47"/>
        <v>3233751</v>
      </c>
      <c r="F43" s="8">
        <f t="shared" si="47"/>
        <v>2856236</v>
      </c>
      <c r="G43" s="8">
        <f t="shared" si="47"/>
        <v>377515</v>
      </c>
      <c r="H43" s="8">
        <f t="shared" si="47"/>
        <v>120465</v>
      </c>
      <c r="I43" s="8">
        <f t="shared" si="47"/>
        <v>500</v>
      </c>
      <c r="J43" s="8">
        <f t="shared" si="47"/>
        <v>722218.05500000005</v>
      </c>
      <c r="K43" s="8">
        <f t="shared" si="47"/>
        <v>177063.31</v>
      </c>
      <c r="L43" s="8">
        <f t="shared" si="47"/>
        <v>545154.745</v>
      </c>
      <c r="N43" s="8">
        <f>SUM(N35:N42)</f>
        <v>710442.16</v>
      </c>
      <c r="O43" s="8">
        <f t="shared" ref="O43:R43" si="48">SUM(O35:O42)</f>
        <v>238748</v>
      </c>
      <c r="P43" s="8">
        <f t="shared" si="48"/>
        <v>1016848.905</v>
      </c>
      <c r="Q43" s="8"/>
      <c r="R43" s="8">
        <f t="shared" si="48"/>
        <v>306406.74500000005</v>
      </c>
      <c r="S43" s="17"/>
    </row>
    <row r="44" spans="1:19" x14ac:dyDescent="0.25">
      <c r="L44" s="9">
        <f>J43-K43-L43</f>
        <v>0</v>
      </c>
      <c r="R44" s="9"/>
    </row>
    <row r="45" spans="1:19" ht="15.6" x14ac:dyDescent="0.3">
      <c r="A45" s="10" t="s">
        <v>21</v>
      </c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4"/>
      <c r="N45" s="14"/>
      <c r="O45" s="14"/>
      <c r="P45" s="14"/>
      <c r="Q45" s="14"/>
      <c r="R45" s="15"/>
    </row>
    <row r="46" spans="1:19" ht="52.8" x14ac:dyDescent="0.25">
      <c r="A46" s="2" t="s">
        <v>1</v>
      </c>
      <c r="B46" s="2" t="s">
        <v>2</v>
      </c>
      <c r="C46" s="2" t="s">
        <v>11</v>
      </c>
      <c r="D46" s="2" t="s">
        <v>3</v>
      </c>
      <c r="E46" s="2" t="s">
        <v>4</v>
      </c>
      <c r="F46" s="13" t="str">
        <f>F2</f>
        <v>Revised Cost of Acquisitions Subject to AIIP</v>
      </c>
      <c r="G46" s="2" t="s">
        <v>19</v>
      </c>
      <c r="H46" s="2" t="str">
        <f>H2</f>
        <v>Sch 8 Disposals Subject to AIIP</v>
      </c>
      <c r="I46" s="2" t="s">
        <v>20</v>
      </c>
      <c r="J46" s="2" t="s">
        <v>10</v>
      </c>
      <c r="K46" s="2" t="s">
        <v>6</v>
      </c>
      <c r="L46" s="2" t="s">
        <v>12</v>
      </c>
      <c r="N46" s="2" t="str">
        <f>N2</f>
        <v>Opening Difference in UCC Due to AIIP/DIEP Rules</v>
      </c>
      <c r="O46" s="2" t="s">
        <v>15</v>
      </c>
      <c r="P46" s="2" t="s">
        <v>13</v>
      </c>
      <c r="Q46" s="2"/>
      <c r="R46" s="13" t="str">
        <f>R2</f>
        <v>Net CCA Difference</v>
      </c>
    </row>
    <row r="47" spans="1:19" x14ac:dyDescent="0.25">
      <c r="A47" s="3">
        <v>8</v>
      </c>
      <c r="B47" s="4">
        <v>0.2</v>
      </c>
      <c r="C47" s="5">
        <v>52738</v>
      </c>
      <c r="D47" s="5">
        <v>0</v>
      </c>
      <c r="E47" s="5">
        <v>52738</v>
      </c>
      <c r="F47" s="5"/>
      <c r="G47" s="5">
        <f>E47</f>
        <v>52738</v>
      </c>
      <c r="H47" s="5">
        <v>0</v>
      </c>
      <c r="I47" s="5"/>
      <c r="J47" s="5">
        <f>(F47-H47+(F47)*0.5)*$B47+(G47-I47)</f>
        <v>52738</v>
      </c>
      <c r="K47" s="5">
        <f>(F47+G47-H47-I47)*0.5*$B47</f>
        <v>5273.8</v>
      </c>
      <c r="L47" s="5">
        <f t="shared" ref="L47:L54" si="49">J47-K47</f>
        <v>47464.2</v>
      </c>
      <c r="N47" s="9">
        <f>P35</f>
        <v>6552.0000000000009</v>
      </c>
      <c r="O47" s="9">
        <f>ROUND(N47*B47,0)</f>
        <v>1310</v>
      </c>
      <c r="P47" s="9">
        <f>N47+L47-O47</f>
        <v>52706.2</v>
      </c>
      <c r="Q47" s="9"/>
      <c r="R47" s="9">
        <f t="shared" si="4"/>
        <v>46154.2</v>
      </c>
    </row>
    <row r="48" spans="1:19" x14ac:dyDescent="0.25">
      <c r="A48" s="3">
        <v>10</v>
      </c>
      <c r="B48" s="4">
        <v>0.3</v>
      </c>
      <c r="C48" s="5">
        <v>49859</v>
      </c>
      <c r="D48" s="5">
        <v>0</v>
      </c>
      <c r="E48" s="5">
        <v>49859</v>
      </c>
      <c r="F48" s="5"/>
      <c r="G48" s="5">
        <f>E48</f>
        <v>49859</v>
      </c>
      <c r="H48" s="5">
        <v>1486</v>
      </c>
      <c r="I48" s="5"/>
      <c r="J48" s="5">
        <f>(F48-H48+(F48)*0.5)*$B48+(G48-I48)</f>
        <v>49413.2</v>
      </c>
      <c r="K48" s="5">
        <f t="shared" ref="K48:K54" si="50">(F48+G48-H48-I48)*0.5*$B48</f>
        <v>7255.95</v>
      </c>
      <c r="L48" s="5">
        <f t="shared" si="49"/>
        <v>42157.25</v>
      </c>
      <c r="N48" s="9">
        <f t="shared" ref="N48:N54" si="51">P36</f>
        <v>372248.7</v>
      </c>
      <c r="O48" s="9">
        <f t="shared" ref="O48" si="52">ROUND(N48*B48,0)</f>
        <v>111675</v>
      </c>
      <c r="P48" s="9">
        <f t="shared" ref="P48:P54" si="53">N48+L48-O48</f>
        <v>302730.95</v>
      </c>
      <c r="Q48" s="9"/>
      <c r="R48" s="9">
        <f t="shared" si="4"/>
        <v>-69517.75</v>
      </c>
    </row>
    <row r="49" spans="1:19" x14ac:dyDescent="0.25">
      <c r="A49" s="3">
        <v>47</v>
      </c>
      <c r="B49" s="4">
        <v>0.08</v>
      </c>
      <c r="C49" s="5">
        <v>3311022</v>
      </c>
      <c r="D49" s="5">
        <v>0</v>
      </c>
      <c r="E49" s="5">
        <v>3311022</v>
      </c>
      <c r="F49" s="5">
        <f t="shared" ref="F49:F53" si="54">E49</f>
        <v>3311022</v>
      </c>
      <c r="G49" s="5"/>
      <c r="H49" s="5">
        <v>61912</v>
      </c>
      <c r="I49" s="5"/>
      <c r="J49" s="5">
        <f t="shared" ref="J49:J51" si="55">(F49-H49+(F49-H49)*0.5)*$B49+(G49-I49)</f>
        <v>389893.2</v>
      </c>
      <c r="K49" s="5">
        <f t="shared" si="50"/>
        <v>129964.40000000001</v>
      </c>
      <c r="L49" s="5">
        <f t="shared" si="49"/>
        <v>259928.8</v>
      </c>
      <c r="N49" s="9">
        <f t="shared" si="51"/>
        <v>559696.3600000001</v>
      </c>
      <c r="O49" s="9">
        <f>ROUND(N49*B49,0)</f>
        <v>44776</v>
      </c>
      <c r="P49" s="9">
        <f t="shared" si="53"/>
        <v>774849.16000000015</v>
      </c>
      <c r="Q49" s="9"/>
      <c r="R49" s="9">
        <f t="shared" si="4"/>
        <v>215152.8</v>
      </c>
    </row>
    <row r="50" spans="1:19" x14ac:dyDescent="0.25">
      <c r="A50" s="3">
        <v>50</v>
      </c>
      <c r="B50" s="4">
        <v>0.55000000000000004</v>
      </c>
      <c r="C50" s="5">
        <v>8986</v>
      </c>
      <c r="D50" s="5">
        <v>0</v>
      </c>
      <c r="E50" s="5">
        <v>8986</v>
      </c>
      <c r="F50" s="5"/>
      <c r="G50" s="5">
        <f t="shared" ref="G50:G53" si="56">E50</f>
        <v>8986</v>
      </c>
      <c r="H50" s="5">
        <v>0</v>
      </c>
      <c r="I50" s="5"/>
      <c r="J50" s="5">
        <f t="shared" si="55"/>
        <v>8986</v>
      </c>
      <c r="K50" s="5">
        <f t="shared" si="50"/>
        <v>2471.15</v>
      </c>
      <c r="L50" s="5">
        <f t="shared" si="49"/>
        <v>6514.85</v>
      </c>
      <c r="N50" s="9">
        <f t="shared" si="51"/>
        <v>51962.125</v>
      </c>
      <c r="O50" s="9">
        <f t="shared" ref="O50:O52" si="57">ROUND(N50*B50,0)</f>
        <v>28579</v>
      </c>
      <c r="P50" s="9">
        <f t="shared" si="53"/>
        <v>29897.974999999999</v>
      </c>
      <c r="Q50" s="9"/>
      <c r="R50" s="9">
        <f t="shared" si="4"/>
        <v>-22064.15</v>
      </c>
    </row>
    <row r="51" spans="1:19" x14ac:dyDescent="0.25">
      <c r="A51" s="3">
        <v>12</v>
      </c>
      <c r="B51" s="4">
        <v>1</v>
      </c>
      <c r="C51" s="5">
        <v>7854</v>
      </c>
      <c r="D51" s="5">
        <v>0</v>
      </c>
      <c r="E51" s="5">
        <v>7854</v>
      </c>
      <c r="F51" s="5"/>
      <c r="G51" s="5">
        <f t="shared" si="56"/>
        <v>7854</v>
      </c>
      <c r="H51" s="5">
        <v>0</v>
      </c>
      <c r="I51" s="5"/>
      <c r="J51" s="5">
        <f t="shared" si="55"/>
        <v>7854</v>
      </c>
      <c r="K51" s="5">
        <f t="shared" si="50"/>
        <v>3927</v>
      </c>
      <c r="L51" s="5">
        <f t="shared" si="49"/>
        <v>3927</v>
      </c>
      <c r="N51" s="9">
        <f t="shared" si="51"/>
        <v>5890</v>
      </c>
      <c r="O51" s="9">
        <f t="shared" si="57"/>
        <v>5890</v>
      </c>
      <c r="P51" s="9">
        <f t="shared" si="53"/>
        <v>3927</v>
      </c>
      <c r="Q51" s="9"/>
      <c r="R51" s="9">
        <f t="shared" si="4"/>
        <v>-1963</v>
      </c>
    </row>
    <row r="52" spans="1:19" x14ac:dyDescent="0.25">
      <c r="A52" s="3">
        <v>17</v>
      </c>
      <c r="B52" s="4">
        <v>0.08</v>
      </c>
      <c r="C52" s="5">
        <v>0</v>
      </c>
      <c r="D52" s="5">
        <v>0</v>
      </c>
      <c r="E52" s="5"/>
      <c r="F52" s="5">
        <f t="shared" si="54"/>
        <v>0</v>
      </c>
      <c r="G52" s="5">
        <f t="shared" si="56"/>
        <v>0</v>
      </c>
      <c r="H52" s="5">
        <v>0</v>
      </c>
      <c r="I52" s="5"/>
      <c r="J52" s="5">
        <f t="shared" ref="J52:J53" si="58">(F52-H52+(F52-H52)*0.5)*$B52+(G52-I52)</f>
        <v>0</v>
      </c>
      <c r="K52" s="5">
        <f t="shared" si="50"/>
        <v>0</v>
      </c>
      <c r="L52" s="5">
        <f t="shared" si="49"/>
        <v>0</v>
      </c>
      <c r="N52" s="9">
        <f t="shared" si="51"/>
        <v>6182.2800000000007</v>
      </c>
      <c r="O52" s="9">
        <f t="shared" si="57"/>
        <v>495</v>
      </c>
      <c r="P52" s="9">
        <f t="shared" si="53"/>
        <v>5687.2800000000007</v>
      </c>
      <c r="Q52" s="9"/>
      <c r="R52" s="9">
        <f t="shared" si="4"/>
        <v>-495</v>
      </c>
    </row>
    <row r="53" spans="1:19" x14ac:dyDescent="0.25">
      <c r="A53" s="3" t="s">
        <v>9</v>
      </c>
      <c r="B53" s="4">
        <v>0.06</v>
      </c>
      <c r="C53" s="5">
        <v>0</v>
      </c>
      <c r="D53" s="5">
        <v>0</v>
      </c>
      <c r="E53" s="5">
        <v>0</v>
      </c>
      <c r="F53" s="5">
        <f t="shared" si="54"/>
        <v>0</v>
      </c>
      <c r="G53" s="5">
        <f t="shared" si="56"/>
        <v>0</v>
      </c>
      <c r="H53" s="5">
        <v>0</v>
      </c>
      <c r="I53" s="5"/>
      <c r="J53" s="5">
        <f t="shared" si="58"/>
        <v>0</v>
      </c>
      <c r="K53" s="5">
        <f t="shared" si="50"/>
        <v>0</v>
      </c>
      <c r="L53" s="5">
        <f t="shared" si="49"/>
        <v>0</v>
      </c>
      <c r="N53" s="9">
        <f t="shared" si="51"/>
        <v>14317.44</v>
      </c>
      <c r="O53" s="9">
        <f>ROUND(N53*B53,0)</f>
        <v>859</v>
      </c>
      <c r="P53" s="9">
        <f t="shared" si="53"/>
        <v>13458.44</v>
      </c>
      <c r="Q53" s="9"/>
      <c r="R53" s="9">
        <f t="shared" si="4"/>
        <v>-859</v>
      </c>
    </row>
    <row r="54" spans="1:19" x14ac:dyDescent="0.25">
      <c r="A54" s="3">
        <v>95</v>
      </c>
      <c r="B54" s="4">
        <v>0</v>
      </c>
      <c r="C54" s="5">
        <v>25435</v>
      </c>
      <c r="D54" s="5">
        <v>0</v>
      </c>
      <c r="E54" s="5">
        <v>25435</v>
      </c>
      <c r="F54" s="5">
        <f>E54</f>
        <v>25435</v>
      </c>
      <c r="G54" s="5">
        <f>E54</f>
        <v>25435</v>
      </c>
      <c r="H54" s="5">
        <v>37965</v>
      </c>
      <c r="I54" s="5"/>
      <c r="J54" s="5">
        <v>0</v>
      </c>
      <c r="K54" s="5">
        <f t="shared" si="50"/>
        <v>0</v>
      </c>
      <c r="L54" s="5">
        <f t="shared" si="49"/>
        <v>0</v>
      </c>
      <c r="N54" s="9">
        <f t="shared" si="51"/>
        <v>0</v>
      </c>
      <c r="O54" s="9">
        <f>ROUND(N54*B54,0)</f>
        <v>0</v>
      </c>
      <c r="P54" s="9">
        <f t="shared" si="53"/>
        <v>0</v>
      </c>
      <c r="Q54" s="9"/>
      <c r="R54" s="9">
        <f t="shared" si="4"/>
        <v>0</v>
      </c>
    </row>
    <row r="55" spans="1:19" x14ac:dyDescent="0.25">
      <c r="A55" s="1" t="s">
        <v>7</v>
      </c>
      <c r="B55" s="1"/>
      <c r="C55" s="8">
        <f>SUM(C47:C54)</f>
        <v>3455894</v>
      </c>
      <c r="D55" s="8">
        <f t="shared" ref="D55" si="59">SUM(D47:D54)</f>
        <v>0</v>
      </c>
      <c r="E55" s="8">
        <f t="shared" ref="E55" si="60">SUM(E47:E54)</f>
        <v>3455894</v>
      </c>
      <c r="F55" s="8">
        <f t="shared" ref="F55" si="61">SUM(F47:F54)</f>
        <v>3336457</v>
      </c>
      <c r="G55" s="8">
        <f t="shared" ref="G55" si="62">SUM(G47:G54)</f>
        <v>144872</v>
      </c>
      <c r="H55" s="8">
        <f t="shared" ref="H55" si="63">SUM(H47:H54)</f>
        <v>101363</v>
      </c>
      <c r="I55" s="8">
        <f t="shared" ref="I55" si="64">SUM(I47:I54)</f>
        <v>0</v>
      </c>
      <c r="J55" s="8">
        <f t="shared" ref="J55" si="65">SUM(J47:J54)</f>
        <v>508884.4</v>
      </c>
      <c r="K55" s="8">
        <f t="shared" ref="K55" si="66">SUM(K47:K54)</f>
        <v>148892.30000000002</v>
      </c>
      <c r="L55" s="8">
        <f t="shared" ref="L55" si="67">SUM(L47:L54)</f>
        <v>359992.1</v>
      </c>
      <c r="N55" s="8">
        <f>SUM(N47:N54)</f>
        <v>1016848.905</v>
      </c>
      <c r="O55" s="8">
        <f t="shared" ref="O55:R55" si="68">SUM(O47:O54)</f>
        <v>193584</v>
      </c>
      <c r="P55" s="8">
        <f t="shared" si="68"/>
        <v>1183257.0050000001</v>
      </c>
      <c r="Q55" s="8"/>
      <c r="R55" s="8">
        <f t="shared" si="68"/>
        <v>166408.1</v>
      </c>
      <c r="S55" s="17"/>
    </row>
    <row r="56" spans="1:19" x14ac:dyDescent="0.25">
      <c r="L56" s="9">
        <f>J55-K55-L55</f>
        <v>0</v>
      </c>
      <c r="R56" s="9"/>
    </row>
    <row r="57" spans="1:19" ht="15.6" x14ac:dyDescent="0.3">
      <c r="A57" s="10" t="s">
        <v>22</v>
      </c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4"/>
      <c r="N57" s="14"/>
      <c r="O57" s="14"/>
      <c r="P57" s="14"/>
      <c r="Q57" s="14"/>
      <c r="R57" s="15"/>
    </row>
    <row r="58" spans="1:19" ht="52.8" x14ac:dyDescent="0.25">
      <c r="A58" s="2" t="s">
        <v>1</v>
      </c>
      <c r="B58" s="2" t="s">
        <v>2</v>
      </c>
      <c r="C58" s="2" t="s">
        <v>11</v>
      </c>
      <c r="D58" s="2" t="s">
        <v>3</v>
      </c>
      <c r="E58" s="2" t="s">
        <v>4</v>
      </c>
      <c r="F58" s="13" t="str">
        <f>F2</f>
        <v>Revised Cost of Acquisitions Subject to AIIP</v>
      </c>
      <c r="G58" s="2" t="s">
        <v>19</v>
      </c>
      <c r="H58" s="2" t="str">
        <f>H2</f>
        <v>Sch 8 Disposals Subject to AIIP</v>
      </c>
      <c r="I58" s="2" t="s">
        <v>20</v>
      </c>
      <c r="J58" s="2" t="s">
        <v>10</v>
      </c>
      <c r="K58" s="2" t="s">
        <v>6</v>
      </c>
      <c r="L58" s="2" t="s">
        <v>12</v>
      </c>
      <c r="N58" s="2" t="str">
        <f>N2</f>
        <v>Opening Difference in UCC Due to AIIP/DIEP Rules</v>
      </c>
      <c r="O58" s="2" t="s">
        <v>15</v>
      </c>
      <c r="P58" s="2" t="s">
        <v>13</v>
      </c>
      <c r="Q58" s="2"/>
      <c r="R58" s="13" t="str">
        <f>R2</f>
        <v>Net CCA Difference</v>
      </c>
    </row>
    <row r="59" spans="1:19" x14ac:dyDescent="0.25">
      <c r="A59" s="3">
        <v>8</v>
      </c>
      <c r="B59" s="4">
        <v>0.2</v>
      </c>
      <c r="C59" s="5"/>
      <c r="D59" s="5">
        <v>0</v>
      </c>
      <c r="E59" s="5"/>
      <c r="F59" s="5"/>
      <c r="G59" s="5">
        <f>E59</f>
        <v>0</v>
      </c>
      <c r="H59" s="5">
        <v>0</v>
      </c>
      <c r="I59" s="5"/>
      <c r="J59" s="5">
        <f>(F59-H59+(F59)*0.5)*$B59+(G59-I59)</f>
        <v>0</v>
      </c>
      <c r="K59" s="5">
        <f>(F59+G59-H59-I59)*0.5*$B59</f>
        <v>0</v>
      </c>
      <c r="L59" s="5">
        <f t="shared" ref="L59:L67" si="69">J59-K59</f>
        <v>0</v>
      </c>
      <c r="N59" s="9">
        <f>P47</f>
        <v>52706.2</v>
      </c>
      <c r="O59" s="9">
        <f>ROUND(N59*B59,0)</f>
        <v>10541</v>
      </c>
      <c r="P59" s="9">
        <f>N59+L59-O59</f>
        <v>42165.2</v>
      </c>
      <c r="Q59" s="9"/>
      <c r="R59" s="9">
        <f>L59-O59</f>
        <v>-10541</v>
      </c>
    </row>
    <row r="60" spans="1:19" x14ac:dyDescent="0.25">
      <c r="A60" s="3">
        <v>10</v>
      </c>
      <c r="B60" s="4">
        <v>0.3</v>
      </c>
      <c r="C60" s="5">
        <v>64388</v>
      </c>
      <c r="D60" s="5">
        <v>0</v>
      </c>
      <c r="E60" s="5">
        <v>64388</v>
      </c>
      <c r="F60" s="5"/>
      <c r="G60" s="5">
        <f>E60</f>
        <v>64388</v>
      </c>
      <c r="H60" s="5">
        <v>465</v>
      </c>
      <c r="I60" s="5"/>
      <c r="J60" s="5">
        <f>(F60-H60+(F60)*0.5)*$B60+(G60-I60)</f>
        <v>64248.5</v>
      </c>
      <c r="K60" s="5">
        <f t="shared" ref="K60:K67" si="70">(F60+G60-H60-I60)*0.5*$B60</f>
        <v>9588.4499999999989</v>
      </c>
      <c r="L60" s="5">
        <f t="shared" si="69"/>
        <v>54660.05</v>
      </c>
      <c r="N60" s="9">
        <f t="shared" ref="N60:N66" si="71">P48</f>
        <v>302730.95</v>
      </c>
      <c r="O60" s="9">
        <f t="shared" ref="O60" si="72">ROUND(N60*B60,0)</f>
        <v>90819</v>
      </c>
      <c r="P60" s="9">
        <f t="shared" ref="P60:P67" si="73">N60+L60-O60</f>
        <v>266572</v>
      </c>
      <c r="Q60" s="9"/>
      <c r="R60" s="9">
        <f t="shared" si="4"/>
        <v>-36158.949999999997</v>
      </c>
    </row>
    <row r="61" spans="1:19" x14ac:dyDescent="0.25">
      <c r="A61" s="3">
        <v>47</v>
      </c>
      <c r="B61" s="4">
        <v>0.08</v>
      </c>
      <c r="C61" s="5">
        <v>3421895</v>
      </c>
      <c r="D61" s="5">
        <v>0</v>
      </c>
      <c r="E61" s="5">
        <v>3421895</v>
      </c>
      <c r="F61" s="5">
        <f t="shared" ref="F61:F65" si="74">E61</f>
        <v>3421895</v>
      </c>
      <c r="G61" s="5"/>
      <c r="H61" s="5">
        <v>29244</v>
      </c>
      <c r="I61" s="5"/>
      <c r="J61" s="5">
        <f t="shared" ref="J61:J63" si="75">(F61-H61+(F61-H61)*0.5)*$B61+(G61-I61)</f>
        <v>407118.12</v>
      </c>
      <c r="K61" s="5">
        <f t="shared" si="70"/>
        <v>135706.04</v>
      </c>
      <c r="L61" s="5">
        <f t="shared" si="69"/>
        <v>271412.07999999996</v>
      </c>
      <c r="N61" s="9">
        <f t="shared" si="71"/>
        <v>774849.16000000015</v>
      </c>
      <c r="O61" s="9">
        <f>ROUND(N61*B61,0)</f>
        <v>61988</v>
      </c>
      <c r="P61" s="9">
        <f t="shared" si="73"/>
        <v>984273.24000000011</v>
      </c>
      <c r="Q61" s="9"/>
      <c r="R61" s="9">
        <f t="shared" si="4"/>
        <v>209424.07999999996</v>
      </c>
    </row>
    <row r="62" spans="1:19" x14ac:dyDescent="0.25">
      <c r="A62" s="3">
        <v>50</v>
      </c>
      <c r="B62" s="4">
        <v>0.55000000000000004</v>
      </c>
      <c r="C62" s="5">
        <v>34040</v>
      </c>
      <c r="D62" s="5">
        <v>0</v>
      </c>
      <c r="E62" s="5">
        <v>34040</v>
      </c>
      <c r="F62" s="5"/>
      <c r="G62" s="5">
        <f t="shared" ref="G62:G65" si="76">E62</f>
        <v>34040</v>
      </c>
      <c r="H62" s="5">
        <v>0</v>
      </c>
      <c r="I62" s="5"/>
      <c r="J62" s="5">
        <f t="shared" si="75"/>
        <v>34040</v>
      </c>
      <c r="K62" s="5">
        <f t="shared" si="70"/>
        <v>9361</v>
      </c>
      <c r="L62" s="5">
        <f t="shared" si="69"/>
        <v>24679</v>
      </c>
      <c r="N62" s="9">
        <f t="shared" si="71"/>
        <v>29897.974999999999</v>
      </c>
      <c r="O62" s="9">
        <f t="shared" ref="O62:O64" si="77">ROUND(N62*B62,0)</f>
        <v>16444</v>
      </c>
      <c r="P62" s="9">
        <f t="shared" si="73"/>
        <v>38132.974999999999</v>
      </c>
      <c r="Q62" s="9"/>
      <c r="R62" s="9">
        <f t="shared" si="4"/>
        <v>8235</v>
      </c>
    </row>
    <row r="63" spans="1:19" x14ac:dyDescent="0.25">
      <c r="A63" s="3">
        <v>12</v>
      </c>
      <c r="B63" s="4">
        <v>1</v>
      </c>
      <c r="C63" s="5">
        <v>35450</v>
      </c>
      <c r="D63" s="5">
        <v>0</v>
      </c>
      <c r="E63" s="5">
        <v>35450</v>
      </c>
      <c r="F63" s="5"/>
      <c r="G63" s="5">
        <f t="shared" si="76"/>
        <v>35450</v>
      </c>
      <c r="H63" s="5">
        <v>0</v>
      </c>
      <c r="I63" s="5"/>
      <c r="J63" s="5">
        <f t="shared" si="75"/>
        <v>35450</v>
      </c>
      <c r="K63" s="5">
        <f t="shared" si="70"/>
        <v>17725</v>
      </c>
      <c r="L63" s="5">
        <f t="shared" si="69"/>
        <v>17725</v>
      </c>
      <c r="N63" s="9">
        <f t="shared" si="71"/>
        <v>3927</v>
      </c>
      <c r="O63" s="9">
        <f t="shared" si="77"/>
        <v>3927</v>
      </c>
      <c r="P63" s="9">
        <f t="shared" si="73"/>
        <v>17725</v>
      </c>
      <c r="Q63" s="9"/>
      <c r="R63" s="9">
        <f t="shared" si="4"/>
        <v>13798</v>
      </c>
    </row>
    <row r="64" spans="1:19" x14ac:dyDescent="0.25">
      <c r="A64" s="3">
        <v>17</v>
      </c>
      <c r="B64" s="4">
        <v>0.08</v>
      </c>
      <c r="C64" s="5">
        <v>0</v>
      </c>
      <c r="D64" s="5">
        <v>0</v>
      </c>
      <c r="E64" s="5">
        <v>0</v>
      </c>
      <c r="F64" s="5">
        <f t="shared" si="74"/>
        <v>0</v>
      </c>
      <c r="G64" s="5">
        <f t="shared" si="76"/>
        <v>0</v>
      </c>
      <c r="H64" s="5">
        <v>0</v>
      </c>
      <c r="I64" s="5"/>
      <c r="J64" s="5">
        <f t="shared" ref="J64:J67" si="78">(F64-H64+(F64-H64)*0.5)*$B64+(G64-I64)</f>
        <v>0</v>
      </c>
      <c r="K64" s="5">
        <f t="shared" si="70"/>
        <v>0</v>
      </c>
      <c r="L64" s="5">
        <f t="shared" si="69"/>
        <v>0</v>
      </c>
      <c r="N64" s="9">
        <f t="shared" si="71"/>
        <v>5687.2800000000007</v>
      </c>
      <c r="O64" s="9">
        <f t="shared" si="77"/>
        <v>455</v>
      </c>
      <c r="P64" s="9">
        <f t="shared" si="73"/>
        <v>5232.2800000000007</v>
      </c>
      <c r="Q64" s="9"/>
      <c r="R64" s="9">
        <f t="shared" si="4"/>
        <v>-455</v>
      </c>
    </row>
    <row r="65" spans="1:19" x14ac:dyDescent="0.25">
      <c r="A65" s="3" t="s">
        <v>9</v>
      </c>
      <c r="B65" s="4">
        <v>0.06</v>
      </c>
      <c r="C65" s="5">
        <v>0</v>
      </c>
      <c r="D65" s="5">
        <v>0</v>
      </c>
      <c r="E65" s="5">
        <v>0</v>
      </c>
      <c r="F65" s="5">
        <f t="shared" si="74"/>
        <v>0</v>
      </c>
      <c r="G65" s="5">
        <f t="shared" si="76"/>
        <v>0</v>
      </c>
      <c r="H65" s="5">
        <v>0</v>
      </c>
      <c r="I65" s="5"/>
      <c r="J65" s="5">
        <f t="shared" si="78"/>
        <v>0</v>
      </c>
      <c r="K65" s="5">
        <f t="shared" si="70"/>
        <v>0</v>
      </c>
      <c r="L65" s="5">
        <f t="shared" si="69"/>
        <v>0</v>
      </c>
      <c r="N65" s="9">
        <f t="shared" si="71"/>
        <v>13458.44</v>
      </c>
      <c r="O65" s="9">
        <f>ROUND(N65*B65,0)</f>
        <v>808</v>
      </c>
      <c r="P65" s="9">
        <f t="shared" si="73"/>
        <v>12650.44</v>
      </c>
      <c r="Q65" s="9"/>
      <c r="R65" s="9">
        <f t="shared" si="4"/>
        <v>-808</v>
      </c>
    </row>
    <row r="66" spans="1:19" x14ac:dyDescent="0.25">
      <c r="A66" s="3">
        <v>95</v>
      </c>
      <c r="B66" s="4">
        <v>0</v>
      </c>
      <c r="C66" s="5">
        <v>132465</v>
      </c>
      <c r="D66" s="5">
        <v>0</v>
      </c>
      <c r="E66" s="5">
        <v>132465</v>
      </c>
      <c r="F66" s="5">
        <f>E66</f>
        <v>132465</v>
      </c>
      <c r="G66" s="5">
        <f>E66</f>
        <v>132465</v>
      </c>
      <c r="H66" s="5">
        <v>53160</v>
      </c>
      <c r="I66" s="5"/>
      <c r="J66" s="5">
        <v>0</v>
      </c>
      <c r="K66" s="5">
        <f t="shared" si="70"/>
        <v>0</v>
      </c>
      <c r="L66" s="5">
        <f t="shared" si="69"/>
        <v>0</v>
      </c>
      <c r="N66" s="9">
        <f t="shared" si="71"/>
        <v>0</v>
      </c>
      <c r="O66" s="9">
        <f>ROUND(N66*B66,0)</f>
        <v>0</v>
      </c>
      <c r="P66" s="9">
        <f t="shared" si="73"/>
        <v>0</v>
      </c>
      <c r="Q66" s="9"/>
      <c r="R66" s="9">
        <f t="shared" si="4"/>
        <v>0</v>
      </c>
    </row>
    <row r="67" spans="1:19" x14ac:dyDescent="0.25">
      <c r="A67" s="3">
        <v>6</v>
      </c>
      <c r="B67" s="4">
        <v>0.1</v>
      </c>
      <c r="C67" s="5">
        <v>36404</v>
      </c>
      <c r="D67" s="5">
        <v>0</v>
      </c>
      <c r="E67" s="5">
        <v>36404</v>
      </c>
      <c r="F67" s="5">
        <f>E67</f>
        <v>36404</v>
      </c>
      <c r="G67" s="5"/>
      <c r="H67" s="5"/>
      <c r="I67" s="5"/>
      <c r="J67" s="5">
        <f t="shared" si="78"/>
        <v>5460.6</v>
      </c>
      <c r="K67" s="5">
        <f t="shared" si="70"/>
        <v>1820.2</v>
      </c>
      <c r="L67" s="5">
        <f t="shared" si="69"/>
        <v>3640.4000000000005</v>
      </c>
      <c r="N67" s="9">
        <v>0</v>
      </c>
      <c r="O67" s="9">
        <f>ROUND(N67*B67,0)</f>
        <v>0</v>
      </c>
      <c r="P67" s="9">
        <f t="shared" si="73"/>
        <v>3640.4000000000005</v>
      </c>
      <c r="Q67" s="9"/>
      <c r="R67" s="9">
        <f t="shared" si="4"/>
        <v>3640.4000000000005</v>
      </c>
    </row>
    <row r="68" spans="1:19" x14ac:dyDescent="0.25">
      <c r="A68" s="1" t="s">
        <v>7</v>
      </c>
      <c r="B68" s="1"/>
      <c r="C68" s="8">
        <f>SUM(C59:C67)</f>
        <v>3724642</v>
      </c>
      <c r="D68" s="8">
        <f t="shared" ref="D68:L68" si="79">SUM(D59:D67)</f>
        <v>0</v>
      </c>
      <c r="E68" s="8">
        <f t="shared" si="79"/>
        <v>3724642</v>
      </c>
      <c r="F68" s="8">
        <f t="shared" si="79"/>
        <v>3590764</v>
      </c>
      <c r="G68" s="8">
        <f t="shared" si="79"/>
        <v>266343</v>
      </c>
      <c r="H68" s="8">
        <f t="shared" si="79"/>
        <v>82869</v>
      </c>
      <c r="I68" s="8">
        <f t="shared" si="79"/>
        <v>0</v>
      </c>
      <c r="J68" s="8">
        <f t="shared" si="79"/>
        <v>546317.22</v>
      </c>
      <c r="K68" s="8">
        <f t="shared" si="79"/>
        <v>174200.69000000003</v>
      </c>
      <c r="L68" s="8">
        <f t="shared" si="79"/>
        <v>372116.52999999997</v>
      </c>
      <c r="N68" s="8">
        <f>SUM(N59:N67)</f>
        <v>1183257.0050000001</v>
      </c>
      <c r="O68" s="8">
        <f t="shared" ref="O68:P68" si="80">SUM(O59:O67)</f>
        <v>184982</v>
      </c>
      <c r="P68" s="8">
        <f t="shared" si="80"/>
        <v>1370391.5350000001</v>
      </c>
      <c r="Q68" s="8"/>
      <c r="R68" s="8">
        <f>SUM(R59:R67)</f>
        <v>187134.52999999994</v>
      </c>
      <c r="S68" s="17"/>
    </row>
    <row r="69" spans="1:19" x14ac:dyDescent="0.25">
      <c r="L69" s="9">
        <f>J68-K68-L68</f>
        <v>0</v>
      </c>
      <c r="S69" s="19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18B526-E620-45CA-80D2-2AAED2FC78D0}">
  <dimension ref="A1:G31"/>
  <sheetViews>
    <sheetView workbookViewId="0">
      <selection activeCell="E29" sqref="E29:E31"/>
    </sheetView>
  </sheetViews>
  <sheetFormatPr defaultRowHeight="14.4" x14ac:dyDescent="0.3"/>
  <cols>
    <col min="1" max="2" width="18.6640625" customWidth="1"/>
    <col min="4" max="7" width="17.5546875" customWidth="1"/>
  </cols>
  <sheetData>
    <row r="1" spans="1:7" ht="18" customHeight="1" thickBot="1" x14ac:dyDescent="0.35">
      <c r="A1" s="27" t="s">
        <v>35</v>
      </c>
      <c r="B1" s="28" t="s">
        <v>36</v>
      </c>
      <c r="D1" t="s">
        <v>37</v>
      </c>
      <c r="E1" t="s">
        <v>38</v>
      </c>
      <c r="F1" t="s">
        <v>39</v>
      </c>
      <c r="G1" t="s">
        <v>33</v>
      </c>
    </row>
    <row r="2" spans="1:7" ht="15" thickBot="1" x14ac:dyDescent="0.35">
      <c r="A2" s="29" t="s">
        <v>40</v>
      </c>
      <c r="B2" s="30">
        <v>1.4999999999999999E-2</v>
      </c>
      <c r="D2" s="31">
        <v>0</v>
      </c>
      <c r="E2" s="31">
        <f>D2*(B2/4)</f>
        <v>0</v>
      </c>
      <c r="F2" s="31">
        <f>E2</f>
        <v>0</v>
      </c>
      <c r="G2" s="32">
        <f>F2+D2</f>
        <v>0</v>
      </c>
    </row>
    <row r="3" spans="1:7" ht="15" thickBot="1" x14ac:dyDescent="0.35">
      <c r="A3" s="33" t="s">
        <v>41</v>
      </c>
      <c r="B3" s="34">
        <v>1.89E-2</v>
      </c>
      <c r="D3" s="31">
        <v>0</v>
      </c>
      <c r="E3" s="31">
        <f t="shared" ref="E3:E30" si="0">D3*(B3/4)</f>
        <v>0</v>
      </c>
      <c r="F3" s="31">
        <f>F2+E3</f>
        <v>0</v>
      </c>
      <c r="G3" s="32">
        <f t="shared" ref="G3:G28" si="1">F3+D3</f>
        <v>0</v>
      </c>
    </row>
    <row r="4" spans="1:7" ht="15" thickBot="1" x14ac:dyDescent="0.35">
      <c r="A4" s="29" t="s">
        <v>42</v>
      </c>
      <c r="B4" s="30">
        <v>1.89E-2</v>
      </c>
      <c r="D4" s="31">
        <v>0</v>
      </c>
      <c r="E4" s="31">
        <f t="shared" si="0"/>
        <v>0</v>
      </c>
      <c r="F4" s="31">
        <f t="shared" ref="F4:F28" si="2">F3+E4</f>
        <v>0</v>
      </c>
      <c r="G4" s="32">
        <f t="shared" si="1"/>
        <v>0</v>
      </c>
    </row>
    <row r="5" spans="1:7" ht="15" thickBot="1" x14ac:dyDescent="0.35">
      <c r="A5" s="33" t="s">
        <v>43</v>
      </c>
      <c r="B5" s="34">
        <v>2.1700000000000001E-2</v>
      </c>
      <c r="D5" s="31">
        <v>0</v>
      </c>
      <c r="E5" s="31">
        <f t="shared" si="0"/>
        <v>0</v>
      </c>
      <c r="F5" s="31">
        <f t="shared" si="2"/>
        <v>0</v>
      </c>
      <c r="G5" s="32">
        <f t="shared" si="1"/>
        <v>0</v>
      </c>
    </row>
    <row r="6" spans="1:7" ht="15" thickBot="1" x14ac:dyDescent="0.35">
      <c r="A6" s="29" t="s">
        <v>44</v>
      </c>
      <c r="B6" s="30">
        <v>2.4500000000000001E-2</v>
      </c>
      <c r="D6" s="31">
        <f>'Summary of Impact'!F3</f>
        <v>-3538.5540136054428</v>
      </c>
      <c r="E6" s="31">
        <f t="shared" si="0"/>
        <v>-21.673643333333338</v>
      </c>
      <c r="F6" s="31">
        <f t="shared" si="2"/>
        <v>-21.673643333333338</v>
      </c>
      <c r="G6" s="32">
        <f t="shared" si="1"/>
        <v>-3560.2276569387764</v>
      </c>
    </row>
    <row r="7" spans="1:7" ht="15" thickBot="1" x14ac:dyDescent="0.35">
      <c r="A7" s="33" t="s">
        <v>45</v>
      </c>
      <c r="B7" s="34">
        <v>2.18E-2</v>
      </c>
      <c r="D7" s="31">
        <f>D6</f>
        <v>-3538.5540136054428</v>
      </c>
      <c r="E7" s="31">
        <f t="shared" si="0"/>
        <v>-19.285119374149662</v>
      </c>
      <c r="F7" s="31">
        <f t="shared" si="2"/>
        <v>-40.958762707483004</v>
      </c>
      <c r="G7" s="32">
        <f t="shared" si="1"/>
        <v>-3579.5127763129258</v>
      </c>
    </row>
    <row r="8" spans="1:7" ht="15" thickBot="1" x14ac:dyDescent="0.35">
      <c r="A8" s="29" t="s">
        <v>46</v>
      </c>
      <c r="B8" s="30">
        <v>2.18E-2</v>
      </c>
      <c r="D8" s="31">
        <f>D7</f>
        <v>-3538.5540136054428</v>
      </c>
      <c r="E8" s="31">
        <f t="shared" si="0"/>
        <v>-19.285119374149662</v>
      </c>
      <c r="F8" s="31">
        <f t="shared" si="2"/>
        <v>-60.243882081632663</v>
      </c>
      <c r="G8" s="32">
        <f t="shared" si="1"/>
        <v>-3598.7978956870757</v>
      </c>
    </row>
    <row r="9" spans="1:7" ht="15" thickBot="1" x14ac:dyDescent="0.35">
      <c r="A9" s="33" t="s">
        <v>47</v>
      </c>
      <c r="B9" s="34">
        <v>2.18E-2</v>
      </c>
      <c r="D9" s="31">
        <f>D8</f>
        <v>-3538.5540136054428</v>
      </c>
      <c r="E9" s="31">
        <f t="shared" si="0"/>
        <v>-19.285119374149662</v>
      </c>
      <c r="F9" s="31">
        <f t="shared" si="2"/>
        <v>-79.529001455782321</v>
      </c>
      <c r="G9" s="32">
        <f t="shared" si="1"/>
        <v>-3618.0830150612251</v>
      </c>
    </row>
    <row r="10" spans="1:7" ht="15" thickBot="1" x14ac:dyDescent="0.35">
      <c r="A10" s="29" t="s">
        <v>48</v>
      </c>
      <c r="B10" s="30">
        <v>2.18E-2</v>
      </c>
      <c r="D10" s="31">
        <f>D9+'Summary of Impact'!F4</f>
        <v>-184208.8478911565</v>
      </c>
      <c r="E10" s="31">
        <f t="shared" si="0"/>
        <v>-1003.9382210068029</v>
      </c>
      <c r="F10" s="31">
        <f t="shared" si="2"/>
        <v>-1083.4672224625851</v>
      </c>
      <c r="G10" s="32">
        <f t="shared" si="1"/>
        <v>-185292.31511361909</v>
      </c>
    </row>
    <row r="11" spans="1:7" ht="15" thickBot="1" x14ac:dyDescent="0.35">
      <c r="A11" s="33" t="s">
        <v>49</v>
      </c>
      <c r="B11" s="34">
        <v>2.18E-2</v>
      </c>
      <c r="D11" s="31">
        <f>D10</f>
        <v>-184208.8478911565</v>
      </c>
      <c r="E11" s="31">
        <f t="shared" si="0"/>
        <v>-1003.9382210068029</v>
      </c>
      <c r="F11" s="31">
        <f t="shared" si="2"/>
        <v>-2087.405443469388</v>
      </c>
      <c r="G11" s="32">
        <f t="shared" si="1"/>
        <v>-186296.25333462589</v>
      </c>
    </row>
    <row r="12" spans="1:7" ht="15" thickBot="1" x14ac:dyDescent="0.35">
      <c r="A12" s="29" t="s">
        <v>50</v>
      </c>
      <c r="B12" s="30">
        <v>5.7000000000000002E-3</v>
      </c>
      <c r="D12" s="31">
        <f>D11</f>
        <v>-184208.8478911565</v>
      </c>
      <c r="E12" s="31">
        <f t="shared" si="0"/>
        <v>-262.497608244898</v>
      </c>
      <c r="F12" s="31">
        <f t="shared" si="2"/>
        <v>-2349.903051714286</v>
      </c>
      <c r="G12" s="32">
        <f t="shared" si="1"/>
        <v>-186558.7509428708</v>
      </c>
    </row>
    <row r="13" spans="1:7" ht="15" thickBot="1" x14ac:dyDescent="0.35">
      <c r="A13" s="33" t="s">
        <v>51</v>
      </c>
      <c r="B13" s="34">
        <v>5.7000000000000002E-3</v>
      </c>
      <c r="D13" s="31">
        <f>D12</f>
        <v>-184208.8478911565</v>
      </c>
      <c r="E13" s="31">
        <f t="shared" si="0"/>
        <v>-262.497608244898</v>
      </c>
      <c r="F13" s="31">
        <f t="shared" si="2"/>
        <v>-2612.4006599591839</v>
      </c>
      <c r="G13" s="32">
        <f t="shared" si="1"/>
        <v>-186821.24855111568</v>
      </c>
    </row>
    <row r="14" spans="1:7" ht="15" thickBot="1" x14ac:dyDescent="0.35">
      <c r="A14" s="29" t="s">
        <v>52</v>
      </c>
      <c r="B14" s="30">
        <v>5.7000000000000002E-3</v>
      </c>
      <c r="D14" s="31">
        <f>D13+'Summary of Impact'!F5</f>
        <v>-256145.81278911571</v>
      </c>
      <c r="E14" s="31">
        <f t="shared" si="0"/>
        <v>-365.00778322448991</v>
      </c>
      <c r="F14" s="31">
        <f t="shared" si="2"/>
        <v>-2977.4084431836736</v>
      </c>
      <c r="G14" s="32">
        <f t="shared" si="1"/>
        <v>-259123.22123229937</v>
      </c>
    </row>
    <row r="15" spans="1:7" ht="15" thickBot="1" x14ac:dyDescent="0.35">
      <c r="A15" s="33" t="s">
        <v>53</v>
      </c>
      <c r="B15" s="34">
        <v>5.7000000000000002E-3</v>
      </c>
      <c r="D15" s="31">
        <f t="shared" ref="D15:D16" si="3">D14</f>
        <v>-256145.81278911571</v>
      </c>
      <c r="E15" s="31">
        <f t="shared" si="0"/>
        <v>-365.00778322448991</v>
      </c>
      <c r="F15" s="31">
        <f t="shared" si="2"/>
        <v>-3342.4162264081633</v>
      </c>
      <c r="G15" s="32">
        <f t="shared" si="1"/>
        <v>-259488.22901552386</v>
      </c>
    </row>
    <row r="16" spans="1:7" ht="15" thickBot="1" x14ac:dyDescent="0.35">
      <c r="A16" s="29" t="s">
        <v>54</v>
      </c>
      <c r="B16" s="30">
        <v>5.7000000000000002E-3</v>
      </c>
      <c r="D16" s="31">
        <f t="shared" si="3"/>
        <v>-256145.81278911571</v>
      </c>
      <c r="E16" s="31">
        <f t="shared" si="0"/>
        <v>-365.00778322448991</v>
      </c>
      <c r="F16" s="31">
        <f t="shared" si="2"/>
        <v>-3707.424009632653</v>
      </c>
      <c r="G16" s="32">
        <f t="shared" si="1"/>
        <v>-259853.23679874834</v>
      </c>
    </row>
    <row r="17" spans="1:7" ht="15" thickBot="1" x14ac:dyDescent="0.35">
      <c r="A17" s="33" t="s">
        <v>55</v>
      </c>
      <c r="B17" s="34">
        <v>5.7000000000000002E-3</v>
      </c>
      <c r="D17" s="31">
        <f>D16</f>
        <v>-256145.81278911571</v>
      </c>
      <c r="E17" s="31">
        <f t="shared" si="0"/>
        <v>-365.00778322448991</v>
      </c>
      <c r="F17" s="31">
        <f t="shared" si="2"/>
        <v>-4072.4317928571427</v>
      </c>
      <c r="G17" s="32">
        <f t="shared" si="1"/>
        <v>-260218.24458197286</v>
      </c>
    </row>
    <row r="18" spans="1:7" ht="15" thickBot="1" x14ac:dyDescent="0.35">
      <c r="A18" s="29" t="s">
        <v>56</v>
      </c>
      <c r="B18" s="30">
        <v>5.7000000000000002E-3</v>
      </c>
      <c r="D18" s="31">
        <f>D17+'Summary of Impact'!F6</f>
        <v>-366618.99295918376</v>
      </c>
      <c r="E18" s="31">
        <f t="shared" si="0"/>
        <v>-522.43206496683683</v>
      </c>
      <c r="F18" s="31">
        <f t="shared" si="2"/>
        <v>-4594.8638578239797</v>
      </c>
      <c r="G18" s="32">
        <f t="shared" si="1"/>
        <v>-371213.85681700776</v>
      </c>
    </row>
    <row r="19" spans="1:7" ht="15" thickBot="1" x14ac:dyDescent="0.35">
      <c r="A19" s="33" t="s">
        <v>57</v>
      </c>
      <c r="B19" s="34">
        <v>1.0200000000000001E-2</v>
      </c>
      <c r="D19" s="31">
        <f t="shared" ref="D19:D20" si="4">D18</f>
        <v>-366618.99295918376</v>
      </c>
      <c r="E19" s="31">
        <f t="shared" si="0"/>
        <v>-934.87843204591866</v>
      </c>
      <c r="F19" s="31">
        <f t="shared" si="2"/>
        <v>-5529.7422898698987</v>
      </c>
      <c r="G19" s="32">
        <f t="shared" si="1"/>
        <v>-372148.73524905363</v>
      </c>
    </row>
    <row r="20" spans="1:7" ht="15" thickBot="1" x14ac:dyDescent="0.35">
      <c r="A20" s="29" t="s">
        <v>58</v>
      </c>
      <c r="B20" s="30">
        <v>2.1999999999999999E-2</v>
      </c>
      <c r="D20" s="31">
        <f t="shared" si="4"/>
        <v>-366618.99295918376</v>
      </c>
      <c r="E20" s="31">
        <f t="shared" si="0"/>
        <v>-2016.4044612755106</v>
      </c>
      <c r="F20" s="31">
        <f t="shared" si="2"/>
        <v>-7546.1467511454093</v>
      </c>
      <c r="G20" s="32">
        <f t="shared" si="1"/>
        <v>-374165.13971032918</v>
      </c>
    </row>
    <row r="21" spans="1:7" ht="15" thickBot="1" x14ac:dyDescent="0.35">
      <c r="A21" s="33" t="s">
        <v>59</v>
      </c>
      <c r="B21" s="34">
        <v>3.8699999999999998E-2</v>
      </c>
      <c r="D21" s="31">
        <f>D20</f>
        <v>-366618.99295918376</v>
      </c>
      <c r="E21" s="31">
        <f t="shared" si="0"/>
        <v>-3547.0387568801025</v>
      </c>
      <c r="F21" s="31">
        <f t="shared" si="2"/>
        <v>-11093.185508025512</v>
      </c>
      <c r="G21" s="32">
        <f t="shared" si="1"/>
        <v>-377712.17846720928</v>
      </c>
    </row>
    <row r="22" spans="1:7" ht="15" thickBot="1" x14ac:dyDescent="0.35">
      <c r="A22" s="29" t="s">
        <v>60</v>
      </c>
      <c r="B22" s="30">
        <v>4.7300000000000002E-2</v>
      </c>
      <c r="D22" s="31">
        <f>D21+'Summary of Impact'!F7</f>
        <v>-426616.47119047627</v>
      </c>
      <c r="E22" s="31">
        <f t="shared" si="0"/>
        <v>-5044.7397718273824</v>
      </c>
      <c r="F22" s="31">
        <f t="shared" si="2"/>
        <v>-16137.925279852894</v>
      </c>
      <c r="G22" s="32">
        <f t="shared" si="1"/>
        <v>-442754.39647032914</v>
      </c>
    </row>
    <row r="23" spans="1:7" ht="15" thickBot="1" x14ac:dyDescent="0.35">
      <c r="A23" s="33" t="s">
        <v>61</v>
      </c>
      <c r="B23" s="34">
        <v>4.9799999999999997E-2</v>
      </c>
      <c r="D23" s="31">
        <f t="shared" ref="D23:D24" si="5">D22</f>
        <v>-426616.47119047627</v>
      </c>
      <c r="E23" s="31">
        <f t="shared" si="0"/>
        <v>-5311.3750663214296</v>
      </c>
      <c r="F23" s="31">
        <f t="shared" si="2"/>
        <v>-21449.300346174325</v>
      </c>
      <c r="G23" s="32">
        <f t="shared" si="1"/>
        <v>-448065.7715366506</v>
      </c>
    </row>
    <row r="24" spans="1:7" ht="15" thickBot="1" x14ac:dyDescent="0.35">
      <c r="A24" s="29" t="s">
        <v>62</v>
      </c>
      <c r="B24" s="30">
        <v>4.9799999999999997E-2</v>
      </c>
      <c r="D24" s="31">
        <f t="shared" si="5"/>
        <v>-426616.47119047627</v>
      </c>
      <c r="E24" s="31">
        <f t="shared" si="0"/>
        <v>-5311.3750663214296</v>
      </c>
      <c r="F24" s="31">
        <f t="shared" si="2"/>
        <v>-26760.675412495755</v>
      </c>
      <c r="G24" s="32">
        <f t="shared" si="1"/>
        <v>-453377.146602972</v>
      </c>
    </row>
    <row r="25" spans="1:7" ht="15" thickBot="1" x14ac:dyDescent="0.35">
      <c r="A25" s="33" t="s">
        <v>63</v>
      </c>
      <c r="B25" s="34">
        <v>5.4899999999999997E-2</v>
      </c>
      <c r="D25" s="31">
        <f>D24</f>
        <v>-426616.47119047627</v>
      </c>
      <c r="E25" s="31">
        <f t="shared" si="0"/>
        <v>-5855.3110670892866</v>
      </c>
      <c r="F25" s="31">
        <f t="shared" si="2"/>
        <v>-32615.986479585041</v>
      </c>
      <c r="G25" s="32">
        <f t="shared" si="1"/>
        <v>-459232.45767006133</v>
      </c>
    </row>
    <row r="26" spans="1:7" ht="15" thickBot="1" x14ac:dyDescent="0.35">
      <c r="A26" s="29" t="s">
        <v>64</v>
      </c>
      <c r="B26" s="30">
        <v>5.4899999999999997E-2</v>
      </c>
      <c r="D26" s="31">
        <f>D25+'Summary of Impact'!F8</f>
        <v>-494086.7439115647</v>
      </c>
      <c r="E26" s="31">
        <f t="shared" si="0"/>
        <v>-6781.340560186225</v>
      </c>
      <c r="F26" s="31">
        <f t="shared" si="2"/>
        <v>-39397.327039771262</v>
      </c>
      <c r="G26" s="32">
        <f t="shared" si="1"/>
        <v>-533484.07095133595</v>
      </c>
    </row>
    <row r="27" spans="1:7" ht="15" thickBot="1" x14ac:dyDescent="0.35">
      <c r="A27" s="33" t="s">
        <v>65</v>
      </c>
      <c r="B27" s="34">
        <v>5.4899999999999997E-2</v>
      </c>
      <c r="D27" s="31">
        <f t="shared" ref="D27:D29" si="6">D26</f>
        <v>-494086.7439115647</v>
      </c>
      <c r="E27" s="31">
        <f t="shared" si="0"/>
        <v>-6781.340560186225</v>
      </c>
      <c r="F27" s="31">
        <f t="shared" si="2"/>
        <v>-46178.667599957487</v>
      </c>
      <c r="G27" s="32">
        <f t="shared" si="1"/>
        <v>-540265.41151152214</v>
      </c>
    </row>
    <row r="28" spans="1:7" ht="15" thickBot="1" x14ac:dyDescent="0.35">
      <c r="A28" s="29" t="s">
        <v>66</v>
      </c>
      <c r="B28" s="30">
        <v>5.1999999999999998E-2</v>
      </c>
      <c r="D28" s="31">
        <f t="shared" si="6"/>
        <v>-494086.7439115647</v>
      </c>
      <c r="E28" s="31">
        <f>D28*(B28/4)</f>
        <v>-6423.127670850341</v>
      </c>
      <c r="F28" s="31">
        <f t="shared" si="2"/>
        <v>-52601.79527080783</v>
      </c>
      <c r="G28" s="32">
        <f t="shared" si="1"/>
        <v>-546688.53918237251</v>
      </c>
    </row>
    <row r="29" spans="1:7" ht="15" thickBot="1" x14ac:dyDescent="0.35">
      <c r="A29" s="35" t="s">
        <v>67</v>
      </c>
      <c r="B29" s="36">
        <f>B28</f>
        <v>5.1999999999999998E-2</v>
      </c>
      <c r="C29" s="38"/>
      <c r="D29" s="39">
        <f t="shared" si="6"/>
        <v>-494086.7439115647</v>
      </c>
      <c r="E29" s="39">
        <f t="shared" si="0"/>
        <v>-6423.127670850341</v>
      </c>
      <c r="F29" s="39">
        <f>F28+E29</f>
        <v>-59024.922941658173</v>
      </c>
      <c r="G29" s="40">
        <f>F29+D29</f>
        <v>-553111.66685322288</v>
      </c>
    </row>
    <row r="30" spans="1:7" ht="15" thickBot="1" x14ac:dyDescent="0.35">
      <c r="A30" s="35" t="s">
        <v>68</v>
      </c>
      <c r="B30" s="36">
        <f t="shared" ref="B30:B31" si="7">B29</f>
        <v>5.1999999999999998E-2</v>
      </c>
      <c r="C30" s="38"/>
      <c r="D30" s="40">
        <f>+D29</f>
        <v>-494086.7439115647</v>
      </c>
      <c r="E30" s="39">
        <f t="shared" si="0"/>
        <v>-6423.127670850341</v>
      </c>
      <c r="F30" s="39">
        <f>F29+E30</f>
        <v>-65448.050612508516</v>
      </c>
      <c r="G30" s="40">
        <f t="shared" ref="G30:G31" si="8">F30+D30</f>
        <v>-559534.79452407325</v>
      </c>
    </row>
    <row r="31" spans="1:7" ht="15" thickBot="1" x14ac:dyDescent="0.35">
      <c r="A31" s="35" t="s">
        <v>69</v>
      </c>
      <c r="B31" s="36">
        <f t="shared" si="7"/>
        <v>5.1999999999999998E-2</v>
      </c>
      <c r="C31" s="38"/>
      <c r="D31" s="40">
        <f>+D30</f>
        <v>-494086.7439115647</v>
      </c>
      <c r="E31" s="39">
        <f>D31*(B31/12)</f>
        <v>-2141.0425569501135</v>
      </c>
      <c r="F31" s="39">
        <f>F30+E31</f>
        <v>-67589.093169458632</v>
      </c>
      <c r="G31" s="40">
        <f t="shared" si="8"/>
        <v>-561675.83708102338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Summary of Impact</vt:lpstr>
      <vt:lpstr>Detailed Calculations</vt:lpstr>
      <vt:lpstr>OEB Prescribed Int Rates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Isherwood</dc:creator>
  <cp:lastModifiedBy>Jennifer Dionne</cp:lastModifiedBy>
  <dcterms:created xsi:type="dcterms:W3CDTF">2024-08-19T15:12:58Z</dcterms:created>
  <dcterms:modified xsi:type="dcterms:W3CDTF">2024-08-19T23:30:31Z</dcterms:modified>
</cp:coreProperties>
</file>