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TIVE APPLICATIONS\API_2025_COS\Interrogatories\2-Staff-30\"/>
    </mc:Choice>
  </mc:AlternateContent>
  <xr:revisionPtr revIDLastSave="0" documentId="13_ncr:1_{2272BCB1-8610-476A-A703-E7E6F10B6B02}" xr6:coauthVersionLast="47" xr6:coauthVersionMax="47" xr10:uidLastSave="{00000000-0000-0000-0000-000000000000}"/>
  <bookViews>
    <workbookView xWindow="28680" yWindow="-615" windowWidth="29040" windowHeight="17640" xr2:uid="{0DD1CE38-BE5B-4861-AD7B-DA5E79DC5E77}"/>
  </bookViews>
  <sheets>
    <sheet name="Benchmark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M41" i="1" s="1"/>
  <c r="M10" i="1"/>
  <c r="M11" i="1"/>
  <c r="I13" i="1"/>
  <c r="H13" i="1"/>
  <c r="G13" i="1"/>
  <c r="F13" i="1"/>
  <c r="F15" i="1" s="1"/>
  <c r="E13" i="1"/>
  <c r="D13" i="1"/>
  <c r="M6" i="1" l="1"/>
  <c r="R18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P16" i="1" l="1"/>
  <c r="R16" i="1"/>
  <c r="E40" i="1"/>
  <c r="E39" i="1"/>
  <c r="H14" i="1" s="1"/>
  <c r="H15" i="1" s="1"/>
  <c r="M19" i="1"/>
  <c r="E42" i="1" l="1"/>
  <c r="C14" i="1" s="1"/>
  <c r="E43" i="1"/>
  <c r="E51" i="1"/>
  <c r="I14" i="1" s="1"/>
  <c r="I15" i="1" s="1"/>
  <c r="E52" i="1"/>
  <c r="E44" i="1"/>
  <c r="E45" i="1"/>
  <c r="E53" i="1"/>
  <c r="E46" i="1"/>
  <c r="D14" i="1" s="1"/>
  <c r="E47" i="1"/>
  <c r="E48" i="1"/>
  <c r="E49" i="1"/>
  <c r="E41" i="1"/>
  <c r="D15" i="1" l="1"/>
  <c r="D16" i="1"/>
  <c r="B14" i="1"/>
  <c r="G14" i="1"/>
  <c r="G15" i="1" s="1"/>
  <c r="E14" i="1"/>
  <c r="E15" i="1" s="1"/>
  <c r="F16" i="1"/>
  <c r="C13" i="1" l="1"/>
  <c r="C15" i="1" s="1"/>
  <c r="M34" i="1" s="1"/>
  <c r="B13" i="1"/>
  <c r="B15" i="1" s="1"/>
  <c r="M24" i="1" l="1"/>
  <c r="M42" i="1" l="1"/>
  <c r="M43" i="1" s="1"/>
  <c r="I16" i="1" l="1"/>
  <c r="H16" i="1"/>
  <c r="C16" i="1"/>
  <c r="G16" i="1" l="1"/>
  <c r="B16" i="1"/>
  <c r="E16" i="1"/>
  <c r="M28" i="1" l="1"/>
  <c r="R19" i="1" l="1"/>
  <c r="J13" i="1" l="1"/>
  <c r="J15" i="1" s="1"/>
  <c r="M25" i="1" s="1"/>
  <c r="M26" i="1" s="1"/>
  <c r="J16" i="1" l="1"/>
  <c r="M29" i="1" l="1"/>
  <c r="M35" i="1" l="1"/>
  <c r="M36" i="1" s="1"/>
  <c r="M3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</futureMetadata>
  <valueMetadata count="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</valueMetadata>
</metadata>
</file>

<file path=xl/sharedStrings.xml><?xml version="1.0" encoding="utf-8"?>
<sst xmlns="http://schemas.openxmlformats.org/spreadsheetml/2006/main" count="116" uniqueCount="92">
  <si>
    <t xml:space="preserve">LDC </t>
  </si>
  <si>
    <t xml:space="preserve">Milton Hydro </t>
  </si>
  <si>
    <t xml:space="preserve">Waterloo North </t>
  </si>
  <si>
    <t xml:space="preserve">Innisfil Hydro </t>
  </si>
  <si>
    <t xml:space="preserve">PUC Hydro </t>
  </si>
  <si>
    <t xml:space="preserve">Enersource </t>
  </si>
  <si>
    <t>PowerStream</t>
  </si>
  <si>
    <t xml:space="preserve">Brantford Power </t>
  </si>
  <si>
    <t>Function</t>
  </si>
  <si>
    <t xml:space="preserve">Admin &amp; Operations </t>
  </si>
  <si>
    <t>Admin</t>
  </si>
  <si>
    <t>Purchase and Refurbish</t>
  </si>
  <si>
    <t xml:space="preserve">Custom Build </t>
  </si>
  <si>
    <t>Custom Build vs. Purchase and Refurbish</t>
  </si>
  <si>
    <t>Application No.</t>
  </si>
  <si>
    <t>EB-2010-0144 
EB-2015-0108</t>
  </si>
  <si>
    <t>EB-2014-0086</t>
  </si>
  <si>
    <t>EB- 2012-0162</t>
  </si>
  <si>
    <t>EB-2012-0033</t>
  </si>
  <si>
    <t>EB-2008-0244</t>
  </si>
  <si>
    <t>Building In-Service Year</t>
  </si>
  <si>
    <t xml:space="preserve">OEB Approved Capital </t>
  </si>
  <si>
    <t xml:space="preserve">Square Footage </t>
  </si>
  <si>
    <t>FTEs (2021)</t>
  </si>
  <si>
    <t>Algoma Power Inc.</t>
  </si>
  <si>
    <t>EB-2021-0009</t>
  </si>
  <si>
    <t>EB-2015-0089</t>
  </si>
  <si>
    <t>cost/sqft</t>
  </si>
  <si>
    <t xml:space="preserve">Inflation Adjusted Approved  </t>
  </si>
  <si>
    <t xml:space="preserve">Northern Ontario? </t>
  </si>
  <si>
    <t>No</t>
  </si>
  <si>
    <t>Yes</t>
  </si>
  <si>
    <t>Cost per FTE</t>
  </si>
  <si>
    <t xml:space="preserve">Building Construction Price Index, Toronto </t>
  </si>
  <si>
    <t xml:space="preserve">2008 Index </t>
  </si>
  <si>
    <t>2009 index</t>
  </si>
  <si>
    <t xml:space="preserve">2010 Index </t>
  </si>
  <si>
    <t xml:space="preserve">2011 Index </t>
  </si>
  <si>
    <t xml:space="preserve">2012 Index </t>
  </si>
  <si>
    <t xml:space="preserve">2013 Index </t>
  </si>
  <si>
    <t xml:space="preserve">2014 Index </t>
  </si>
  <si>
    <t xml:space="preserve">2015 Index </t>
  </si>
  <si>
    <t xml:space="preserve">2016 Index </t>
  </si>
  <si>
    <t xml:space="preserve">2017 Index </t>
  </si>
  <si>
    <t xml:space="preserve">2018 Index </t>
  </si>
  <si>
    <t xml:space="preserve">2019 Index </t>
  </si>
  <si>
    <t xml:space="preserve">2020 Index </t>
  </si>
  <si>
    <t xml:space="preserve">2021 Index </t>
  </si>
  <si>
    <t xml:space="preserve">2022 Index </t>
  </si>
  <si>
    <t>Construction</t>
  </si>
  <si>
    <t>Non Construction</t>
  </si>
  <si>
    <t>Q4 2020</t>
  </si>
  <si>
    <t>Cumulative Impact from Year X to Q4 2020</t>
  </si>
  <si>
    <t xml:space="preserve">In - Service Year </t>
  </si>
  <si>
    <t xml:space="preserve">Assumed Construction Year </t>
  </si>
  <si>
    <t xml:space="preserve">COVID 19 Impact </t>
  </si>
  <si>
    <t>Geotechnical</t>
  </si>
  <si>
    <t>Adjusted Cost</t>
  </si>
  <si>
    <t>Northern Ontario Construction Premium</t>
  </si>
  <si>
    <t>Total</t>
  </si>
  <si>
    <t>API</t>
  </si>
  <si>
    <t xml:space="preserve">Max comparators </t>
  </si>
  <si>
    <t xml:space="preserve">%variance </t>
  </si>
  <si>
    <t xml:space="preserve">% variance </t>
  </si>
  <si>
    <t>2007 Index</t>
  </si>
  <si>
    <t>2006 Index</t>
  </si>
  <si>
    <t>Change Orders incl above</t>
  </si>
  <si>
    <t xml:space="preserve">Inflation Impact- Change Orders </t>
  </si>
  <si>
    <t>2-Comparator Average</t>
  </si>
  <si>
    <t>Avg InnPower, Waterloo N.</t>
  </si>
  <si>
    <t xml:space="preserve">API Land Costs </t>
  </si>
  <si>
    <t xml:space="preserve">API Sq Ft </t>
  </si>
  <si>
    <t>Value of Land/Sqft</t>
  </si>
  <si>
    <t>Customers (2021*)</t>
  </si>
  <si>
    <t xml:space="preserve">* Enersource 2014 data provided </t>
  </si>
  <si>
    <t xml:space="preserve">EB-2018-0028 
EB-2021-0018 </t>
  </si>
  <si>
    <t>EB-2024-0007</t>
  </si>
  <si>
    <t>Construction Price Index between estimated construction year and 2022</t>
  </si>
  <si>
    <t>Energy+</t>
  </si>
  <si>
    <t>API Building</t>
  </si>
  <si>
    <t xml:space="preserve">PUC Hydro- Est. Northern Ontario Cost Adjustment </t>
  </si>
  <si>
    <t>Assumed Percent of Project cost on Construction</t>
  </si>
  <si>
    <t>Assumed Non-Construction Component</t>
  </si>
  <si>
    <t>Downward Adjustment for Construction Cost in N. Ontario</t>
  </si>
  <si>
    <t>No Adjustment for Non-Construction</t>
  </si>
  <si>
    <t>Adjustment to total Project Cost for N. Ontario Construction Cost Premium</t>
  </si>
  <si>
    <t xml:space="preserve">PUC Hydro- Additional Sq Footage Cost to normalize for no Land cost </t>
  </si>
  <si>
    <t>3-Comparator Average (incl. PUC)</t>
  </si>
  <si>
    <t>API ACM Approval in 2019</t>
  </si>
  <si>
    <t xml:space="preserve">Cumulative impact Construction Price Index to In-service </t>
  </si>
  <si>
    <t>ACM adjusted for Construction Price Index</t>
  </si>
  <si>
    <t xml:space="preserve">Incremental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</si>
</sst>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&quot;$&quot;* #,##0_-;\-&quot;$&quot;* #,##0_-;_-&quot;$&quot;* &quot;-&quot;??_-;_-@_-"/>
    <numFmt numFmtId="167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10" fontId="0" fillId="0" borderId="0" xfId="0" applyNumberFormat="1"/>
    <xf numFmtId="10" fontId="0" fillId="0" borderId="0" xfId="3" applyNumberFormat="1" applyFont="1"/>
    <xf numFmtId="0" fontId="4" fillId="0" borderId="0" xfId="0" applyFont="1"/>
    <xf numFmtId="44" fontId="0" fillId="0" borderId="0" xfId="2" applyFont="1" applyFill="1"/>
    <xf numFmtId="43" fontId="0" fillId="0" borderId="0" xfId="1" applyFont="1"/>
    <xf numFmtId="9" fontId="0" fillId="0" borderId="0" xfId="3" applyFont="1"/>
    <xf numFmtId="165" fontId="0" fillId="0" borderId="0" xfId="3" applyNumberFormat="1" applyFont="1"/>
    <xf numFmtId="0" fontId="3" fillId="0" borderId="0" xfId="0" applyFont="1" applyAlignment="1">
      <alignment wrapText="1"/>
    </xf>
    <xf numFmtId="44" fontId="3" fillId="0" borderId="0" xfId="2" applyFont="1" applyFill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1" xfId="0" applyBorder="1"/>
    <xf numFmtId="44" fontId="0" fillId="0" borderId="1" xfId="2" applyFont="1" applyBorder="1"/>
    <xf numFmtId="44" fontId="0" fillId="0" borderId="1" xfId="2" applyFont="1" applyFill="1" applyBorder="1"/>
    <xf numFmtId="44" fontId="0" fillId="0" borderId="1" xfId="0" applyNumberFormat="1" applyBorder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10" fontId="0" fillId="0" borderId="1" xfId="1" applyNumberFormat="1" applyFont="1" applyBorder="1"/>
    <xf numFmtId="43" fontId="0" fillId="0" borderId="1" xfId="1" applyFont="1" applyBorder="1"/>
    <xf numFmtId="0" fontId="3" fillId="0" borderId="1" xfId="0" applyFont="1" applyBorder="1" applyAlignment="1">
      <alignment wrapText="1"/>
    </xf>
    <xf numFmtId="44" fontId="3" fillId="0" borderId="1" xfId="0" applyNumberFormat="1" applyFont="1" applyBorder="1"/>
    <xf numFmtId="44" fontId="3" fillId="2" borderId="1" xfId="0" applyNumberFormat="1" applyFont="1" applyFill="1" applyBorder="1"/>
    <xf numFmtId="44" fontId="0" fillId="2" borderId="1" xfId="0" applyNumberFormat="1" applyFill="1" applyBorder="1"/>
    <xf numFmtId="44" fontId="1" fillId="0" borderId="1" xfId="2" applyFont="1" applyFill="1" applyBorder="1"/>
    <xf numFmtId="0" fontId="3" fillId="0" borderId="1" xfId="0" applyFont="1" applyBorder="1"/>
    <xf numFmtId="44" fontId="0" fillId="0" borderId="0" xfId="2" applyFont="1"/>
    <xf numFmtId="43" fontId="0" fillId="0" borderId="0" xfId="0" applyNumberFormat="1"/>
    <xf numFmtId="164" fontId="0" fillId="0" borderId="0" xfId="0" applyNumberFormat="1"/>
    <xf numFmtId="0" fontId="3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1" xfId="1" applyNumberFormat="1" applyFont="1" applyBorder="1"/>
    <xf numFmtId="166" fontId="0" fillId="0" borderId="1" xfId="2" applyNumberFormat="1" applyFont="1" applyBorder="1"/>
    <xf numFmtId="166" fontId="3" fillId="0" borderId="1" xfId="2" applyNumberFormat="1" applyFont="1" applyBorder="1"/>
    <xf numFmtId="0" fontId="3" fillId="3" borderId="1" xfId="0" applyFont="1" applyFill="1" applyBorder="1"/>
    <xf numFmtId="166" fontId="3" fillId="3" borderId="1" xfId="2" applyNumberFormat="1" applyFont="1" applyFill="1" applyBorder="1" applyAlignment="1">
      <alignment horizontal="center" vertical="center"/>
    </xf>
    <xf numFmtId="166" fontId="3" fillId="3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44" fontId="6" fillId="0" borderId="1" xfId="2" applyFont="1" applyBorder="1"/>
    <xf numFmtId="44" fontId="6" fillId="0" borderId="1" xfId="2" applyFont="1" applyFill="1" applyBorder="1"/>
    <xf numFmtId="0" fontId="5" fillId="0" borderId="1" xfId="0" applyFont="1" applyFill="1" applyBorder="1" applyAlignment="1">
      <alignment wrapText="1"/>
    </xf>
    <xf numFmtId="9" fontId="0" fillId="0" borderId="1" xfId="0" applyNumberFormat="1" applyBorder="1"/>
    <xf numFmtId="10" fontId="0" fillId="0" borderId="1" xfId="0" applyNumberFormat="1" applyBorder="1"/>
    <xf numFmtId="167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43" fontId="0" fillId="0" borderId="1" xfId="0" applyNumberFormat="1" applyBorder="1"/>
    <xf numFmtId="44" fontId="1" fillId="0" borderId="1" xfId="3" applyNumberFormat="1" applyFont="1" applyFill="1" applyBorder="1"/>
    <xf numFmtId="165" fontId="0" fillId="0" borderId="1" xfId="3" applyNumberFormat="1" applyFont="1" applyBorder="1"/>
    <xf numFmtId="44" fontId="0" fillId="0" borderId="1" xfId="3" applyNumberFormat="1" applyFont="1" applyBorder="1"/>
    <xf numFmtId="165" fontId="0" fillId="0" borderId="1" xfId="0" applyNumberForma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17318-DC7A-4110-A930-3F2B082DD2DD}">
  <dimension ref="A1:R53"/>
  <sheetViews>
    <sheetView tabSelected="1" zoomScaleNormal="100" workbookViewId="0">
      <selection activeCell="O14" sqref="O14"/>
    </sheetView>
  </sheetViews>
  <sheetFormatPr defaultRowHeight="15" x14ac:dyDescent="0.25"/>
  <cols>
    <col min="1" max="1" width="16.140625" style="1" customWidth="1"/>
    <col min="2" max="5" width="16.140625" customWidth="1"/>
    <col min="6" max="6" width="18.42578125" customWidth="1"/>
    <col min="7" max="10" width="16.140625" customWidth="1"/>
    <col min="12" max="12" width="33.5703125" customWidth="1"/>
    <col min="13" max="13" width="21.42578125" bestFit="1" customWidth="1"/>
    <col min="14" max="14" width="16.42578125" customWidth="1"/>
    <col min="15" max="15" width="13.28515625" bestFit="1" customWidth="1"/>
    <col min="16" max="16" width="15.28515625" bestFit="1" customWidth="1"/>
    <col min="17" max="17" width="15.28515625" customWidth="1"/>
    <col min="18" max="18" width="16.140625" bestFit="1" customWidth="1"/>
  </cols>
  <sheetData>
    <row r="1" spans="1:18" ht="73.5" customHeight="1" x14ac:dyDescent="0.25">
      <c r="A1" s="14"/>
      <c r="B1" s="36" t="e" vm="1">
        <v>#VALUE!</v>
      </c>
      <c r="C1" s="36" t="e" vm="2">
        <v>#VALUE!</v>
      </c>
      <c r="D1" s="37" t="e" vm="3">
        <v>#VALUE!</v>
      </c>
      <c r="E1" s="36" t="e" vm="4">
        <v>#VALUE!</v>
      </c>
      <c r="F1" s="36" t="e" vm="5">
        <v>#VALUE!</v>
      </c>
      <c r="G1" s="36" t="e" vm="6">
        <v>#VALUE!</v>
      </c>
      <c r="H1" s="36" t="e" vm="7">
        <v>#VALUE!</v>
      </c>
      <c r="I1" s="36" t="e" vm="8">
        <v>#VALUE!</v>
      </c>
      <c r="J1" s="36" t="e" vm="9">
        <v>#VALUE!</v>
      </c>
      <c r="L1" s="41" t="s">
        <v>80</v>
      </c>
      <c r="M1" s="41"/>
    </row>
    <row r="2" spans="1:18" ht="23.25" x14ac:dyDescent="0.25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78</v>
      </c>
      <c r="G2" s="13" t="s">
        <v>5</v>
      </c>
      <c r="H2" s="13" t="s">
        <v>6</v>
      </c>
      <c r="I2" s="13" t="s">
        <v>7</v>
      </c>
      <c r="J2" s="13" t="s">
        <v>24</v>
      </c>
      <c r="L2" s="47" t="s">
        <v>81</v>
      </c>
      <c r="M2" s="48">
        <v>0.6</v>
      </c>
    </row>
    <row r="3" spans="1:18" x14ac:dyDescent="0.25">
      <c r="A3" s="14" t="s">
        <v>8</v>
      </c>
      <c r="B3" s="15" t="s">
        <v>9</v>
      </c>
      <c r="C3" s="15" t="s">
        <v>9</v>
      </c>
      <c r="D3" s="15" t="s">
        <v>9</v>
      </c>
      <c r="E3" s="15" t="s">
        <v>9</v>
      </c>
      <c r="F3" s="16" t="s">
        <v>10</v>
      </c>
      <c r="G3" s="16" t="s">
        <v>10</v>
      </c>
      <c r="H3" s="16" t="s">
        <v>10</v>
      </c>
      <c r="I3" s="15" t="s">
        <v>9</v>
      </c>
      <c r="J3" s="15" t="s">
        <v>9</v>
      </c>
      <c r="L3" s="47" t="s">
        <v>82</v>
      </c>
      <c r="M3" s="48">
        <v>0.4</v>
      </c>
    </row>
    <row r="4" spans="1:18" ht="45" x14ac:dyDescent="0.25">
      <c r="A4" s="14" t="s">
        <v>13</v>
      </c>
      <c r="B4" s="16" t="s">
        <v>11</v>
      </c>
      <c r="C4" s="15" t="s">
        <v>12</v>
      </c>
      <c r="D4" s="15" t="s">
        <v>12</v>
      </c>
      <c r="E4" s="15" t="s">
        <v>12</v>
      </c>
      <c r="F4" s="16" t="s">
        <v>11</v>
      </c>
      <c r="G4" s="16" t="s">
        <v>11</v>
      </c>
      <c r="H4" s="15" t="s">
        <v>12</v>
      </c>
      <c r="I4" s="16" t="s">
        <v>11</v>
      </c>
      <c r="J4" s="15" t="s">
        <v>12</v>
      </c>
      <c r="L4" s="47" t="s">
        <v>83</v>
      </c>
      <c r="M4" s="49">
        <v>0.85</v>
      </c>
    </row>
    <row r="5" spans="1:18" ht="30.75" customHeight="1" x14ac:dyDescent="0.25">
      <c r="A5" s="14" t="s">
        <v>14</v>
      </c>
      <c r="B5" s="34" t="s">
        <v>26</v>
      </c>
      <c r="C5" s="35" t="s">
        <v>15</v>
      </c>
      <c r="D5" s="34" t="s">
        <v>16</v>
      </c>
      <c r="E5" s="34" t="s">
        <v>17</v>
      </c>
      <c r="F5" s="35" t="s">
        <v>75</v>
      </c>
      <c r="G5" s="34" t="s">
        <v>18</v>
      </c>
      <c r="H5" s="34" t="s">
        <v>19</v>
      </c>
      <c r="I5" s="34" t="s">
        <v>25</v>
      </c>
      <c r="J5" s="34" t="s">
        <v>76</v>
      </c>
      <c r="L5" s="47" t="s">
        <v>84</v>
      </c>
      <c r="M5" s="48">
        <v>1</v>
      </c>
    </row>
    <row r="6" spans="1:18" ht="30" x14ac:dyDescent="0.25">
      <c r="A6" s="14" t="s">
        <v>20</v>
      </c>
      <c r="B6" s="16">
        <v>2015</v>
      </c>
      <c r="C6" s="16">
        <v>2011</v>
      </c>
      <c r="D6" s="16">
        <v>2015</v>
      </c>
      <c r="E6" s="16">
        <v>2012</v>
      </c>
      <c r="F6" s="16">
        <v>2022</v>
      </c>
      <c r="G6" s="16">
        <v>2012</v>
      </c>
      <c r="H6" s="16">
        <v>2008</v>
      </c>
      <c r="I6" s="16">
        <v>2020</v>
      </c>
      <c r="J6" s="16">
        <v>2022</v>
      </c>
      <c r="L6" s="47" t="s">
        <v>85</v>
      </c>
      <c r="M6" s="50">
        <f>M2*M4+M5*M3</f>
        <v>0.91</v>
      </c>
    </row>
    <row r="7" spans="1:18" ht="30" x14ac:dyDescent="0.25">
      <c r="A7" s="14" t="s">
        <v>29</v>
      </c>
      <c r="B7" s="16" t="s">
        <v>30</v>
      </c>
      <c r="C7" s="16" t="s">
        <v>30</v>
      </c>
      <c r="D7" s="16" t="s">
        <v>30</v>
      </c>
      <c r="E7" s="16" t="s">
        <v>31</v>
      </c>
      <c r="F7" s="16" t="s">
        <v>30</v>
      </c>
      <c r="G7" s="16" t="s">
        <v>30</v>
      </c>
      <c r="H7" s="16" t="s">
        <v>30</v>
      </c>
      <c r="I7" s="16" t="s">
        <v>30</v>
      </c>
      <c r="J7" s="16" t="s">
        <v>31</v>
      </c>
    </row>
    <row r="8" spans="1:18" x14ac:dyDescent="0.25">
      <c r="A8" s="44"/>
      <c r="B8" s="45"/>
      <c r="C8" s="45"/>
      <c r="D8" s="45"/>
      <c r="E8" s="45"/>
      <c r="F8" s="46"/>
      <c r="G8" s="45"/>
      <c r="H8" s="45"/>
      <c r="I8" s="45"/>
      <c r="J8" s="45"/>
      <c r="L8" s="41" t="s">
        <v>86</v>
      </c>
      <c r="M8" s="41"/>
    </row>
    <row r="9" spans="1:18" ht="30" x14ac:dyDescent="0.25">
      <c r="A9" s="14" t="s">
        <v>21</v>
      </c>
      <c r="B9" s="18">
        <v>13030798</v>
      </c>
      <c r="C9" s="18">
        <v>26476961</v>
      </c>
      <c r="D9" s="18">
        <v>11141210</v>
      </c>
      <c r="E9" s="18">
        <v>23000000</v>
      </c>
      <c r="F9" s="18">
        <v>7800000</v>
      </c>
      <c r="G9" s="18">
        <v>18000000</v>
      </c>
      <c r="H9" s="18">
        <v>27700000</v>
      </c>
      <c r="I9" s="18">
        <v>14829117</v>
      </c>
      <c r="J9" s="19">
        <v>13128855.517419999</v>
      </c>
      <c r="L9" s="16" t="s">
        <v>70</v>
      </c>
      <c r="M9" s="51">
        <v>1059623.33</v>
      </c>
    </row>
    <row r="10" spans="1:18" ht="30" x14ac:dyDescent="0.25">
      <c r="A10" s="14" t="s">
        <v>73</v>
      </c>
      <c r="B10" s="20">
        <v>42082</v>
      </c>
      <c r="C10" s="20">
        <v>58746</v>
      </c>
      <c r="D10" s="20">
        <v>19703</v>
      </c>
      <c r="E10" s="20">
        <v>33865</v>
      </c>
      <c r="F10" s="21">
        <v>68193</v>
      </c>
      <c r="G10" s="20">
        <v>201359</v>
      </c>
      <c r="H10" s="20">
        <v>353284</v>
      </c>
      <c r="I10" s="20">
        <v>41065</v>
      </c>
      <c r="J10" s="20">
        <v>12227</v>
      </c>
      <c r="L10" s="16" t="s">
        <v>71</v>
      </c>
      <c r="M10" s="52">
        <f>J11</f>
        <v>39051</v>
      </c>
    </row>
    <row r="11" spans="1:18" x14ac:dyDescent="0.25">
      <c r="A11" s="14" t="s">
        <v>22</v>
      </c>
      <c r="B11" s="20">
        <v>91828</v>
      </c>
      <c r="C11" s="20">
        <v>105000</v>
      </c>
      <c r="D11" s="20">
        <v>36172</v>
      </c>
      <c r="E11" s="20">
        <v>110382</v>
      </c>
      <c r="F11" s="21">
        <v>21892</v>
      </c>
      <c r="G11" s="20">
        <v>79000</v>
      </c>
      <c r="H11" s="20">
        <v>92000</v>
      </c>
      <c r="I11" s="20">
        <v>72668</v>
      </c>
      <c r="J11" s="20">
        <v>39051</v>
      </c>
      <c r="L11" s="16" t="s">
        <v>72</v>
      </c>
      <c r="M11" s="53">
        <f>M9/M10</f>
        <v>27.134345599344449</v>
      </c>
    </row>
    <row r="12" spans="1:18" x14ac:dyDescent="0.25">
      <c r="A12" s="14" t="s">
        <v>23</v>
      </c>
      <c r="B12" s="20">
        <v>58.5</v>
      </c>
      <c r="C12" s="20">
        <v>120</v>
      </c>
      <c r="D12" s="20">
        <v>55.24</v>
      </c>
      <c r="E12" s="20">
        <v>77.819999999999993</v>
      </c>
      <c r="F12" s="21">
        <v>124.4</v>
      </c>
      <c r="G12" s="20">
        <v>150</v>
      </c>
      <c r="H12" s="20">
        <v>250</v>
      </c>
      <c r="I12" s="20">
        <v>63.34</v>
      </c>
      <c r="J12" s="20">
        <v>50</v>
      </c>
    </row>
    <row r="13" spans="1:18" x14ac:dyDescent="0.25">
      <c r="A13" s="14" t="s">
        <v>27</v>
      </c>
      <c r="B13" s="17">
        <f t="shared" ref="B13:I13" si="0">B9/B11</f>
        <v>141.90440824149496</v>
      </c>
      <c r="C13" s="17">
        <f t="shared" si="0"/>
        <v>252.16153333333332</v>
      </c>
      <c r="D13" s="17">
        <f t="shared" si="0"/>
        <v>308.00646909211542</v>
      </c>
      <c r="E13" s="17">
        <f t="shared" si="0"/>
        <v>208.3673062637024</v>
      </c>
      <c r="F13" s="18">
        <f t="shared" si="0"/>
        <v>356.29453681710214</v>
      </c>
      <c r="G13" s="17">
        <f t="shared" si="0"/>
        <v>227.84810126582278</v>
      </c>
      <c r="H13" s="17">
        <f t="shared" si="0"/>
        <v>301.08695652173913</v>
      </c>
      <c r="I13" s="17">
        <f t="shared" si="0"/>
        <v>204.06667308856717</v>
      </c>
      <c r="J13" s="17">
        <f>J8/J11</f>
        <v>0</v>
      </c>
    </row>
    <row r="14" spans="1:18" ht="90" x14ac:dyDescent="0.25">
      <c r="A14" s="14" t="s">
        <v>77</v>
      </c>
      <c r="B14" s="22">
        <f>E46</f>
        <v>1.2089999999999999</v>
      </c>
      <c r="C14" s="22">
        <f>E42</f>
        <v>1.2665</v>
      </c>
      <c r="D14" s="22">
        <f>E46</f>
        <v>1.2089999999999999</v>
      </c>
      <c r="E14" s="22">
        <f>E43</f>
        <v>1.2667499999999998</v>
      </c>
      <c r="F14" s="38">
        <v>1</v>
      </c>
      <c r="G14" s="22">
        <f>E43</f>
        <v>1.2667499999999998</v>
      </c>
      <c r="H14" s="22">
        <f>E39</f>
        <v>1.3759999999999999</v>
      </c>
      <c r="I14" s="22">
        <f>E51</f>
        <v>1.0747499999999999</v>
      </c>
      <c r="J14" s="23">
        <v>1</v>
      </c>
    </row>
    <row r="15" spans="1:18" ht="60" x14ac:dyDescent="0.25">
      <c r="A15" s="24" t="s">
        <v>28</v>
      </c>
      <c r="B15" s="25">
        <f>B13*B14</f>
        <v>171.56242956396738</v>
      </c>
      <c r="C15" s="26">
        <f>C13*C14</f>
        <v>319.36258196666665</v>
      </c>
      <c r="D15" s="26">
        <f>D13*D14</f>
        <v>372.37982113236751</v>
      </c>
      <c r="E15" s="27">
        <f>E13*E14*M6+M11</f>
        <v>267.3281951400304</v>
      </c>
      <c r="F15" s="25">
        <f>F13*F14</f>
        <v>356.29453681710214</v>
      </c>
      <c r="G15" s="25">
        <f>G13*G14</f>
        <v>288.62658227848095</v>
      </c>
      <c r="H15" s="25">
        <f>H13*H14</f>
        <v>414.29565217391303</v>
      </c>
      <c r="I15" s="25">
        <f>I13*I14</f>
        <v>219.32065690193755</v>
      </c>
      <c r="J15" s="19">
        <f>J13</f>
        <v>0</v>
      </c>
      <c r="L15" s="41"/>
      <c r="M15" s="42" t="s">
        <v>79</v>
      </c>
      <c r="N15" s="42" t="s">
        <v>55</v>
      </c>
      <c r="O15" s="42" t="s">
        <v>56</v>
      </c>
      <c r="P15" s="43" t="s">
        <v>58</v>
      </c>
      <c r="Q15" s="43" t="s">
        <v>67</v>
      </c>
      <c r="R15" s="42" t="s">
        <v>57</v>
      </c>
    </row>
    <row r="16" spans="1:18" x14ac:dyDescent="0.25">
      <c r="A16" s="14" t="s">
        <v>32</v>
      </c>
      <c r="B16" s="28">
        <f t="shared" ref="B16:J16" si="1">B9*B14/B12</f>
        <v>269303.15866666666</v>
      </c>
      <c r="C16" s="28">
        <f t="shared" si="1"/>
        <v>279442.25922083331</v>
      </c>
      <c r="D16" s="28">
        <f t="shared" si="1"/>
        <v>243840.02335264298</v>
      </c>
      <c r="E16" s="28">
        <f t="shared" si="1"/>
        <v>374392.82960678486</v>
      </c>
      <c r="F16" s="28">
        <f t="shared" si="1"/>
        <v>62700.964630225077</v>
      </c>
      <c r="G16" s="28">
        <f t="shared" si="1"/>
        <v>152009.99999999997</v>
      </c>
      <c r="H16" s="28">
        <f t="shared" si="1"/>
        <v>152460.79999999999</v>
      </c>
      <c r="I16" s="28">
        <f t="shared" si="1"/>
        <v>251619.72680375745</v>
      </c>
      <c r="J16" s="28">
        <f t="shared" si="1"/>
        <v>262577.11034839996</v>
      </c>
      <c r="L16" s="16" t="s">
        <v>49</v>
      </c>
      <c r="M16" s="39">
        <v>13891063.879999999</v>
      </c>
      <c r="N16" s="39">
        <v>-693000</v>
      </c>
      <c r="O16" s="39">
        <v>-416683</v>
      </c>
      <c r="P16" s="39">
        <f>-M16*15%</f>
        <v>-2083659.5819999997</v>
      </c>
      <c r="Q16" s="39">
        <v>-332464.94058000005</v>
      </c>
      <c r="R16" s="39">
        <f>SUM(M16:Q16)</f>
        <v>10365256.357419999</v>
      </c>
    </row>
    <row r="17" spans="1:18" x14ac:dyDescent="0.25">
      <c r="A17" s="33" t="s">
        <v>74</v>
      </c>
      <c r="B17" s="11"/>
      <c r="C17" s="11"/>
      <c r="D17" s="11"/>
      <c r="E17" s="6"/>
      <c r="F17" s="11"/>
      <c r="G17" s="11"/>
      <c r="H17" s="11"/>
      <c r="I17" s="11"/>
      <c r="J17" s="11"/>
      <c r="L17" s="16"/>
      <c r="M17" s="39"/>
      <c r="N17" s="39"/>
      <c r="O17" s="39"/>
      <c r="P17" s="39"/>
      <c r="Q17" s="39"/>
      <c r="R17" s="39"/>
    </row>
    <row r="18" spans="1:18" x14ac:dyDescent="0.25">
      <c r="A18" s="10"/>
      <c r="B18" s="11"/>
      <c r="C18" s="11"/>
      <c r="D18" s="11"/>
      <c r="E18" s="6"/>
      <c r="F18" s="11"/>
      <c r="G18" s="11"/>
      <c r="H18" s="11"/>
      <c r="I18" s="11"/>
      <c r="J18" s="11"/>
      <c r="L18" s="16" t="s">
        <v>50</v>
      </c>
      <c r="M18" s="39">
        <v>2763599.1599999997</v>
      </c>
      <c r="N18" s="39"/>
      <c r="O18" s="39"/>
      <c r="P18" s="39"/>
      <c r="Q18" s="39"/>
      <c r="R18" s="39">
        <f>M18-N18-O18-P18-Q18</f>
        <v>2763599.1599999997</v>
      </c>
    </row>
    <row r="19" spans="1:18" x14ac:dyDescent="0.25">
      <c r="B19" s="5"/>
      <c r="C19" s="5"/>
      <c r="D19" s="5" t="s">
        <v>33</v>
      </c>
      <c r="F19" s="5"/>
      <c r="J19" s="2"/>
      <c r="L19" s="29" t="s">
        <v>59</v>
      </c>
      <c r="M19" s="40">
        <f>SUM(M16:M18)</f>
        <v>16654663.039999999</v>
      </c>
      <c r="N19" s="40"/>
      <c r="O19" s="40"/>
      <c r="P19" s="40"/>
      <c r="Q19" s="40"/>
      <c r="R19" s="40">
        <f>SUM(R16:R18)</f>
        <v>13128855.517419999</v>
      </c>
    </row>
    <row r="20" spans="1:18" x14ac:dyDescent="0.25">
      <c r="B20" s="5"/>
      <c r="C20" t="s">
        <v>65</v>
      </c>
      <c r="D20" s="31">
        <v>74.5</v>
      </c>
      <c r="J20" s="2"/>
      <c r="L20" t="s">
        <v>66</v>
      </c>
      <c r="M20" s="30">
        <v>1522327.4100000001</v>
      </c>
      <c r="R20" s="32"/>
    </row>
    <row r="21" spans="1:18" x14ac:dyDescent="0.25">
      <c r="B21" s="5"/>
      <c r="C21" t="s">
        <v>64</v>
      </c>
      <c r="D21" s="31">
        <v>79.5</v>
      </c>
      <c r="J21" s="2"/>
      <c r="R21" s="30"/>
    </row>
    <row r="22" spans="1:18" x14ac:dyDescent="0.25">
      <c r="C22" t="s">
        <v>34</v>
      </c>
      <c r="D22" s="7">
        <v>87.149999999999991</v>
      </c>
      <c r="I22" s="8"/>
      <c r="J22" s="9"/>
    </row>
    <row r="23" spans="1:18" x14ac:dyDescent="0.25">
      <c r="C23" t="s">
        <v>35</v>
      </c>
      <c r="D23" s="7">
        <v>85.45</v>
      </c>
      <c r="H23" s="8"/>
      <c r="I23" s="8"/>
      <c r="L23" s="16"/>
      <c r="M23" s="19"/>
    </row>
    <row r="24" spans="1:18" x14ac:dyDescent="0.25">
      <c r="C24" t="s">
        <v>36</v>
      </c>
      <c r="D24" s="7">
        <v>85.425000000000011</v>
      </c>
      <c r="H24" s="8"/>
      <c r="L24" s="16" t="s">
        <v>87</v>
      </c>
      <c r="M24" s="19">
        <f>AVERAGE(E15,C15:D15)</f>
        <v>319.6901994130215</v>
      </c>
    </row>
    <row r="25" spans="1:18" x14ac:dyDescent="0.25">
      <c r="C25" t="s">
        <v>37</v>
      </c>
      <c r="D25" s="7">
        <v>88.925000000000011</v>
      </c>
      <c r="H25" s="8"/>
      <c r="L25" s="16" t="s">
        <v>60</v>
      </c>
      <c r="M25" s="54">
        <f>J15</f>
        <v>0</v>
      </c>
    </row>
    <row r="26" spans="1:18" x14ac:dyDescent="0.25">
      <c r="C26" t="s">
        <v>38</v>
      </c>
      <c r="D26" s="7">
        <v>90.875</v>
      </c>
      <c r="E26" s="4"/>
      <c r="F26" s="4"/>
      <c r="H26" s="8"/>
      <c r="L26" s="16" t="s">
        <v>62</v>
      </c>
      <c r="M26" s="55">
        <f>M25/M24-100%</f>
        <v>-1</v>
      </c>
    </row>
    <row r="27" spans="1:18" x14ac:dyDescent="0.25">
      <c r="C27" t="s">
        <v>39</v>
      </c>
      <c r="D27" s="7">
        <v>91.2</v>
      </c>
      <c r="E27" s="4"/>
      <c r="F27" s="4"/>
      <c r="H27" s="8"/>
      <c r="L27" s="16"/>
      <c r="M27" s="16"/>
    </row>
    <row r="28" spans="1:18" x14ac:dyDescent="0.25">
      <c r="C28" t="s">
        <v>40</v>
      </c>
      <c r="D28" s="7">
        <v>92.449999999999989</v>
      </c>
      <c r="E28" s="4"/>
      <c r="F28" s="4"/>
      <c r="H28" s="8"/>
      <c r="L28" s="16" t="s">
        <v>61</v>
      </c>
      <c r="M28" s="19">
        <f>MAX(C15:E15)</f>
        <v>372.37982113236751</v>
      </c>
    </row>
    <row r="29" spans="1:18" x14ac:dyDescent="0.25">
      <c r="C29" t="s">
        <v>41</v>
      </c>
      <c r="D29" s="7">
        <v>94.175000000000011</v>
      </c>
      <c r="E29" s="4"/>
      <c r="F29" s="4"/>
      <c r="H29" s="8"/>
      <c r="L29" s="16" t="s">
        <v>60</v>
      </c>
      <c r="M29" s="56">
        <f>M25</f>
        <v>0</v>
      </c>
    </row>
    <row r="30" spans="1:18" x14ac:dyDescent="0.25">
      <c r="C30" t="s">
        <v>42</v>
      </c>
      <c r="D30" s="7">
        <v>96.925000000000011</v>
      </c>
      <c r="E30" s="4"/>
      <c r="F30" s="4"/>
      <c r="H30" s="8"/>
      <c r="L30" s="16" t="s">
        <v>63</v>
      </c>
      <c r="M30" s="55">
        <f>M29/M28-100%</f>
        <v>-1</v>
      </c>
    </row>
    <row r="31" spans="1:18" x14ac:dyDescent="0.25">
      <c r="C31" t="s">
        <v>43</v>
      </c>
      <c r="D31" s="7">
        <v>100.02500000000001</v>
      </c>
      <c r="E31" s="4"/>
      <c r="F31" s="4"/>
      <c r="H31" s="8"/>
      <c r="L31" s="16"/>
      <c r="M31" s="16"/>
    </row>
    <row r="32" spans="1:18" x14ac:dyDescent="0.25">
      <c r="C32" t="s">
        <v>44</v>
      </c>
      <c r="D32" s="7">
        <v>104.625</v>
      </c>
      <c r="E32" s="4"/>
      <c r="F32" s="4"/>
      <c r="H32" s="8"/>
      <c r="L32" s="16"/>
      <c r="M32" s="16"/>
    </row>
    <row r="33" spans="2:13" x14ac:dyDescent="0.25">
      <c r="C33" t="s">
        <v>45</v>
      </c>
      <c r="D33" s="7">
        <v>108.64999999999999</v>
      </c>
      <c r="E33" s="4"/>
      <c r="F33" s="4"/>
      <c r="H33" s="8"/>
      <c r="L33" s="16" t="s">
        <v>68</v>
      </c>
      <c r="M33" s="16"/>
    </row>
    <row r="34" spans="2:13" x14ac:dyDescent="0.25">
      <c r="C34" t="s">
        <v>46</v>
      </c>
      <c r="D34" s="7">
        <v>111.42500000000001</v>
      </c>
      <c r="E34" s="4"/>
      <c r="F34" s="4"/>
      <c r="H34" s="8"/>
      <c r="L34" s="16" t="s">
        <v>69</v>
      </c>
      <c r="M34" s="19">
        <f>AVERAGE(C15:D15)</f>
        <v>345.87120154951708</v>
      </c>
    </row>
    <row r="35" spans="2:13" x14ac:dyDescent="0.25">
      <c r="C35" t="s">
        <v>47</v>
      </c>
      <c r="D35" s="7">
        <v>122.10000000000001</v>
      </c>
      <c r="E35" s="4"/>
      <c r="F35" s="4"/>
      <c r="H35" s="8"/>
      <c r="L35" s="16" t="s">
        <v>60</v>
      </c>
      <c r="M35" s="19">
        <f>M29</f>
        <v>0</v>
      </c>
    </row>
    <row r="36" spans="2:13" x14ac:dyDescent="0.25">
      <c r="C36" t="s">
        <v>48</v>
      </c>
      <c r="D36" s="7">
        <v>141.92500000000001</v>
      </c>
      <c r="E36" s="3"/>
      <c r="F36" s="3"/>
      <c r="H36" s="8"/>
      <c r="L36" s="16" t="s">
        <v>63</v>
      </c>
      <c r="M36" s="55">
        <f>M35/M34-100%</f>
        <v>-1</v>
      </c>
    </row>
    <row r="37" spans="2:13" x14ac:dyDescent="0.25">
      <c r="B37" s="5"/>
      <c r="C37" s="5" t="s">
        <v>51</v>
      </c>
      <c r="D37" s="5">
        <v>112.1</v>
      </c>
      <c r="E37" s="5"/>
      <c r="F37" s="5"/>
    </row>
    <row r="38" spans="2:13" x14ac:dyDescent="0.25">
      <c r="B38" s="5"/>
      <c r="C38" s="5" t="s">
        <v>53</v>
      </c>
      <c r="D38" s="5" t="s">
        <v>54</v>
      </c>
      <c r="E38" t="s">
        <v>52</v>
      </c>
      <c r="F38" s="5"/>
    </row>
    <row r="39" spans="2:13" x14ac:dyDescent="0.25">
      <c r="C39">
        <v>2008</v>
      </c>
      <c r="D39">
        <f>C39-2</f>
        <v>2006</v>
      </c>
      <c r="E39" s="9">
        <f>($D$37-D20)/100+100%</f>
        <v>1.3759999999999999</v>
      </c>
      <c r="F39" s="8"/>
      <c r="G39" s="8"/>
    </row>
    <row r="40" spans="2:13" x14ac:dyDescent="0.25">
      <c r="C40">
        <v>2009</v>
      </c>
      <c r="D40">
        <f t="shared" ref="D40:D53" si="2">C40-2</f>
        <v>2007</v>
      </c>
      <c r="E40" s="9">
        <f>($D$37-D21)/100+100%</f>
        <v>1.3260000000000001</v>
      </c>
      <c r="F40" s="8"/>
      <c r="G40" s="8"/>
      <c r="L40" s="16" t="s">
        <v>88</v>
      </c>
      <c r="M40" s="17">
        <v>12690000</v>
      </c>
    </row>
    <row r="41" spans="2:13" x14ac:dyDescent="0.25">
      <c r="C41">
        <v>2010</v>
      </c>
      <c r="D41">
        <f t="shared" si="2"/>
        <v>2008</v>
      </c>
      <c r="E41" s="9">
        <f>($D$37-D22)/100+100%</f>
        <v>1.2495000000000001</v>
      </c>
      <c r="F41" s="8"/>
      <c r="G41" s="8"/>
      <c r="L41" s="16" t="s">
        <v>89</v>
      </c>
      <c r="M41" s="57">
        <f>E50</f>
        <v>1.1207499999999999</v>
      </c>
    </row>
    <row r="42" spans="2:13" x14ac:dyDescent="0.25">
      <c r="C42">
        <v>2011</v>
      </c>
      <c r="D42">
        <f t="shared" si="2"/>
        <v>2009</v>
      </c>
      <c r="E42" s="9">
        <f>($D$37-D23)/100+100%</f>
        <v>1.2665</v>
      </c>
      <c r="F42" s="8"/>
      <c r="G42" s="8"/>
      <c r="L42" s="16" t="s">
        <v>90</v>
      </c>
      <c r="M42" s="39">
        <f>M40*M41</f>
        <v>14222317.499999998</v>
      </c>
    </row>
    <row r="43" spans="2:13" x14ac:dyDescent="0.25">
      <c r="C43">
        <v>2012</v>
      </c>
      <c r="D43">
        <f t="shared" si="2"/>
        <v>2010</v>
      </c>
      <c r="E43" s="9">
        <f>($D$37-D24)/100+100%</f>
        <v>1.2667499999999998</v>
      </c>
      <c r="F43" s="8"/>
      <c r="G43" s="8"/>
      <c r="L43" s="16" t="s">
        <v>91</v>
      </c>
      <c r="M43" s="19">
        <f>M42-M40</f>
        <v>1532317.4999999981</v>
      </c>
    </row>
    <row r="44" spans="2:13" x14ac:dyDescent="0.25">
      <c r="C44">
        <v>2013</v>
      </c>
      <c r="D44">
        <f t="shared" si="2"/>
        <v>2011</v>
      </c>
      <c r="E44" s="9">
        <f>($D$37-D25)/100+100%</f>
        <v>1.2317499999999999</v>
      </c>
      <c r="F44" s="8"/>
      <c r="G44" s="8"/>
    </row>
    <row r="45" spans="2:13" x14ac:dyDescent="0.25">
      <c r="C45">
        <v>2014</v>
      </c>
      <c r="D45">
        <f t="shared" si="2"/>
        <v>2012</v>
      </c>
      <c r="E45" s="9">
        <f>($D$37-D26)/100+100%</f>
        <v>1.21225</v>
      </c>
      <c r="F45" s="8"/>
      <c r="G45" s="8"/>
    </row>
    <row r="46" spans="2:13" x14ac:dyDescent="0.25">
      <c r="C46">
        <v>2015</v>
      </c>
      <c r="D46">
        <f t="shared" si="2"/>
        <v>2013</v>
      </c>
      <c r="E46" s="9">
        <f>($D$37-D27)/100+100%</f>
        <v>1.2089999999999999</v>
      </c>
      <c r="F46" s="4"/>
    </row>
    <row r="47" spans="2:13" x14ac:dyDescent="0.25">
      <c r="C47">
        <v>2016</v>
      </c>
      <c r="D47">
        <f t="shared" si="2"/>
        <v>2014</v>
      </c>
      <c r="E47" s="9">
        <f>($D$37-D28)/100+100%</f>
        <v>1.1965000000000001</v>
      </c>
      <c r="F47" s="4"/>
    </row>
    <row r="48" spans="2:13" x14ac:dyDescent="0.25">
      <c r="C48">
        <v>2017</v>
      </c>
      <c r="D48">
        <f t="shared" si="2"/>
        <v>2015</v>
      </c>
      <c r="E48" s="9">
        <f>($D$37-D29)/100+100%</f>
        <v>1.1792499999999999</v>
      </c>
      <c r="F48" s="4"/>
    </row>
    <row r="49" spans="3:6" x14ac:dyDescent="0.25">
      <c r="C49">
        <v>2018</v>
      </c>
      <c r="D49">
        <f t="shared" si="2"/>
        <v>2016</v>
      </c>
      <c r="E49" s="9">
        <f>($D$37-D30)/100+100%</f>
        <v>1.1517499999999998</v>
      </c>
      <c r="F49" s="4"/>
    </row>
    <row r="50" spans="3:6" x14ac:dyDescent="0.25">
      <c r="C50">
        <v>2019</v>
      </c>
      <c r="D50">
        <f t="shared" si="2"/>
        <v>2017</v>
      </c>
      <c r="E50" s="9">
        <f>($D$37-D31)/100+100%</f>
        <v>1.1207499999999999</v>
      </c>
      <c r="F50" s="4"/>
    </row>
    <row r="51" spans="3:6" x14ac:dyDescent="0.25">
      <c r="C51">
        <v>2020</v>
      </c>
      <c r="D51">
        <f t="shared" si="2"/>
        <v>2018</v>
      </c>
      <c r="E51" s="9">
        <f>($D$37-D32)/100+100%</f>
        <v>1.0747499999999999</v>
      </c>
      <c r="F51" s="4"/>
    </row>
    <row r="52" spans="3:6" x14ac:dyDescent="0.25">
      <c r="C52">
        <v>2021</v>
      </c>
      <c r="D52">
        <f t="shared" si="2"/>
        <v>2019</v>
      </c>
      <c r="E52" s="9">
        <f>($D$37-D33)/100+100%</f>
        <v>1.0345</v>
      </c>
      <c r="F52" s="4"/>
    </row>
    <row r="53" spans="3:6" x14ac:dyDescent="0.25">
      <c r="C53">
        <v>2022</v>
      </c>
      <c r="D53">
        <f t="shared" si="2"/>
        <v>2020</v>
      </c>
      <c r="E53" s="9">
        <f>($D$37-D34)/100+100%</f>
        <v>1.0067499999999998</v>
      </c>
    </row>
  </sheetData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Benchmarking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Stefan, Oana</dc:creator>
  <cp:lastModifiedBy>Stefan, Oana</cp:lastModifiedBy>
  <dcterms:created xsi:type="dcterms:W3CDTF">2023-05-26T15:01:58Z</dcterms:created>
  <dcterms:modified xsi:type="dcterms:W3CDTF">2024-08-29T22:07:24Z</dcterms:modified>
</cp:coreProperties>
</file>