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08B008A5-AFE4-4E46-AEDE-EA4E840DA4B4}" xr6:coauthVersionLast="47" xr6:coauthVersionMax="47" xr10:uidLastSave="{00000000-0000-0000-0000-000000000000}"/>
  <bookViews>
    <workbookView xWindow="-120" yWindow="-120" windowWidth="29040" windowHeight="15840" firstSheet="2" activeTab="6" xr2:uid="{00000000-000D-0000-FFFF-FFFF00000000}"/>
  </bookViews>
  <sheets>
    <sheet name="Exhibit 3 Tables" sheetId="76" state="hidden" r:id="rId1"/>
    <sheet name="Load Forecast Summary" sheetId="11" r:id="rId2"/>
    <sheet name="2013" sheetId="83" r:id="rId3"/>
    <sheet name="Power Purchased Model" sheetId="80" r:id="rId4"/>
    <sheet name="Power Purchased Model WN" sheetId="86" r:id="rId5"/>
    <sheet name="Rate Class Energy Model" sheetId="9" r:id="rId6"/>
    <sheet name="Rate Class Customer Model" sheetId="17" r:id="rId7"/>
    <sheet name="Rate Class Load Model" sheetId="18" r:id="rId8"/>
  </sheets>
  <definedNames>
    <definedName name="__CAP1000" localSheetId="0">#REF!</definedName>
    <definedName name="__CAP1000" localSheetId="3">#REF!</definedName>
    <definedName name="__CAP1000" localSheetId="4">#REF!</definedName>
    <definedName name="__CAP1000">#REF!</definedName>
    <definedName name="__OP1000" localSheetId="0">#REF!</definedName>
    <definedName name="__OP1000" localSheetId="3">#REF!</definedName>
    <definedName name="__OP1000" localSheetId="4">#REF!</definedName>
    <definedName name="__OP1000">#REF!</definedName>
    <definedName name="_110" localSheetId="0">#REF!</definedName>
    <definedName name="_110" localSheetId="3">#REF!</definedName>
    <definedName name="_110" localSheetId="4">#REF!</definedName>
    <definedName name="_110">#REF!</definedName>
    <definedName name="_110INPT" localSheetId="3">#REF!</definedName>
    <definedName name="_110INPT" localSheetId="4">#REF!</definedName>
    <definedName name="_110INPT">#REF!</definedName>
    <definedName name="_115" localSheetId="3">#REF!</definedName>
    <definedName name="_115" localSheetId="4">#REF!</definedName>
    <definedName name="_115">#REF!</definedName>
    <definedName name="_115INPT" localSheetId="3">#REF!</definedName>
    <definedName name="_115INPT" localSheetId="4">#REF!</definedName>
    <definedName name="_115INPT">#REF!</definedName>
    <definedName name="_120" localSheetId="3">#REF!</definedName>
    <definedName name="_120" localSheetId="4">#REF!</definedName>
    <definedName name="_120">#REF!</definedName>
    <definedName name="_140" localSheetId="3">#REF!</definedName>
    <definedName name="_140" localSheetId="4">#REF!</definedName>
    <definedName name="_140">#REF!</definedName>
    <definedName name="_140INPT" localSheetId="3">#REF!</definedName>
    <definedName name="_140INPT" localSheetId="4">#REF!</definedName>
    <definedName name="_140INPT">#REF!</definedName>
    <definedName name="_CAP1000" localSheetId="3">#REF!</definedName>
    <definedName name="_CAP1000" localSheetId="4">#REF!</definedName>
    <definedName name="_CAP1000">#REF!</definedName>
    <definedName name="_Fill" hidden="1">#REF!</definedName>
    <definedName name="_OP1000" localSheetId="0">#REF!</definedName>
    <definedName name="_OP1000" localSheetId="3">#REF!</definedName>
    <definedName name="_OP1000" localSheetId="4">#REF!</definedName>
    <definedName name="_OP1000">#REF!</definedName>
    <definedName name="_Order1" hidden="1">255</definedName>
    <definedName name="_Order2" hidden="1">0</definedName>
    <definedName name="_Sort" localSheetId="0" hidden="1">#REF!</definedName>
    <definedName name="_Sort" hidden="1">#REF!</definedName>
    <definedName name="ALL" localSheetId="0">#REF!</definedName>
    <definedName name="ALL" localSheetId="3">#REF!</definedName>
    <definedName name="ALL" localSheetId="4">#REF!</definedName>
    <definedName name="ALL">#REF!</definedName>
    <definedName name="ApprovedYr" localSheetId="0">#REF!</definedName>
    <definedName name="ApprovedYr">#REF!</definedName>
    <definedName name="CAfile" localSheetId="0">#REF!</definedName>
    <definedName name="CAfile">#REF!</definedName>
    <definedName name="CAPCOSTS" localSheetId="0">#REF!</definedName>
    <definedName name="CAPCOSTS" localSheetId="3">#REF!</definedName>
    <definedName name="CAPCOSTS" localSheetId="4">#REF!</definedName>
    <definedName name="CAPCOSTS">#REF!</definedName>
    <definedName name="CAPITAL" localSheetId="0">#REF!</definedName>
    <definedName name="CAPITAL" localSheetId="3">#REF!</definedName>
    <definedName name="CAPITAL" localSheetId="4">#REF!</definedName>
    <definedName name="CAPITAL">#REF!</definedName>
    <definedName name="CapitalExpListing" localSheetId="0">#REF!</definedName>
    <definedName name="CapitalExpListing" localSheetId="3">#REF!</definedName>
    <definedName name="CapitalExpListing" localSheetId="4">#REF!</definedName>
    <definedName name="CapitalExpListing">#REF!</definedName>
    <definedName name="CArevReq" localSheetId="0">#REF!</definedName>
    <definedName name="CArevReq">#REF!</definedName>
    <definedName name="CASENUMBER">#REF!</definedName>
    <definedName name="CASHFLOW" localSheetId="0">#REF!</definedName>
    <definedName name="CASHFLOW" localSheetId="3">#REF!</definedName>
    <definedName name="CASHFLOW" localSheetId="4">#REF!</definedName>
    <definedName name="CASHFLOW">#REF!</definedName>
    <definedName name="cc" localSheetId="0">#REF!</definedName>
    <definedName name="cc" localSheetId="3">#REF!</definedName>
    <definedName name="cc" localSheetId="4">#REF!</definedName>
    <definedName name="cc">#REF!</definedName>
    <definedName name="ClassRange1" localSheetId="0">#REF!</definedName>
    <definedName name="ClassRange1">#REF!</definedName>
    <definedName name="ClassRange2" localSheetId="0">#REF!</definedName>
    <definedName name="ClassRange2">#REF!</definedName>
    <definedName name="contactf" localSheetId="0">#REF!</definedName>
    <definedName name="contactf" localSheetId="3">#REF!</definedName>
    <definedName name="contactf" localSheetId="4">#REF!</definedName>
    <definedName name="contactf">#REF!</definedName>
    <definedName name="_xlnm.Criteria" localSheetId="0">#REF!</definedName>
    <definedName name="_xlnm.Criteria" localSheetId="3">#REF!</definedName>
    <definedName name="_xlnm.Criteria" localSheetId="4">#REF!</definedName>
    <definedName name="_xlnm.Criteria">#REF!</definedName>
    <definedName name="CRLF" localSheetId="0">#REF!</definedName>
    <definedName name="CRLF">#REF!</definedName>
    <definedName name="_xlnm.Database" localSheetId="0">#REF!</definedName>
    <definedName name="_xlnm.Database" localSheetId="3">#REF!</definedName>
    <definedName name="_xlnm.Database" localSheetId="4">#REF!</definedName>
    <definedName name="_xlnm.Database">#REF!</definedName>
    <definedName name="DaysInPreviousYear" localSheetId="0">#REF!</definedName>
    <definedName name="DaysInPreviousYear">#REF!</definedName>
    <definedName name="DaysInYear" localSheetId="0">#REF!</definedName>
    <definedName name="DaysInYear">#REF!</definedName>
    <definedName name="DEBTREPAY" localSheetId="0">#REF!</definedName>
    <definedName name="DEBTREPAY" localSheetId="3">#REF!</definedName>
    <definedName name="DEBTREPAY" localSheetId="4">#REF!</definedName>
    <definedName name="DEBTREPAY">#REF!</definedName>
    <definedName name="DeptDiv" localSheetId="0">#REF!</definedName>
    <definedName name="DeptDiv" localSheetId="3">#REF!</definedName>
    <definedName name="DeptDiv" localSheetId="4">#REF!</definedName>
    <definedName name="DeptDiv">#REF!</definedName>
    <definedName name="EBNUMBER">#REF!</definedName>
    <definedName name="ExpenseAccountListing" localSheetId="0">#REF!</definedName>
    <definedName name="ExpenseAccountListing" localSheetId="3">#REF!</definedName>
    <definedName name="ExpenseAccountListing" localSheetId="4">#REF!</definedName>
    <definedName name="ExpenseAccountListing">#REF!</definedName>
    <definedName name="_xlnm.Extract" localSheetId="3">#REF!</definedName>
    <definedName name="_xlnm.Extract" localSheetId="4">#REF!</definedName>
    <definedName name="_xlnm.Extract">#REF!</definedName>
    <definedName name="FakeBlank" localSheetId="0">#REF!</definedName>
    <definedName name="FakeBlank">#REF!</definedName>
    <definedName name="FolderPath" localSheetId="0">#REF!</definedName>
    <definedName name="FolderPath">#REF!</definedName>
    <definedName name="histdate">#REF!</definedName>
    <definedName name="Incr2000" localSheetId="0">#REF!</definedName>
    <definedName name="Incr2000" localSheetId="3">#REF!</definedName>
    <definedName name="Incr2000" localSheetId="4">#REF!</definedName>
    <definedName name="Incr2000">#REF!</definedName>
    <definedName name="INTERIM" localSheetId="0">#REF!</definedName>
    <definedName name="INTERIM" localSheetId="3">#REF!</definedName>
    <definedName name="INTERIM" localSheetId="4">#REF!</definedName>
    <definedName name="INTERIM">#REF!</definedName>
    <definedName name="LIMIT" localSheetId="0">#REF!</definedName>
    <definedName name="LIMIT" localSheetId="3">#REF!</definedName>
    <definedName name="LIMIT" localSheetId="4">#REF!</definedName>
    <definedName name="LIMIT">#REF!</definedName>
    <definedName name="man_beg_bud" localSheetId="3">#REF!</definedName>
    <definedName name="man_beg_bud" localSheetId="4">#REF!</definedName>
    <definedName name="man_beg_bud">#REF!</definedName>
    <definedName name="man_end_bud" localSheetId="3">#REF!</definedName>
    <definedName name="man_end_bud" localSheetId="4">#REF!</definedName>
    <definedName name="man_end_bud">#REF!</definedName>
    <definedName name="man12ACT" localSheetId="3">#REF!</definedName>
    <definedName name="man12ACT" localSheetId="4">#REF!</definedName>
    <definedName name="man12ACT">#REF!</definedName>
    <definedName name="MANBUD" localSheetId="3">#REF!</definedName>
    <definedName name="MANBUD" localSheetId="4">#REF!</definedName>
    <definedName name="MANBUD">#REF!</definedName>
    <definedName name="manCYACT" localSheetId="3">#REF!</definedName>
    <definedName name="manCYACT" localSheetId="4">#REF!</definedName>
    <definedName name="manCYACT">#REF!</definedName>
    <definedName name="manCYBUD" localSheetId="3">#REF!</definedName>
    <definedName name="manCYBUD" localSheetId="4">#REF!</definedName>
    <definedName name="manCYBUD">#REF!</definedName>
    <definedName name="manCYF" localSheetId="3">#REF!</definedName>
    <definedName name="manCYF" localSheetId="4">#REF!</definedName>
    <definedName name="manCYF">#REF!</definedName>
    <definedName name="MANEND" localSheetId="3">#REF!</definedName>
    <definedName name="MANEND" localSheetId="4">#REF!</definedName>
    <definedName name="MANEND">#REF!</definedName>
    <definedName name="manNYbud" localSheetId="3">#REF!</definedName>
    <definedName name="manNYbud" localSheetId="4">#REF!</definedName>
    <definedName name="manNYbud">#REF!</definedName>
    <definedName name="manpower_costs" localSheetId="3">#REF!</definedName>
    <definedName name="manpower_costs" localSheetId="4">#REF!</definedName>
    <definedName name="manpower_costs">#REF!</definedName>
    <definedName name="manPYACT" localSheetId="3">#REF!</definedName>
    <definedName name="manPYACT" localSheetId="4">#REF!</definedName>
    <definedName name="manPYACT">#REF!</definedName>
    <definedName name="MANSTART" localSheetId="3">#REF!</definedName>
    <definedName name="MANSTART" localSheetId="4">#REF!</definedName>
    <definedName name="MANSTART">#REF!</definedName>
    <definedName name="mat_beg_bud" localSheetId="3">#REF!</definedName>
    <definedName name="mat_beg_bud" localSheetId="4">#REF!</definedName>
    <definedName name="mat_beg_bud">#REF!</definedName>
    <definedName name="mat_end_bud" localSheetId="3">#REF!</definedName>
    <definedName name="mat_end_bud" localSheetId="4">#REF!</definedName>
    <definedName name="mat_end_bud">#REF!</definedName>
    <definedName name="mat12ACT" localSheetId="3">#REF!</definedName>
    <definedName name="mat12ACT" localSheetId="4">#REF!</definedName>
    <definedName name="mat12ACT">#REF!</definedName>
    <definedName name="MATBUD" localSheetId="3">#REF!</definedName>
    <definedName name="MATBUD" localSheetId="4">#REF!</definedName>
    <definedName name="MATBUD">#REF!</definedName>
    <definedName name="matCYACT" localSheetId="3">#REF!</definedName>
    <definedName name="matCYACT" localSheetId="4">#REF!</definedName>
    <definedName name="matCYACT">#REF!</definedName>
    <definedName name="matCYBUD" localSheetId="3">#REF!</definedName>
    <definedName name="matCYBUD" localSheetId="4">#REF!</definedName>
    <definedName name="matCYBUD">#REF!</definedName>
    <definedName name="matCYF" localSheetId="3">#REF!</definedName>
    <definedName name="matCYF" localSheetId="4">#REF!</definedName>
    <definedName name="matCYF">#REF!</definedName>
    <definedName name="MATEND" localSheetId="3">#REF!</definedName>
    <definedName name="MATEND" localSheetId="4">#REF!</definedName>
    <definedName name="MATEND">#REF!</definedName>
    <definedName name="material_costs" localSheetId="3">#REF!</definedName>
    <definedName name="material_costs" localSheetId="4">#REF!</definedName>
    <definedName name="material_costs">#REF!</definedName>
    <definedName name="matNYbud" localSheetId="3">#REF!</definedName>
    <definedName name="matNYbud" localSheetId="4">#REF!</definedName>
    <definedName name="matNYbud">#REF!</definedName>
    <definedName name="matPYACT" localSheetId="3">#REF!</definedName>
    <definedName name="matPYACT" localSheetId="4">#REF!</definedName>
    <definedName name="matPYACT">#REF!</definedName>
    <definedName name="MATSTART" localSheetId="3">#REF!</definedName>
    <definedName name="MATSTART" localSheetId="4">#REF!</definedName>
    <definedName name="MATSTART">#REF!</definedName>
    <definedName name="mea" localSheetId="3">#REF!</definedName>
    <definedName name="mea" localSheetId="4">#REF!</definedName>
    <definedName name="mea">#REF!</definedName>
    <definedName name="MEABAL" localSheetId="3">#REF!</definedName>
    <definedName name="MEABAL" localSheetId="4">#REF!</definedName>
    <definedName name="MEABAL">#REF!</definedName>
    <definedName name="MEACASH" localSheetId="3">#REF!</definedName>
    <definedName name="MEACASH" localSheetId="4">#REF!</definedName>
    <definedName name="MEACASH">#REF!</definedName>
    <definedName name="MEAEQITY" localSheetId="3">#REF!</definedName>
    <definedName name="MEAEQITY" localSheetId="4">#REF!</definedName>
    <definedName name="MEAEQITY">#REF!</definedName>
    <definedName name="MEAOP" localSheetId="3">#REF!</definedName>
    <definedName name="MEAOP" localSheetId="4">#REF!</definedName>
    <definedName name="MEAOP">#REF!</definedName>
    <definedName name="MofF" localSheetId="3">#REF!</definedName>
    <definedName name="MofF" localSheetId="4">#REF!</definedName>
    <definedName name="MofF">#REF!</definedName>
    <definedName name="NewRevReq" localSheetId="0">#REF!</definedName>
    <definedName name="NewRevReq">#REF!</definedName>
    <definedName name="NOTES" localSheetId="0">#REF!</definedName>
    <definedName name="NOTES" localSheetId="3">#REF!</definedName>
    <definedName name="NOTES" localSheetId="4">#REF!</definedName>
    <definedName name="NOTES">#REF!</definedName>
    <definedName name="OPERATING" localSheetId="0">#REF!</definedName>
    <definedName name="OPERATING" localSheetId="3">#REF!</definedName>
    <definedName name="OPERATING" localSheetId="4">#REF!</definedName>
    <definedName name="OPERATING">#REF!</definedName>
    <definedName name="oth_beg_bud" localSheetId="0">#REF!</definedName>
    <definedName name="oth_beg_bud" localSheetId="3">#REF!</definedName>
    <definedName name="oth_beg_bud" localSheetId="4">#REF!</definedName>
    <definedName name="oth_beg_bud">#REF!</definedName>
    <definedName name="oth_end_bud" localSheetId="3">#REF!</definedName>
    <definedName name="oth_end_bud" localSheetId="4">#REF!</definedName>
    <definedName name="oth_end_bud">#REF!</definedName>
    <definedName name="oth12ACT" localSheetId="3">#REF!</definedName>
    <definedName name="oth12ACT" localSheetId="4">#REF!</definedName>
    <definedName name="oth12ACT">#REF!</definedName>
    <definedName name="othCYACT" localSheetId="3">#REF!</definedName>
    <definedName name="othCYACT" localSheetId="4">#REF!</definedName>
    <definedName name="othCYACT">#REF!</definedName>
    <definedName name="othCYBUD" localSheetId="3">#REF!</definedName>
    <definedName name="othCYBUD" localSheetId="4">#REF!</definedName>
    <definedName name="othCYBUD">#REF!</definedName>
    <definedName name="othCYF" localSheetId="3">#REF!</definedName>
    <definedName name="othCYF" localSheetId="4">#REF!</definedName>
    <definedName name="othCYF">#REF!</definedName>
    <definedName name="OTHEND" localSheetId="3">#REF!</definedName>
    <definedName name="OTHEND" localSheetId="4">#REF!</definedName>
    <definedName name="OTHEND">#REF!</definedName>
    <definedName name="other_costs" localSheetId="3">#REF!</definedName>
    <definedName name="other_costs" localSheetId="4">#REF!</definedName>
    <definedName name="other_costs">#REF!</definedName>
    <definedName name="OTHERBUD" localSheetId="3">#REF!</definedName>
    <definedName name="OTHERBUD" localSheetId="4">#REF!</definedName>
    <definedName name="OTHERBUD">#REF!</definedName>
    <definedName name="othNYbud" localSheetId="3">#REF!</definedName>
    <definedName name="othNYbud" localSheetId="4">#REF!</definedName>
    <definedName name="othNYbud">#REF!</definedName>
    <definedName name="othPYACT" localSheetId="3">#REF!</definedName>
    <definedName name="othPYACT" localSheetId="4">#REF!</definedName>
    <definedName name="othPYACT">#REF!</definedName>
    <definedName name="OTHSTART" localSheetId="3">#REF!</definedName>
    <definedName name="OTHSTART" localSheetId="4">#REF!</definedName>
    <definedName name="OTHSTART">#REF!</definedName>
    <definedName name="PAGE11" localSheetId="0">#REF!</definedName>
    <definedName name="PAGE11" localSheetId="3">#REF!</definedName>
    <definedName name="PAGE11" localSheetId="4">#REF!</definedName>
    <definedName name="PAGE11">#REF!</definedName>
    <definedName name="PAGE2" localSheetId="0">#REF!</definedName>
    <definedName name="PAGE2">#REF!</definedName>
    <definedName name="PAGE3" localSheetId="0">#REF!</definedName>
    <definedName name="PAGE3" localSheetId="3">#REF!</definedName>
    <definedName name="PAGE3" localSheetId="4">#REF!</definedName>
    <definedName name="PAGE3">#REF!</definedName>
    <definedName name="PAGE4" localSheetId="0">#REF!</definedName>
    <definedName name="PAGE4" localSheetId="3">#REF!</definedName>
    <definedName name="PAGE4" localSheetId="4">#REF!</definedName>
    <definedName name="PAGE4">#REF!</definedName>
    <definedName name="PAGE7" localSheetId="0">#REF!</definedName>
    <definedName name="PAGE7" localSheetId="3">#REF!</definedName>
    <definedName name="PAGE7" localSheetId="4">#REF!</definedName>
    <definedName name="PAGE7">#REF!</definedName>
    <definedName name="PAGE9" localSheetId="0">#REF!</definedName>
    <definedName name="PAGE9" localSheetId="3">#REF!</definedName>
    <definedName name="PAGE9" localSheetId="4">#REF!</definedName>
    <definedName name="PAGE9">#REF!</definedName>
    <definedName name="PageOne" localSheetId="3">#REF!</definedName>
    <definedName name="PageOne" localSheetId="4">#REF!</definedName>
    <definedName name="PageOne">#REF!</definedName>
    <definedName name="PR" localSheetId="3">#REF!</definedName>
    <definedName name="PR" localSheetId="4">#REF!</definedName>
    <definedName name="PR">#REF!</definedName>
    <definedName name="_xlnm.Print_Area" localSheetId="1">'Load Forecast Summary'!$A$3:$L$39</definedName>
    <definedName name="_xlnm.Print_Area" localSheetId="3">'Power Purchased Model'!$A$1:$J$169</definedName>
    <definedName name="_xlnm.Print_Area" localSheetId="4">'Power Purchased Model WN'!$A$1:$J$169</definedName>
    <definedName name="_xlnm.Print_Area" localSheetId="6">'Rate Class Customer Model'!$A$1:$J$35</definedName>
    <definedName name="_xlnm.Print_Area" localSheetId="5">'Rate Class Energy Model'!#REF!</definedName>
    <definedName name="_xlnm.Print_Area" localSheetId="7">'Rate Class Load Model'!$A$1:$G$29</definedName>
    <definedName name="Print_Area_MI" localSheetId="0">#REF!</definedName>
    <definedName name="Print_Area_MI" localSheetId="3">#REF!</definedName>
    <definedName name="Print_Area_MI" localSheetId="4">#REF!</definedName>
    <definedName name="Print_Area_MI">#REF!</definedName>
    <definedName name="print_end" localSheetId="0">#REF!</definedName>
    <definedName name="print_end" localSheetId="3">#REF!</definedName>
    <definedName name="print_end" localSheetId="4">#REF!</definedName>
    <definedName name="print_end">#REF!</definedName>
    <definedName name="_xlnm.Print_Titles" localSheetId="3">'Power Purchased Model'!$A:$J,'Power Purchased Model'!$1:$2</definedName>
    <definedName name="_xlnm.Print_Titles" localSheetId="4">'Power Purchased Model WN'!$A:$J,'Power Purchased Model WN'!$1:$2</definedName>
    <definedName name="PRIOR" localSheetId="0">#REF!</definedName>
    <definedName name="PRIOR" localSheetId="3">#REF!</definedName>
    <definedName name="PRIOR" localSheetId="4">#REF!</definedName>
    <definedName name="PRIOR">#REF!</definedName>
    <definedName name="Ratebase" localSheetId="0">#REF!</definedName>
    <definedName name="Ratebase">#REF!</definedName>
    <definedName name="RebaseYear">#REF!</definedName>
    <definedName name="RevReqLookupKey" localSheetId="0">#REF!</definedName>
    <definedName name="RevReqLookupKey">#REF!</definedName>
    <definedName name="RevReqRange" localSheetId="0">#REF!</definedName>
    <definedName name="RevReqRange">#REF!</definedName>
    <definedName name="RVCASHPR" localSheetId="0">#REF!</definedName>
    <definedName name="RVCASHPR" localSheetId="3">#REF!</definedName>
    <definedName name="RVCASHPR" localSheetId="4">#REF!</definedName>
    <definedName name="RVCASHPR">#REF!</definedName>
    <definedName name="SALBENF" localSheetId="0">#REF!</definedName>
    <definedName name="SALBENF" localSheetId="3">#REF!</definedName>
    <definedName name="SALBENF" localSheetId="4">#REF!</definedName>
    <definedName name="SALBENF">#REF!</definedName>
    <definedName name="salreg" localSheetId="0">#REF!</definedName>
    <definedName name="salreg" localSheetId="3">#REF!</definedName>
    <definedName name="salreg" localSheetId="4">#REF!</definedName>
    <definedName name="salreg">#REF!</definedName>
    <definedName name="SALREGF" localSheetId="3">#REF!</definedName>
    <definedName name="SALREGF" localSheetId="4">#REF!</definedName>
    <definedName name="SALREGF">#REF!</definedName>
    <definedName name="SOURCEAPP" localSheetId="3">#REF!</definedName>
    <definedName name="SOURCEAPP" localSheetId="4">#REF!</definedName>
    <definedName name="SOURCEAPP">#REF!</definedName>
    <definedName name="STATS1" localSheetId="3">#REF!</definedName>
    <definedName name="STATS1" localSheetId="4">#REF!</definedName>
    <definedName name="STATS1">#REF!</definedName>
    <definedName name="STATS2" localSheetId="3">#REF!</definedName>
    <definedName name="STATS2" localSheetId="4">#REF!</definedName>
    <definedName name="STATS2">#REF!</definedName>
    <definedName name="Surtax" localSheetId="3">#REF!</definedName>
    <definedName name="Surtax" localSheetId="4">#REF!</definedName>
    <definedName name="Surtax">#REF!</definedName>
    <definedName name="TEMPA" localSheetId="3">#REF!</definedName>
    <definedName name="TEMPA" localSheetId="4">#REF!</definedName>
    <definedName name="TEMPA">#REF!</definedName>
    <definedName name="TEST">#REF!</definedName>
    <definedName name="Test_Year">#REF!</definedName>
    <definedName name="TestYr" localSheetId="0">#REF!</definedName>
    <definedName name="TestYr">#REF!</definedName>
    <definedName name="TestYrPL" localSheetId="0">#REF!</definedName>
    <definedName name="TestYrPL">#REF!</definedName>
    <definedName name="total_dept" localSheetId="0">#REF!</definedName>
    <definedName name="total_dept" localSheetId="3">#REF!</definedName>
    <definedName name="total_dept" localSheetId="4">#REF!</definedName>
    <definedName name="total_dept">#REF!</definedName>
    <definedName name="total_manpower" localSheetId="0">#REF!</definedName>
    <definedName name="total_manpower" localSheetId="3">#REF!</definedName>
    <definedName name="total_manpower" localSheetId="4">#REF!</definedName>
    <definedName name="total_manpower">#REF!</definedName>
    <definedName name="total_material" localSheetId="0">#REF!</definedName>
    <definedName name="total_material" localSheetId="3">#REF!</definedName>
    <definedName name="total_material" localSheetId="4">#REF!</definedName>
    <definedName name="total_material">#REF!</definedName>
    <definedName name="total_other" localSheetId="3">#REF!</definedName>
    <definedName name="total_other" localSheetId="4">#REF!</definedName>
    <definedName name="total_other">#REF!</definedName>
    <definedName name="total_transportation" localSheetId="3">#REF!</definedName>
    <definedName name="total_transportation" localSheetId="4">#REF!</definedName>
    <definedName name="total_transportation">#REF!</definedName>
    <definedName name="TOTCAPADDITIONS" localSheetId="3">#REF!</definedName>
    <definedName name="TOTCAPADDITIONS" localSheetId="4">#REF!</definedName>
    <definedName name="TOTCAPADDITIONS">#REF!</definedName>
    <definedName name="TRANBUD" localSheetId="3">#REF!</definedName>
    <definedName name="TRANBUD" localSheetId="4">#REF!</definedName>
    <definedName name="TRANBUD">#REF!</definedName>
    <definedName name="TRANEND" localSheetId="3">#REF!</definedName>
    <definedName name="TRANEND" localSheetId="4">#REF!</definedName>
    <definedName name="TRANEND">#REF!</definedName>
    <definedName name="TRANSCAP" localSheetId="3">#REF!</definedName>
    <definedName name="TRANSCAP" localSheetId="4">#REF!</definedName>
    <definedName name="TRANSCAP">#REF!</definedName>
    <definedName name="TRANSFER" localSheetId="3">#REF!</definedName>
    <definedName name="TRANSFER" localSheetId="4">#REF!</definedName>
    <definedName name="TRANSFER">#REF!</definedName>
    <definedName name="transportation_costs" localSheetId="3">#REF!</definedName>
    <definedName name="transportation_costs" localSheetId="4">#REF!</definedName>
    <definedName name="transportation_costs">#REF!</definedName>
    <definedName name="TRANSTART" localSheetId="3">#REF!</definedName>
    <definedName name="TRANSTART" localSheetId="4">#REF!</definedName>
    <definedName name="TRANSTART">#REF!</definedName>
    <definedName name="trn_beg_bud" localSheetId="3">#REF!</definedName>
    <definedName name="trn_beg_bud" localSheetId="4">#REF!</definedName>
    <definedName name="trn_beg_bud">#REF!</definedName>
    <definedName name="trn_end_bud" localSheetId="3">#REF!</definedName>
    <definedName name="trn_end_bud" localSheetId="4">#REF!</definedName>
    <definedName name="trn_end_bud">#REF!</definedName>
    <definedName name="trn12ACT" localSheetId="3">#REF!</definedName>
    <definedName name="trn12ACT" localSheetId="4">#REF!</definedName>
    <definedName name="trn12ACT">#REF!</definedName>
    <definedName name="trnCYACT" localSheetId="3">#REF!</definedName>
    <definedName name="trnCYACT" localSheetId="4">#REF!</definedName>
    <definedName name="trnCYACT">#REF!</definedName>
    <definedName name="trnCYBUD" localSheetId="3">#REF!</definedName>
    <definedName name="trnCYBUD" localSheetId="4">#REF!</definedName>
    <definedName name="trnCYBUD">#REF!</definedName>
    <definedName name="trnCYF" localSheetId="3">#REF!</definedName>
    <definedName name="trnCYF" localSheetId="4">#REF!</definedName>
    <definedName name="trnCYF">#REF!</definedName>
    <definedName name="trnNYbud" localSheetId="3">#REF!</definedName>
    <definedName name="trnNYbud" localSheetId="4">#REF!</definedName>
    <definedName name="trnNYbud">#REF!</definedName>
    <definedName name="trnPYACT" localSheetId="3">#REF!</definedName>
    <definedName name="trnPYACT" localSheetId="4">#REF!</definedName>
    <definedName name="trnPYACT">#REF!</definedName>
    <definedName name="Utility">#REF!</definedName>
    <definedName name="utitliy1">#REF!</definedName>
    <definedName name="Variable1">#REF!</definedName>
    <definedName name="WAGBENF" localSheetId="0">#REF!</definedName>
    <definedName name="WAGBENF" localSheetId="3">#REF!</definedName>
    <definedName name="WAGBENF" localSheetId="4">#REF!</definedName>
    <definedName name="WAGBENF">#REF!</definedName>
    <definedName name="wagdob" localSheetId="0">#REF!</definedName>
    <definedName name="wagdob" localSheetId="3">#REF!</definedName>
    <definedName name="wagdob" localSheetId="4">#REF!</definedName>
    <definedName name="wagdob">#REF!</definedName>
    <definedName name="wagdobf" localSheetId="0">#REF!</definedName>
    <definedName name="wagdobf" localSheetId="3">#REF!</definedName>
    <definedName name="wagdobf" localSheetId="4">#REF!</definedName>
    <definedName name="wagdobf">#REF!</definedName>
    <definedName name="wagreg" localSheetId="3">#REF!</definedName>
    <definedName name="wagreg" localSheetId="4">#REF!</definedName>
    <definedName name="wagreg">#REF!</definedName>
    <definedName name="wagregf" localSheetId="3">#REF!</definedName>
    <definedName name="wagregf" localSheetId="4">#REF!</definedName>
    <definedName name="wagreg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17" l="1"/>
  <c r="E13" i="17"/>
  <c r="L154" i="80"/>
  <c r="L155" i="80"/>
  <c r="L156" i="80"/>
  <c r="L157" i="80"/>
  <c r="L158" i="80"/>
  <c r="L159" i="80"/>
  <c r="L160" i="80"/>
  <c r="L161" i="80"/>
  <c r="L162" i="80"/>
  <c r="L163" i="80"/>
  <c r="L164" i="80"/>
  <c r="L153" i="80"/>
  <c r="D16" i="86"/>
  <c r="D17" i="86"/>
  <c r="D18" i="86"/>
  <c r="D19" i="86"/>
  <c r="D20" i="86"/>
  <c r="D21" i="86"/>
  <c r="D22" i="86"/>
  <c r="D23" i="86"/>
  <c r="D24" i="86"/>
  <c r="D36" i="86" s="1"/>
  <c r="D25" i="86"/>
  <c r="H25" i="86" s="1"/>
  <c r="I25" i="86" s="1"/>
  <c r="D26" i="86"/>
  <c r="D38" i="86" s="1"/>
  <c r="D50" i="86" s="1"/>
  <c r="D62" i="86" s="1"/>
  <c r="D74" i="86" s="1"/>
  <c r="D86" i="86" s="1"/>
  <c r="D98" i="86" s="1"/>
  <c r="D110" i="86" s="1"/>
  <c r="D122" i="86" s="1"/>
  <c r="D134" i="86" s="1"/>
  <c r="D146" i="86" s="1"/>
  <c r="D27" i="86"/>
  <c r="D28" i="86"/>
  <c r="D29" i="86"/>
  <c r="D30" i="86"/>
  <c r="D31" i="86"/>
  <c r="D32" i="86"/>
  <c r="D33" i="86"/>
  <c r="D34" i="86"/>
  <c r="D35" i="86"/>
  <c r="D39" i="86"/>
  <c r="D40" i="86"/>
  <c r="D41" i="86"/>
  <c r="D42" i="86"/>
  <c r="D43" i="86"/>
  <c r="D44" i="86"/>
  <c r="D45" i="86"/>
  <c r="D46" i="86"/>
  <c r="D47" i="86"/>
  <c r="D51" i="86"/>
  <c r="D52" i="86"/>
  <c r="D53" i="86"/>
  <c r="D54" i="86"/>
  <c r="D55" i="86"/>
  <c r="D56" i="86"/>
  <c r="D57" i="86"/>
  <c r="D58" i="86"/>
  <c r="D59" i="86"/>
  <c r="D63" i="86"/>
  <c r="D64" i="86"/>
  <c r="D65" i="86"/>
  <c r="D66" i="86"/>
  <c r="D67" i="86"/>
  <c r="D68" i="86"/>
  <c r="D69" i="86"/>
  <c r="D70" i="86"/>
  <c r="D71" i="86"/>
  <c r="D75" i="86"/>
  <c r="D76" i="86"/>
  <c r="D77" i="86"/>
  <c r="D78" i="86"/>
  <c r="D79" i="86"/>
  <c r="D80" i="86"/>
  <c r="D81" i="86"/>
  <c r="D82" i="86"/>
  <c r="D83" i="86"/>
  <c r="D87" i="86"/>
  <c r="D88" i="86"/>
  <c r="D89" i="86"/>
  <c r="D90" i="86"/>
  <c r="D91" i="86"/>
  <c r="D92" i="86"/>
  <c r="D93" i="86"/>
  <c r="D94" i="86"/>
  <c r="D95" i="86"/>
  <c r="D99" i="86"/>
  <c r="D100" i="86"/>
  <c r="D101" i="86"/>
  <c r="D102" i="86"/>
  <c r="D103" i="86"/>
  <c r="D104" i="86"/>
  <c r="D105" i="86"/>
  <c r="D106" i="86"/>
  <c r="D107" i="86"/>
  <c r="D111" i="86"/>
  <c r="D112" i="86"/>
  <c r="D113" i="86"/>
  <c r="D114" i="86"/>
  <c r="D115" i="86"/>
  <c r="D116" i="86"/>
  <c r="D117" i="86"/>
  <c r="D118" i="86"/>
  <c r="D119" i="86"/>
  <c r="D123" i="86"/>
  <c r="D124" i="86"/>
  <c r="D125" i="86"/>
  <c r="D126" i="86"/>
  <c r="D127" i="86"/>
  <c r="D128" i="86"/>
  <c r="D129" i="86"/>
  <c r="D130" i="86"/>
  <c r="D131" i="86"/>
  <c r="D135" i="86"/>
  <c r="D136" i="86"/>
  <c r="D137" i="86"/>
  <c r="D138" i="86"/>
  <c r="D139" i="86"/>
  <c r="D140" i="86"/>
  <c r="D141" i="86"/>
  <c r="D142" i="86"/>
  <c r="D143" i="86"/>
  <c r="D15" i="86"/>
  <c r="C16" i="86"/>
  <c r="C17" i="86"/>
  <c r="C18" i="86"/>
  <c r="C19" i="86"/>
  <c r="C20" i="86"/>
  <c r="C21" i="86"/>
  <c r="C22" i="86"/>
  <c r="C23" i="86"/>
  <c r="C24" i="86"/>
  <c r="C25" i="86"/>
  <c r="C26" i="86"/>
  <c r="C38" i="86" s="1"/>
  <c r="C27" i="86"/>
  <c r="C28" i="86"/>
  <c r="C29" i="86"/>
  <c r="C30" i="86"/>
  <c r="C31" i="86"/>
  <c r="C32" i="86"/>
  <c r="C33" i="86"/>
  <c r="C34" i="86"/>
  <c r="C35" i="86"/>
  <c r="C36" i="86"/>
  <c r="C37" i="86"/>
  <c r="C39" i="86"/>
  <c r="C40" i="86"/>
  <c r="C41" i="86"/>
  <c r="C42" i="86"/>
  <c r="C43" i="86"/>
  <c r="C44" i="86"/>
  <c r="C45" i="86"/>
  <c r="C46" i="86"/>
  <c r="C47" i="86"/>
  <c r="C48" i="86"/>
  <c r="C51" i="86"/>
  <c r="C52" i="86"/>
  <c r="C53" i="86"/>
  <c r="C54" i="86"/>
  <c r="C55" i="86"/>
  <c r="C56" i="86"/>
  <c r="C57" i="86"/>
  <c r="C58" i="86"/>
  <c r="C59" i="86"/>
  <c r="C60" i="86"/>
  <c r="C63" i="86"/>
  <c r="C64" i="86"/>
  <c r="C65" i="86"/>
  <c r="C66" i="86"/>
  <c r="C67" i="86"/>
  <c r="C68" i="86"/>
  <c r="C69" i="86"/>
  <c r="C70" i="86"/>
  <c r="C71" i="86"/>
  <c r="C72" i="86"/>
  <c r="C75" i="86"/>
  <c r="C76" i="86"/>
  <c r="C77" i="86"/>
  <c r="C78" i="86"/>
  <c r="H78" i="86" s="1"/>
  <c r="I78" i="86" s="1"/>
  <c r="C79" i="86"/>
  <c r="C80" i="86"/>
  <c r="C81" i="86"/>
  <c r="C82" i="86"/>
  <c r="C83" i="86"/>
  <c r="C84" i="86"/>
  <c r="C87" i="86"/>
  <c r="C88" i="86"/>
  <c r="C89" i="86"/>
  <c r="C90" i="86"/>
  <c r="C91" i="86"/>
  <c r="C92" i="86"/>
  <c r="C93" i="86"/>
  <c r="C94" i="86"/>
  <c r="C95" i="86"/>
  <c r="C96" i="86"/>
  <c r="C99" i="86"/>
  <c r="C100" i="86"/>
  <c r="C101" i="86"/>
  <c r="C102" i="86"/>
  <c r="H102" i="86" s="1"/>
  <c r="I102" i="86" s="1"/>
  <c r="C103" i="86"/>
  <c r="C104" i="86"/>
  <c r="C105" i="86"/>
  <c r="C106" i="86"/>
  <c r="C107" i="86"/>
  <c r="C108" i="86"/>
  <c r="C111" i="86"/>
  <c r="C112" i="86"/>
  <c r="C113" i="86"/>
  <c r="C114" i="86"/>
  <c r="H114" i="86" s="1"/>
  <c r="I114" i="86" s="1"/>
  <c r="C115" i="86"/>
  <c r="C116" i="86"/>
  <c r="C117" i="86"/>
  <c r="C118" i="86"/>
  <c r="C119" i="86"/>
  <c r="C120" i="86"/>
  <c r="C123" i="86"/>
  <c r="C124" i="86"/>
  <c r="H124" i="86" s="1"/>
  <c r="I124" i="86" s="1"/>
  <c r="C125" i="86"/>
  <c r="C126" i="86"/>
  <c r="C127" i="86"/>
  <c r="C128" i="86"/>
  <c r="C129" i="86"/>
  <c r="C130" i="86"/>
  <c r="C131" i="86"/>
  <c r="C132" i="86"/>
  <c r="C135" i="86"/>
  <c r="C136" i="86"/>
  <c r="C137" i="86"/>
  <c r="C138" i="86"/>
  <c r="C139" i="86"/>
  <c r="C140" i="86"/>
  <c r="H140" i="86" s="1"/>
  <c r="C141" i="86"/>
  <c r="C142" i="86"/>
  <c r="C143" i="86"/>
  <c r="C144" i="86"/>
  <c r="C15" i="86"/>
  <c r="D4" i="86"/>
  <c r="D5" i="86"/>
  <c r="D6" i="86"/>
  <c r="D7" i="86"/>
  <c r="D8" i="86"/>
  <c r="D9" i="86"/>
  <c r="D10" i="86"/>
  <c r="D11" i="86"/>
  <c r="D12" i="86"/>
  <c r="D13" i="86"/>
  <c r="D14" i="86"/>
  <c r="C4" i="86"/>
  <c r="C5" i="86"/>
  <c r="C6" i="86"/>
  <c r="C7" i="86"/>
  <c r="C8" i="86"/>
  <c r="C9" i="86"/>
  <c r="C10" i="86"/>
  <c r="C11" i="86"/>
  <c r="C12" i="86"/>
  <c r="C13" i="86"/>
  <c r="C14" i="86"/>
  <c r="D3" i="86"/>
  <c r="C3" i="86"/>
  <c r="H3" i="86"/>
  <c r="I3" i="86" s="1"/>
  <c r="B162" i="86"/>
  <c r="B161" i="86"/>
  <c r="C161" i="86" s="1"/>
  <c r="C160" i="86"/>
  <c r="B160" i="86"/>
  <c r="B159" i="86"/>
  <c r="C159" i="86" s="1"/>
  <c r="B158" i="86"/>
  <c r="B157" i="86"/>
  <c r="C157" i="86" s="1"/>
  <c r="C156" i="86"/>
  <c r="B156" i="86"/>
  <c r="B155" i="86"/>
  <c r="C155" i="86" s="1"/>
  <c r="B154" i="86"/>
  <c r="B153" i="86"/>
  <c r="G146" i="86"/>
  <c r="G145" i="86"/>
  <c r="G144" i="86"/>
  <c r="G143" i="86"/>
  <c r="G142" i="86"/>
  <c r="G141" i="86"/>
  <c r="G140" i="86"/>
  <c r="G139" i="86"/>
  <c r="H139" i="86"/>
  <c r="G138" i="86"/>
  <c r="G137" i="86"/>
  <c r="G136" i="86"/>
  <c r="G135" i="86"/>
  <c r="G134" i="86"/>
  <c r="G133" i="86"/>
  <c r="G132" i="86"/>
  <c r="G131" i="86"/>
  <c r="G130" i="86"/>
  <c r="G129" i="86"/>
  <c r="H128" i="86"/>
  <c r="G128" i="86"/>
  <c r="G127" i="86"/>
  <c r="H127" i="86" s="1"/>
  <c r="I127" i="86" s="1"/>
  <c r="H126" i="86"/>
  <c r="I126" i="86" s="1"/>
  <c r="G126" i="86"/>
  <c r="H138" i="86"/>
  <c r="G125" i="86"/>
  <c r="G124" i="86"/>
  <c r="G123" i="86"/>
  <c r="G122" i="86"/>
  <c r="G121" i="86"/>
  <c r="G120" i="86"/>
  <c r="G119" i="86"/>
  <c r="H118" i="86"/>
  <c r="I118" i="86" s="1"/>
  <c r="G118" i="86"/>
  <c r="H117" i="86"/>
  <c r="I117" i="86" s="1"/>
  <c r="G117" i="86"/>
  <c r="G116" i="86"/>
  <c r="H116" i="86" s="1"/>
  <c r="I116" i="86" s="1"/>
  <c r="G115" i="86"/>
  <c r="H115" i="86" s="1"/>
  <c r="I115" i="86" s="1"/>
  <c r="J115" i="86" s="1"/>
  <c r="K115" i="86" s="1"/>
  <c r="G114" i="86"/>
  <c r="G113" i="86"/>
  <c r="G112" i="86"/>
  <c r="H112" i="86" s="1"/>
  <c r="I112" i="86" s="1"/>
  <c r="J112" i="86" s="1"/>
  <c r="K112" i="86" s="1"/>
  <c r="H111" i="86"/>
  <c r="I111" i="86" s="1"/>
  <c r="G111" i="86"/>
  <c r="G110" i="86"/>
  <c r="G109" i="86"/>
  <c r="G108" i="86"/>
  <c r="G107" i="86"/>
  <c r="H107" i="86" s="1"/>
  <c r="I107" i="86" s="1"/>
  <c r="J107" i="86" s="1"/>
  <c r="K107" i="86" s="1"/>
  <c r="H106" i="86"/>
  <c r="I106" i="86" s="1"/>
  <c r="G106" i="86"/>
  <c r="H105" i="86"/>
  <c r="I105" i="86" s="1"/>
  <c r="G105" i="86"/>
  <c r="G104" i="86"/>
  <c r="G103" i="86"/>
  <c r="H103" i="86" s="1"/>
  <c r="I103" i="86" s="1"/>
  <c r="G102" i="86"/>
  <c r="G101" i="86"/>
  <c r="H101" i="86" s="1"/>
  <c r="I101" i="86" s="1"/>
  <c r="G100" i="86"/>
  <c r="H100" i="86" s="1"/>
  <c r="I100" i="86" s="1"/>
  <c r="H99" i="86"/>
  <c r="G99" i="86"/>
  <c r="G98" i="86"/>
  <c r="G97" i="86"/>
  <c r="G96" i="86"/>
  <c r="G95" i="86"/>
  <c r="H94" i="86"/>
  <c r="I94" i="86" s="1"/>
  <c r="J94" i="86" s="1"/>
  <c r="K94" i="86" s="1"/>
  <c r="G94" i="86"/>
  <c r="H93" i="86"/>
  <c r="I93" i="86" s="1"/>
  <c r="G93" i="86"/>
  <c r="G92" i="86"/>
  <c r="H92" i="86" s="1"/>
  <c r="I92" i="86" s="1"/>
  <c r="I91" i="86"/>
  <c r="G91" i="86"/>
  <c r="H91" i="86" s="1"/>
  <c r="H90" i="86"/>
  <c r="I90" i="86" s="1"/>
  <c r="G90" i="86"/>
  <c r="G89" i="86"/>
  <c r="H89" i="86" s="1"/>
  <c r="I89" i="86" s="1"/>
  <c r="G88" i="86"/>
  <c r="H88" i="86" s="1"/>
  <c r="I88" i="86" s="1"/>
  <c r="H87" i="86"/>
  <c r="I87" i="86" s="1"/>
  <c r="G87" i="86"/>
  <c r="G86" i="86"/>
  <c r="G85" i="86"/>
  <c r="G84" i="86"/>
  <c r="G83" i="86"/>
  <c r="H83" i="86" s="1"/>
  <c r="I83" i="86" s="1"/>
  <c r="H82" i="86"/>
  <c r="I82" i="86" s="1"/>
  <c r="G82" i="86"/>
  <c r="H81" i="86"/>
  <c r="I81" i="86" s="1"/>
  <c r="J81" i="86" s="1"/>
  <c r="K81" i="86" s="1"/>
  <c r="G81" i="86"/>
  <c r="G80" i="86"/>
  <c r="H80" i="86" s="1"/>
  <c r="I80" i="86" s="1"/>
  <c r="G79" i="86"/>
  <c r="H79" i="86" s="1"/>
  <c r="I79" i="86" s="1"/>
  <c r="G78" i="86"/>
  <c r="G77" i="86"/>
  <c r="H77" i="86" s="1"/>
  <c r="I77" i="86" s="1"/>
  <c r="G76" i="86"/>
  <c r="H76" i="86" s="1"/>
  <c r="I76" i="86" s="1"/>
  <c r="H75" i="86"/>
  <c r="I75" i="86" s="1"/>
  <c r="G75" i="86"/>
  <c r="G74" i="86"/>
  <c r="G73" i="86"/>
  <c r="G72" i="86"/>
  <c r="H71" i="86"/>
  <c r="I71" i="86" s="1"/>
  <c r="G71" i="86"/>
  <c r="H70" i="86"/>
  <c r="I70" i="86" s="1"/>
  <c r="G70" i="86"/>
  <c r="H69" i="86"/>
  <c r="I69" i="86" s="1"/>
  <c r="J69" i="86" s="1"/>
  <c r="K69" i="86" s="1"/>
  <c r="G69" i="86"/>
  <c r="G68" i="86"/>
  <c r="H68" i="86" s="1"/>
  <c r="I68" i="86" s="1"/>
  <c r="J68" i="86" s="1"/>
  <c r="K68" i="86" s="1"/>
  <c r="H67" i="86"/>
  <c r="I67" i="86" s="1"/>
  <c r="G67" i="86"/>
  <c r="H66" i="86"/>
  <c r="I66" i="86" s="1"/>
  <c r="J66" i="86" s="1"/>
  <c r="K66" i="86" s="1"/>
  <c r="G66" i="86"/>
  <c r="G65" i="86"/>
  <c r="H65" i="86" s="1"/>
  <c r="I65" i="86" s="1"/>
  <c r="G64" i="86"/>
  <c r="H63" i="86"/>
  <c r="G63" i="86"/>
  <c r="H59" i="86"/>
  <c r="I59" i="86" s="1"/>
  <c r="H58" i="86"/>
  <c r="I58" i="86" s="1"/>
  <c r="J58" i="86" s="1"/>
  <c r="K58" i="86" s="1"/>
  <c r="H57" i="86"/>
  <c r="I57" i="86" s="1"/>
  <c r="H56" i="86"/>
  <c r="I56" i="86" s="1"/>
  <c r="L56" i="86" s="1"/>
  <c r="H55" i="86"/>
  <c r="I55" i="86" s="1"/>
  <c r="L55" i="86" s="1"/>
  <c r="H54" i="86"/>
  <c r="I54" i="86" s="1"/>
  <c r="H53" i="86"/>
  <c r="I53" i="86" s="1"/>
  <c r="L53" i="86" s="1"/>
  <c r="H52" i="86"/>
  <c r="H51" i="86"/>
  <c r="I51" i="86" s="1"/>
  <c r="H47" i="86"/>
  <c r="I47" i="86" s="1"/>
  <c r="L47" i="86" s="1"/>
  <c r="H46" i="86"/>
  <c r="I46" i="86" s="1"/>
  <c r="H45" i="86"/>
  <c r="I45" i="86" s="1"/>
  <c r="J45" i="86" s="1"/>
  <c r="K45" i="86" s="1"/>
  <c r="H44" i="86"/>
  <c r="I44" i="86" s="1"/>
  <c r="H43" i="86"/>
  <c r="I43" i="86" s="1"/>
  <c r="L43" i="86" s="1"/>
  <c r="H42" i="86"/>
  <c r="I42" i="86" s="1"/>
  <c r="J42" i="86" s="1"/>
  <c r="K42" i="86" s="1"/>
  <c r="H41" i="86"/>
  <c r="I41" i="86" s="1"/>
  <c r="L41" i="86" s="1"/>
  <c r="H40" i="86"/>
  <c r="I40" i="86" s="1"/>
  <c r="H39" i="86"/>
  <c r="I39" i="86" s="1"/>
  <c r="H35" i="86"/>
  <c r="I35" i="86" s="1"/>
  <c r="L35" i="86" s="1"/>
  <c r="H34" i="86"/>
  <c r="I34" i="86" s="1"/>
  <c r="H33" i="86"/>
  <c r="I33" i="86" s="1"/>
  <c r="J33" i="86" s="1"/>
  <c r="K33" i="86" s="1"/>
  <c r="H32" i="86"/>
  <c r="I32" i="86" s="1"/>
  <c r="L32" i="86" s="1"/>
  <c r="H31" i="86"/>
  <c r="I31" i="86" s="1"/>
  <c r="L31" i="86" s="1"/>
  <c r="H30" i="86"/>
  <c r="I30" i="86" s="1"/>
  <c r="L30" i="86" s="1"/>
  <c r="H29" i="86"/>
  <c r="I29" i="86" s="1"/>
  <c r="J29" i="86" s="1"/>
  <c r="K29" i="86" s="1"/>
  <c r="H28" i="86"/>
  <c r="I28" i="86" s="1"/>
  <c r="H27" i="86"/>
  <c r="H24" i="86"/>
  <c r="I24" i="86" s="1"/>
  <c r="L24" i="86" s="1"/>
  <c r="H23" i="86"/>
  <c r="I23" i="86" s="1"/>
  <c r="H22" i="86"/>
  <c r="I22" i="86" s="1"/>
  <c r="H21" i="86"/>
  <c r="I21" i="86" s="1"/>
  <c r="L21" i="86" s="1"/>
  <c r="H20" i="86"/>
  <c r="I20" i="86" s="1"/>
  <c r="H19" i="86"/>
  <c r="I19" i="86" s="1"/>
  <c r="I18" i="86"/>
  <c r="H18" i="86"/>
  <c r="H17" i="86"/>
  <c r="I17" i="86" s="1"/>
  <c r="H16" i="86"/>
  <c r="I16" i="86" s="1"/>
  <c r="H15" i="86"/>
  <c r="H11" i="86"/>
  <c r="I11" i="86" s="1"/>
  <c r="H10" i="86"/>
  <c r="I10" i="86" s="1"/>
  <c r="H9" i="86"/>
  <c r="I9" i="86" s="1"/>
  <c r="H8" i="86"/>
  <c r="I8" i="86" s="1"/>
  <c r="H7" i="86"/>
  <c r="I7" i="86" s="1"/>
  <c r="L7" i="86" s="1"/>
  <c r="H6" i="86"/>
  <c r="I6" i="86" s="1"/>
  <c r="H5" i="86"/>
  <c r="I5" i="86" s="1"/>
  <c r="H4" i="86"/>
  <c r="I4" i="86" s="1"/>
  <c r="J4" i="86" s="1"/>
  <c r="K4" i="86" s="1"/>
  <c r="D140" i="80"/>
  <c r="D139" i="80"/>
  <c r="D138" i="80"/>
  <c r="D137" i="80"/>
  <c r="D136" i="80"/>
  <c r="D135" i="80"/>
  <c r="D134" i="80"/>
  <c r="D133" i="80"/>
  <c r="D132" i="80"/>
  <c r="D131" i="80"/>
  <c r="D130" i="80"/>
  <c r="D129" i="80"/>
  <c r="C129" i="80"/>
  <c r="C136" i="80"/>
  <c r="C137" i="80"/>
  <c r="C138" i="80"/>
  <c r="C139" i="80"/>
  <c r="C140" i="80"/>
  <c r="C135" i="80"/>
  <c r="C130" i="80"/>
  <c r="C131" i="80"/>
  <c r="C132" i="80"/>
  <c r="C133" i="80"/>
  <c r="C134" i="80"/>
  <c r="H36" i="86" l="1"/>
  <c r="I36" i="86" s="1"/>
  <c r="M36" i="86" s="1"/>
  <c r="N36" i="86" s="1"/>
  <c r="D48" i="86"/>
  <c r="J19" i="86"/>
  <c r="K19" i="86" s="1"/>
  <c r="L19" i="86"/>
  <c r="M42" i="86"/>
  <c r="N42" i="86" s="1"/>
  <c r="J24" i="86"/>
  <c r="K24" i="86" s="1"/>
  <c r="M43" i="86"/>
  <c r="N43" i="86" s="1"/>
  <c r="D37" i="86"/>
  <c r="D49" i="86" s="1"/>
  <c r="D61" i="86" s="1"/>
  <c r="D73" i="86" s="1"/>
  <c r="D85" i="86" s="1"/>
  <c r="D97" i="86" s="1"/>
  <c r="D109" i="86" s="1"/>
  <c r="D121" i="86" s="1"/>
  <c r="D133" i="86" s="1"/>
  <c r="D145" i="86" s="1"/>
  <c r="L58" i="86"/>
  <c r="M19" i="86"/>
  <c r="N19" i="86" s="1"/>
  <c r="M58" i="86"/>
  <c r="N58" i="86" s="1"/>
  <c r="L33" i="86"/>
  <c r="J41" i="86"/>
  <c r="K41" i="86" s="1"/>
  <c r="H38" i="86"/>
  <c r="I38" i="86" s="1"/>
  <c r="C50" i="86"/>
  <c r="J92" i="86"/>
  <c r="K92" i="86" s="1"/>
  <c r="L92" i="86"/>
  <c r="M39" i="86"/>
  <c r="N39" i="86" s="1"/>
  <c r="J39" i="86"/>
  <c r="K39" i="86" s="1"/>
  <c r="J31" i="86"/>
  <c r="K31" i="86" s="1"/>
  <c r="H64" i="86"/>
  <c r="I64" i="86" s="1"/>
  <c r="M65" i="86" s="1"/>
  <c r="N65" i="86" s="1"/>
  <c r="L81" i="86"/>
  <c r="H26" i="86"/>
  <c r="I26" i="86" s="1"/>
  <c r="L26" i="86" s="1"/>
  <c r="C49" i="86"/>
  <c r="L45" i="86"/>
  <c r="J53" i="86"/>
  <c r="K53" i="86" s="1"/>
  <c r="L112" i="86"/>
  <c r="H119" i="86"/>
  <c r="I119" i="86" s="1"/>
  <c r="M119" i="86" s="1"/>
  <c r="N119" i="86" s="1"/>
  <c r="M68" i="86"/>
  <c r="N68" i="86" s="1"/>
  <c r="H95" i="86"/>
  <c r="I95" i="86" s="1"/>
  <c r="H113" i="86"/>
  <c r="I113" i="86" s="1"/>
  <c r="J113" i="86" s="1"/>
  <c r="K113" i="86" s="1"/>
  <c r="M92" i="86"/>
  <c r="N92" i="86" s="1"/>
  <c r="L68" i="86"/>
  <c r="L91" i="86"/>
  <c r="H104" i="86"/>
  <c r="I104" i="86" s="1"/>
  <c r="J104" i="86" s="1"/>
  <c r="K104" i="86" s="1"/>
  <c r="M115" i="86"/>
  <c r="N115" i="86" s="1"/>
  <c r="M32" i="86"/>
  <c r="N32" i="86" s="1"/>
  <c r="M69" i="86"/>
  <c r="N69" i="86" s="1"/>
  <c r="H14" i="86"/>
  <c r="I14" i="86" s="1"/>
  <c r="L14" i="86" s="1"/>
  <c r="H12" i="86"/>
  <c r="I12" i="86" s="1"/>
  <c r="H13" i="86"/>
  <c r="I13" i="86" s="1"/>
  <c r="L13" i="86" s="1"/>
  <c r="L4" i="86"/>
  <c r="J103" i="86"/>
  <c r="K103" i="86" s="1"/>
  <c r="M103" i="86"/>
  <c r="N103" i="86" s="1"/>
  <c r="L103" i="86"/>
  <c r="J79" i="86"/>
  <c r="K79" i="86" s="1"/>
  <c r="L79" i="86"/>
  <c r="M79" i="86"/>
  <c r="N79" i="86" s="1"/>
  <c r="J14" i="86"/>
  <c r="K14" i="86" s="1"/>
  <c r="M14" i="86"/>
  <c r="N14" i="86" s="1"/>
  <c r="M22" i="86"/>
  <c r="N22" i="86" s="1"/>
  <c r="L22" i="86"/>
  <c r="J22" i="86"/>
  <c r="K22" i="86" s="1"/>
  <c r="J5" i="86"/>
  <c r="K5" i="86" s="1"/>
  <c r="M5" i="86"/>
  <c r="N5" i="86" s="1"/>
  <c r="L5" i="86"/>
  <c r="J23" i="86"/>
  <c r="K23" i="86" s="1"/>
  <c r="L23" i="86"/>
  <c r="M24" i="86"/>
  <c r="N24" i="86" s="1"/>
  <c r="M23" i="86"/>
  <c r="N23" i="86" s="1"/>
  <c r="L116" i="86"/>
  <c r="M116" i="86"/>
  <c r="N116" i="86" s="1"/>
  <c r="J116" i="86"/>
  <c r="K116" i="86" s="1"/>
  <c r="M6" i="86"/>
  <c r="N6" i="86" s="1"/>
  <c r="J6" i="86"/>
  <c r="K6" i="86" s="1"/>
  <c r="L6" i="86"/>
  <c r="M7" i="86"/>
  <c r="N7" i="86" s="1"/>
  <c r="J70" i="86"/>
  <c r="K70" i="86" s="1"/>
  <c r="M70" i="86"/>
  <c r="N70" i="86" s="1"/>
  <c r="L70" i="86"/>
  <c r="J88" i="86"/>
  <c r="K88" i="86" s="1"/>
  <c r="M88" i="86"/>
  <c r="N88" i="86" s="1"/>
  <c r="L88" i="86"/>
  <c r="J54" i="86"/>
  <c r="K54" i="86" s="1"/>
  <c r="M54" i="86"/>
  <c r="N54" i="86" s="1"/>
  <c r="L54" i="86"/>
  <c r="M20" i="86"/>
  <c r="N20" i="86" s="1"/>
  <c r="L20" i="86"/>
  <c r="J20" i="86"/>
  <c r="K20" i="86" s="1"/>
  <c r="M80" i="86"/>
  <c r="N80" i="86" s="1"/>
  <c r="L80" i="86"/>
  <c r="J80" i="86"/>
  <c r="K80" i="86" s="1"/>
  <c r="M17" i="86"/>
  <c r="N17" i="86" s="1"/>
  <c r="J17" i="86"/>
  <c r="K17" i="86" s="1"/>
  <c r="L17" i="86"/>
  <c r="M25" i="86"/>
  <c r="N25" i="86" s="1"/>
  <c r="L25" i="86"/>
  <c r="J25" i="86"/>
  <c r="K25" i="86" s="1"/>
  <c r="L65" i="86"/>
  <c r="J65" i="86"/>
  <c r="K65" i="86" s="1"/>
  <c r="M8" i="86"/>
  <c r="N8" i="86" s="1"/>
  <c r="L8" i="86"/>
  <c r="J8" i="86"/>
  <c r="K8" i="86" s="1"/>
  <c r="J76" i="86"/>
  <c r="K76" i="86" s="1"/>
  <c r="M76" i="86"/>
  <c r="N76" i="86" s="1"/>
  <c r="L76" i="86"/>
  <c r="J9" i="86"/>
  <c r="K9" i="86" s="1"/>
  <c r="M9" i="86"/>
  <c r="N9" i="86" s="1"/>
  <c r="L9" i="86"/>
  <c r="L59" i="86"/>
  <c r="M59" i="86"/>
  <c r="N59" i="86" s="1"/>
  <c r="J59" i="86"/>
  <c r="K59" i="86" s="1"/>
  <c r="L77" i="86"/>
  <c r="M77" i="86"/>
  <c r="N77" i="86" s="1"/>
  <c r="J77" i="86"/>
  <c r="K77" i="86" s="1"/>
  <c r="J83" i="86"/>
  <c r="K83" i="86" s="1"/>
  <c r="L83" i="86"/>
  <c r="M83" i="86"/>
  <c r="N83" i="86" s="1"/>
  <c r="L101" i="86"/>
  <c r="M101" i="86"/>
  <c r="N101" i="86" s="1"/>
  <c r="J101" i="86"/>
  <c r="K101" i="86" s="1"/>
  <c r="M10" i="86"/>
  <c r="N10" i="86" s="1"/>
  <c r="L10" i="86"/>
  <c r="J10" i="86"/>
  <c r="K10" i="86" s="1"/>
  <c r="J34" i="86"/>
  <c r="K34" i="86" s="1"/>
  <c r="L34" i="86"/>
  <c r="M34" i="86"/>
  <c r="N34" i="86" s="1"/>
  <c r="L119" i="86"/>
  <c r="J119" i="86"/>
  <c r="K119" i="86" s="1"/>
  <c r="J11" i="86"/>
  <c r="K11" i="86" s="1"/>
  <c r="M11" i="86"/>
  <c r="N11" i="86" s="1"/>
  <c r="L11" i="86"/>
  <c r="L28" i="86"/>
  <c r="J28" i="86"/>
  <c r="K28" i="86" s="1"/>
  <c r="J46" i="86"/>
  <c r="K46" i="86" s="1"/>
  <c r="L46" i="86"/>
  <c r="M46" i="86"/>
  <c r="N46" i="86" s="1"/>
  <c r="L127" i="86"/>
  <c r="M127" i="86"/>
  <c r="N127" i="86" s="1"/>
  <c r="J127" i="86"/>
  <c r="J3" i="86"/>
  <c r="K3" i="86" s="1"/>
  <c r="M4" i="86"/>
  <c r="N4" i="86" s="1"/>
  <c r="L3" i="86"/>
  <c r="L44" i="86"/>
  <c r="J44" i="86"/>
  <c r="K44" i="86" s="1"/>
  <c r="L18" i="86"/>
  <c r="J35" i="86"/>
  <c r="K35" i="86" s="1"/>
  <c r="J21" i="86"/>
  <c r="K21" i="86" s="1"/>
  <c r="M47" i="86"/>
  <c r="N47" i="86" s="1"/>
  <c r="M56" i="86"/>
  <c r="N56" i="86" s="1"/>
  <c r="J75" i="86"/>
  <c r="K75" i="86" s="1"/>
  <c r="L75" i="86"/>
  <c r="L107" i="86"/>
  <c r="H135" i="86"/>
  <c r="H123" i="86"/>
  <c r="M21" i="86"/>
  <c r="N21" i="86" s="1"/>
  <c r="L42" i="86"/>
  <c r="M107" i="86"/>
  <c r="N107" i="86" s="1"/>
  <c r="M40" i="86"/>
  <c r="N40" i="86" s="1"/>
  <c r="J40" i="86"/>
  <c r="K40" i="86" s="1"/>
  <c r="L51" i="86"/>
  <c r="J51" i="86"/>
  <c r="K51" i="86" s="1"/>
  <c r="M57" i="86"/>
  <c r="N57" i="86" s="1"/>
  <c r="J57" i="86"/>
  <c r="K57" i="86" s="1"/>
  <c r="M71" i="86"/>
  <c r="N71" i="86" s="1"/>
  <c r="J71" i="86"/>
  <c r="K71" i="86" s="1"/>
  <c r="J78" i="86"/>
  <c r="K78" i="86" s="1"/>
  <c r="M78" i="86"/>
  <c r="N78" i="86" s="1"/>
  <c r="L90" i="86"/>
  <c r="J90" i="86"/>
  <c r="K90" i="86" s="1"/>
  <c r="L105" i="86"/>
  <c r="J105" i="86"/>
  <c r="K105" i="86" s="1"/>
  <c r="H154" i="86"/>
  <c r="J38" i="86"/>
  <c r="K38" i="86" s="1"/>
  <c r="I63" i="86"/>
  <c r="L102" i="86"/>
  <c r="J102" i="86"/>
  <c r="K102" i="86" s="1"/>
  <c r="M102" i="86"/>
  <c r="N102" i="86" s="1"/>
  <c r="L117" i="86"/>
  <c r="J117" i="86"/>
  <c r="K117" i="86" s="1"/>
  <c r="H130" i="86"/>
  <c r="H142" i="86"/>
  <c r="M33" i="86"/>
  <c r="N33" i="86" s="1"/>
  <c r="M105" i="86"/>
  <c r="N105" i="86" s="1"/>
  <c r="M117" i="86"/>
  <c r="N117" i="86" s="1"/>
  <c r="L87" i="86"/>
  <c r="J87" i="86"/>
  <c r="K87" i="86" s="1"/>
  <c r="J43" i="86"/>
  <c r="K43" i="86" s="1"/>
  <c r="L71" i="86"/>
  <c r="L78" i="86"/>
  <c r="M90" i="86"/>
  <c r="N90" i="86" s="1"/>
  <c r="L114" i="86"/>
  <c r="J114" i="86"/>
  <c r="K114" i="86" s="1"/>
  <c r="B163" i="86"/>
  <c r="I15" i="86"/>
  <c r="M16" i="86" s="1"/>
  <c r="N16" i="86" s="1"/>
  <c r="J36" i="86"/>
  <c r="K36" i="86" s="1"/>
  <c r="L40" i="86"/>
  <c r="M45" i="86"/>
  <c r="N45" i="86" s="1"/>
  <c r="L57" i="86"/>
  <c r="M81" i="86"/>
  <c r="N81" i="86" s="1"/>
  <c r="L93" i="86"/>
  <c r="J93" i="86"/>
  <c r="K93" i="86" s="1"/>
  <c r="L111" i="86"/>
  <c r="J111" i="86"/>
  <c r="K111" i="86" s="1"/>
  <c r="I27" i="86"/>
  <c r="M28" i="86" s="1"/>
  <c r="N28" i="86" s="1"/>
  <c r="L29" i="86"/>
  <c r="M31" i="86"/>
  <c r="N31" i="86" s="1"/>
  <c r="L66" i="86"/>
  <c r="M29" i="86"/>
  <c r="N29" i="86" s="1"/>
  <c r="I52" i="86"/>
  <c r="M55" i="86"/>
  <c r="N55" i="86" s="1"/>
  <c r="J55" i="86"/>
  <c r="K55" i="86" s="1"/>
  <c r="M66" i="86"/>
  <c r="N66" i="86" s="1"/>
  <c r="L69" i="86"/>
  <c r="M93" i="86"/>
  <c r="N93" i="86" s="1"/>
  <c r="I99" i="86"/>
  <c r="M100" i="86" s="1"/>
  <c r="N100" i="86" s="1"/>
  <c r="M18" i="86"/>
  <c r="N18" i="86" s="1"/>
  <c r="J91" i="86"/>
  <c r="K91" i="86" s="1"/>
  <c r="M91" i="86"/>
  <c r="N91" i="86" s="1"/>
  <c r="J106" i="86"/>
  <c r="K106" i="86" s="1"/>
  <c r="M106" i="86"/>
  <c r="N106" i="86" s="1"/>
  <c r="L106" i="86"/>
  <c r="L124" i="86"/>
  <c r="J124" i="86"/>
  <c r="J18" i="86"/>
  <c r="K18" i="86" s="1"/>
  <c r="J32" i="86"/>
  <c r="K32" i="86" s="1"/>
  <c r="J82" i="86"/>
  <c r="K82" i="86" s="1"/>
  <c r="L82" i="86"/>
  <c r="M82" i="86"/>
  <c r="N82" i="86" s="1"/>
  <c r="J100" i="86"/>
  <c r="K100" i="86" s="1"/>
  <c r="L100" i="86"/>
  <c r="L115" i="86"/>
  <c r="J118" i="86"/>
  <c r="K118" i="86" s="1"/>
  <c r="M118" i="86"/>
  <c r="N118" i="86" s="1"/>
  <c r="L118" i="86"/>
  <c r="J126" i="86"/>
  <c r="L126" i="86"/>
  <c r="H136" i="86"/>
  <c r="J67" i="86"/>
  <c r="K67" i="86" s="1"/>
  <c r="L67" i="86"/>
  <c r="M89" i="86"/>
  <c r="N89" i="86" s="1"/>
  <c r="L89" i="86"/>
  <c r="M44" i="86"/>
  <c r="N44" i="86" s="1"/>
  <c r="J47" i="86"/>
  <c r="K47" i="86" s="1"/>
  <c r="M67" i="86"/>
  <c r="N67" i="86" s="1"/>
  <c r="J89" i="86"/>
  <c r="K89" i="86" s="1"/>
  <c r="L94" i="86"/>
  <c r="M104" i="86"/>
  <c r="N104" i="86" s="1"/>
  <c r="M112" i="86"/>
  <c r="N112" i="86" s="1"/>
  <c r="J16" i="86"/>
  <c r="K16" i="86" s="1"/>
  <c r="J30" i="86"/>
  <c r="K30" i="86" s="1"/>
  <c r="M41" i="86"/>
  <c r="N41" i="86" s="1"/>
  <c r="J56" i="86"/>
  <c r="K56" i="86" s="1"/>
  <c r="M94" i="86"/>
  <c r="N94" i="86" s="1"/>
  <c r="H141" i="86"/>
  <c r="H129" i="86"/>
  <c r="L39" i="86"/>
  <c r="M30" i="86"/>
  <c r="N30" i="86" s="1"/>
  <c r="J7" i="86"/>
  <c r="K7" i="86" s="1"/>
  <c r="L16" i="86"/>
  <c r="M35" i="86"/>
  <c r="N35" i="86" s="1"/>
  <c r="H125" i="86"/>
  <c r="I125" i="86" s="1"/>
  <c r="M126" i="86" s="1"/>
  <c r="N126" i="86" s="1"/>
  <c r="H137" i="86"/>
  <c r="I128" i="86"/>
  <c r="H131" i="86"/>
  <c r="H143" i="86"/>
  <c r="C154" i="86"/>
  <c r="C158" i="86"/>
  <c r="C162" i="86"/>
  <c r="B166" i="86"/>
  <c r="H48" i="86" l="1"/>
  <c r="I48" i="86" s="1"/>
  <c r="D60" i="86"/>
  <c r="H37" i="86"/>
  <c r="L36" i="86"/>
  <c r="L104" i="86"/>
  <c r="J95" i="86"/>
  <c r="K95" i="86" s="1"/>
  <c r="M26" i="86"/>
  <c r="N26" i="86" s="1"/>
  <c r="J64" i="86"/>
  <c r="K64" i="86" s="1"/>
  <c r="L64" i="86"/>
  <c r="M113" i="86"/>
  <c r="N113" i="86" s="1"/>
  <c r="L38" i="86"/>
  <c r="J26" i="86"/>
  <c r="K26" i="86" s="1"/>
  <c r="M114" i="86"/>
  <c r="N114" i="86" s="1"/>
  <c r="L113" i="86"/>
  <c r="L95" i="86"/>
  <c r="M95" i="86"/>
  <c r="N95" i="86" s="1"/>
  <c r="H49" i="86"/>
  <c r="C61" i="86"/>
  <c r="C62" i="86"/>
  <c r="H50" i="86"/>
  <c r="I50" i="86" s="1"/>
  <c r="J13" i="86"/>
  <c r="K13" i="86" s="1"/>
  <c r="L12" i="86"/>
  <c r="J12" i="86"/>
  <c r="K12" i="86" s="1"/>
  <c r="H153" i="86"/>
  <c r="M13" i="86"/>
  <c r="N13" i="86" s="1"/>
  <c r="M12" i="86"/>
  <c r="N12" i="86" s="1"/>
  <c r="D161" i="86"/>
  <c r="J27" i="86"/>
  <c r="K27" i="86" s="1"/>
  <c r="M27" i="86"/>
  <c r="N27" i="86" s="1"/>
  <c r="L27" i="86"/>
  <c r="J63" i="86"/>
  <c r="K63" i="86" s="1"/>
  <c r="L63" i="86"/>
  <c r="M64" i="86"/>
  <c r="N64" i="86" s="1"/>
  <c r="L52" i="86"/>
  <c r="M52" i="86"/>
  <c r="N52" i="86" s="1"/>
  <c r="J52" i="86"/>
  <c r="K52" i="86" s="1"/>
  <c r="L15" i="86"/>
  <c r="M15" i="86"/>
  <c r="N15" i="86" s="1"/>
  <c r="J15" i="86"/>
  <c r="K15" i="86" s="1"/>
  <c r="L99" i="86"/>
  <c r="J99" i="86"/>
  <c r="K99" i="86" s="1"/>
  <c r="I123" i="86"/>
  <c r="M53" i="86"/>
  <c r="N53" i="86" s="1"/>
  <c r="M128" i="86"/>
  <c r="N128" i="86" s="1"/>
  <c r="L128" i="86"/>
  <c r="J128" i="86"/>
  <c r="L125" i="86"/>
  <c r="M125" i="86"/>
  <c r="N125" i="86" s="1"/>
  <c r="J125" i="86"/>
  <c r="I37" i="86" l="1"/>
  <c r="H155" i="86"/>
  <c r="L48" i="86"/>
  <c r="M48" i="86"/>
  <c r="N48" i="86" s="1"/>
  <c r="J48" i="86"/>
  <c r="K48" i="86" s="1"/>
  <c r="D72" i="86"/>
  <c r="H60" i="86"/>
  <c r="I60" i="86" s="1"/>
  <c r="I49" i="86"/>
  <c r="H156" i="86"/>
  <c r="H61" i="86"/>
  <c r="C73" i="86"/>
  <c r="L50" i="86"/>
  <c r="J50" i="86"/>
  <c r="K50" i="86" s="1"/>
  <c r="M51" i="86"/>
  <c r="N51" i="86" s="1"/>
  <c r="H62" i="86"/>
  <c r="I62" i="86" s="1"/>
  <c r="C74" i="86"/>
  <c r="J123" i="86"/>
  <c r="L123" i="86"/>
  <c r="M124" i="86"/>
  <c r="N124" i="86" s="1"/>
  <c r="J60" i="86" l="1"/>
  <c r="K60" i="86" s="1"/>
  <c r="M60" i="86"/>
  <c r="N60" i="86" s="1"/>
  <c r="L60" i="86"/>
  <c r="L37" i="86"/>
  <c r="J37" i="86"/>
  <c r="K37" i="86" s="1"/>
  <c r="M37" i="86"/>
  <c r="N37" i="86" s="1"/>
  <c r="M38" i="86"/>
  <c r="N38" i="86" s="1"/>
  <c r="D84" i="86"/>
  <c r="H72" i="86"/>
  <c r="I72" i="86" s="1"/>
  <c r="J62" i="86"/>
  <c r="K62" i="86" s="1"/>
  <c r="L62" i="86"/>
  <c r="M63" i="86"/>
  <c r="N63" i="86" s="1"/>
  <c r="I61" i="86"/>
  <c r="H157" i="86"/>
  <c r="L49" i="86"/>
  <c r="M49" i="86"/>
  <c r="N49" i="86" s="1"/>
  <c r="J49" i="86"/>
  <c r="K49" i="86" s="1"/>
  <c r="C86" i="86"/>
  <c r="H74" i="86"/>
  <c r="I74" i="86" s="1"/>
  <c r="M50" i="86"/>
  <c r="N50" i="86" s="1"/>
  <c r="C85" i="86"/>
  <c r="H73" i="86"/>
  <c r="M72" i="86" l="1"/>
  <c r="N72" i="86" s="1"/>
  <c r="J72" i="86"/>
  <c r="K72" i="86" s="1"/>
  <c r="L72" i="86"/>
  <c r="D96" i="86"/>
  <c r="H84" i="86"/>
  <c r="I84" i="86" s="1"/>
  <c r="M61" i="86"/>
  <c r="N61" i="86" s="1"/>
  <c r="J61" i="86"/>
  <c r="K61" i="86" s="1"/>
  <c r="L61" i="86"/>
  <c r="I73" i="86"/>
  <c r="H158" i="86"/>
  <c r="C97" i="86"/>
  <c r="H85" i="86"/>
  <c r="M74" i="86"/>
  <c r="N74" i="86" s="1"/>
  <c r="L74" i="86"/>
  <c r="J74" i="86"/>
  <c r="K74" i="86" s="1"/>
  <c r="M75" i="86"/>
  <c r="N75" i="86" s="1"/>
  <c r="C98" i="86"/>
  <c r="H86" i="86"/>
  <c r="I86" i="86" s="1"/>
  <c r="M62" i="86"/>
  <c r="N62" i="86" s="1"/>
  <c r="D108" i="86" l="1"/>
  <c r="H96" i="86"/>
  <c r="I96" i="86" s="1"/>
  <c r="M84" i="86"/>
  <c r="N84" i="86" s="1"/>
  <c r="L84" i="86"/>
  <c r="J84" i="86"/>
  <c r="K84" i="86" s="1"/>
  <c r="I85" i="86"/>
  <c r="H159" i="86"/>
  <c r="C109" i="86"/>
  <c r="H97" i="86"/>
  <c r="J73" i="86"/>
  <c r="K73" i="86" s="1"/>
  <c r="M73" i="86"/>
  <c r="N73" i="86" s="1"/>
  <c r="L73" i="86"/>
  <c r="L86" i="86"/>
  <c r="M86" i="86"/>
  <c r="N86" i="86" s="1"/>
  <c r="J86" i="86"/>
  <c r="K86" i="86" s="1"/>
  <c r="M87" i="86"/>
  <c r="N87" i="86" s="1"/>
  <c r="C110" i="86"/>
  <c r="H98" i="86"/>
  <c r="I98" i="86" s="1"/>
  <c r="J96" i="86" l="1"/>
  <c r="K96" i="86" s="1"/>
  <c r="L96" i="86"/>
  <c r="M96" i="86"/>
  <c r="N96" i="86" s="1"/>
  <c r="D120" i="86"/>
  <c r="H108" i="86"/>
  <c r="I108" i="86" s="1"/>
  <c r="J85" i="86"/>
  <c r="K85" i="86" s="1"/>
  <c r="L85" i="86"/>
  <c r="M85" i="86"/>
  <c r="N85" i="86" s="1"/>
  <c r="J98" i="86"/>
  <c r="K98" i="86" s="1"/>
  <c r="L98" i="86"/>
  <c r="M99" i="86"/>
  <c r="N99" i="86" s="1"/>
  <c r="C122" i="86"/>
  <c r="H110" i="86"/>
  <c r="I110" i="86" s="1"/>
  <c r="I97" i="86"/>
  <c r="M98" i="86" s="1"/>
  <c r="N98" i="86" s="1"/>
  <c r="H160" i="86"/>
  <c r="H109" i="86"/>
  <c r="C121" i="86"/>
  <c r="L108" i="86" l="1"/>
  <c r="M108" i="86"/>
  <c r="N108" i="86" s="1"/>
  <c r="J108" i="86"/>
  <c r="K108" i="86" s="1"/>
  <c r="H120" i="86"/>
  <c r="I120" i="86" s="1"/>
  <c r="D132" i="86"/>
  <c r="C133" i="86"/>
  <c r="H121" i="86"/>
  <c r="L110" i="86"/>
  <c r="J110" i="86"/>
  <c r="K110" i="86" s="1"/>
  <c r="M111" i="86"/>
  <c r="N111" i="86" s="1"/>
  <c r="I109" i="86"/>
  <c r="H161" i="86"/>
  <c r="J97" i="86"/>
  <c r="K97" i="86" s="1"/>
  <c r="L97" i="86"/>
  <c r="M97" i="86"/>
  <c r="N97" i="86" s="1"/>
  <c r="C134" i="86"/>
  <c r="H122" i="86"/>
  <c r="I122" i="86" s="1"/>
  <c r="D144" i="86" l="1"/>
  <c r="H144" i="86" s="1"/>
  <c r="H132" i="86"/>
  <c r="J120" i="86"/>
  <c r="K120" i="86" s="1"/>
  <c r="L120" i="86"/>
  <c r="M120" i="86"/>
  <c r="N120" i="86" s="1"/>
  <c r="C145" i="86"/>
  <c r="H145" i="86" s="1"/>
  <c r="H133" i="86"/>
  <c r="J109" i="86"/>
  <c r="K109" i="86" s="1"/>
  <c r="L109" i="86"/>
  <c r="M109" i="86"/>
  <c r="N109" i="86" s="1"/>
  <c r="M110" i="86"/>
  <c r="N110" i="86" s="1"/>
  <c r="J122" i="86"/>
  <c r="K122" i="86" s="1"/>
  <c r="L122" i="86"/>
  <c r="M122" i="86"/>
  <c r="N122" i="86" s="1"/>
  <c r="M123" i="86"/>
  <c r="N123" i="86" s="1"/>
  <c r="C146" i="86"/>
  <c r="H146" i="86" s="1"/>
  <c r="H134" i="86"/>
  <c r="I121" i="86"/>
  <c r="H162" i="86"/>
  <c r="H166" i="86" s="1"/>
  <c r="H164" i="86" l="1"/>
  <c r="G164" i="86"/>
  <c r="F164" i="86" s="1"/>
  <c r="H168" i="86"/>
  <c r="N129" i="86"/>
  <c r="Q27" i="86" s="1"/>
  <c r="M121" i="86"/>
  <c r="N121" i="86" s="1"/>
  <c r="J121" i="86"/>
  <c r="K121" i="86" s="1"/>
  <c r="L121" i="86"/>
  <c r="H163" i="86"/>
  <c r="G163" i="86" s="1"/>
  <c r="H150" i="86"/>
  <c r="L129" i="86"/>
  <c r="Q28" i="86" s="1"/>
  <c r="K123" i="86" l="1"/>
  <c r="K124" i="86" s="1"/>
  <c r="K125" i="86" s="1"/>
  <c r="K126" i="86" s="1"/>
  <c r="K127" i="86" s="1"/>
  <c r="K128" i="86" s="1"/>
  <c r="K129" i="86" s="1"/>
  <c r="Q25" i="86" s="1"/>
  <c r="Q30" i="86"/>
  <c r="B166" i="80" l="1"/>
  <c r="B163" i="80"/>
  <c r="Q3" i="17" l="1"/>
  <c r="T3" i="17"/>
  <c r="S16" i="17"/>
  <c r="S4" i="17"/>
  <c r="S5" i="17"/>
  <c r="S6" i="17"/>
  <c r="S7" i="17"/>
  <c r="S8" i="17"/>
  <c r="S9" i="17"/>
  <c r="S10" i="17"/>
  <c r="S11" i="17"/>
  <c r="S12" i="17"/>
  <c r="S13" i="17"/>
  <c r="S14" i="17"/>
  <c r="S3" i="17"/>
  <c r="D13" i="17"/>
  <c r="I4" i="17"/>
  <c r="I5" i="17"/>
  <c r="I6" i="17"/>
  <c r="I7" i="17"/>
  <c r="I8" i="17"/>
  <c r="I9" i="17"/>
  <c r="I10" i="17"/>
  <c r="I11" i="17"/>
  <c r="I12" i="17"/>
  <c r="I13" i="17"/>
  <c r="S17" i="17" s="1"/>
  <c r="I14" i="17"/>
  <c r="I15" i="17"/>
  <c r="I3" i="17"/>
  <c r="B76" i="17"/>
  <c r="C76" i="17"/>
  <c r="C13" i="17" s="1"/>
  <c r="D76" i="17"/>
  <c r="E76" i="17"/>
  <c r="B13" i="17"/>
  <c r="F14" i="17"/>
  <c r="B70" i="17"/>
  <c r="B71" i="17" s="1"/>
  <c r="B72" i="17" s="1"/>
  <c r="B73" i="17" s="1"/>
  <c r="B74" i="17" s="1"/>
  <c r="C70" i="17"/>
  <c r="C71" i="17" s="1"/>
  <c r="C72" i="17" s="1"/>
  <c r="C73" i="17" s="1"/>
  <c r="C74" i="17" s="1"/>
  <c r="D70" i="17"/>
  <c r="D71" i="17" s="1"/>
  <c r="D72" i="17" s="1"/>
  <c r="D73" i="17" s="1"/>
  <c r="D74" i="17" s="1"/>
  <c r="E70" i="17"/>
  <c r="E71" i="17" s="1"/>
  <c r="E72" i="17" s="1"/>
  <c r="E73" i="17" s="1"/>
  <c r="E74" i="17" s="1"/>
  <c r="E69" i="17"/>
  <c r="D69" i="17"/>
  <c r="C69" i="17"/>
  <c r="B69" i="17"/>
  <c r="F68" i="17"/>
  <c r="E68" i="17"/>
  <c r="D68" i="17"/>
  <c r="C68" i="17"/>
  <c r="B68" i="17"/>
  <c r="F67" i="17"/>
  <c r="E67" i="17"/>
  <c r="D67" i="17"/>
  <c r="C67" i="17"/>
  <c r="B67" i="17"/>
  <c r="F66" i="17"/>
  <c r="E66" i="17"/>
  <c r="D66" i="17"/>
  <c r="C66" i="17"/>
  <c r="B66" i="17"/>
  <c r="F65" i="17"/>
  <c r="E65" i="17"/>
  <c r="D65" i="17"/>
  <c r="C65" i="17"/>
  <c r="B65" i="17"/>
  <c r="F64" i="17"/>
  <c r="E64" i="17"/>
  <c r="D64" i="17"/>
  <c r="C64" i="17"/>
  <c r="B64" i="17"/>
  <c r="F63" i="17"/>
  <c r="E63" i="17"/>
  <c r="D63" i="17"/>
  <c r="C63" i="17"/>
  <c r="B63" i="17"/>
  <c r="C46" i="17"/>
  <c r="D46" i="17"/>
  <c r="E46" i="17"/>
  <c r="F46" i="17"/>
  <c r="B46" i="17"/>
  <c r="F59" i="17"/>
  <c r="D59" i="17"/>
  <c r="E58" i="17"/>
  <c r="D58" i="17"/>
  <c r="B58" i="17"/>
  <c r="E57" i="17"/>
  <c r="E55" i="17"/>
  <c r="C55" i="17"/>
  <c r="B55" i="17"/>
  <c r="E54" i="17"/>
  <c r="E61" i="17" s="1"/>
  <c r="E59" i="17"/>
  <c r="C59" i="17"/>
  <c r="B59" i="17"/>
  <c r="F58" i="17"/>
  <c r="C58" i="17"/>
  <c r="F57" i="17"/>
  <c r="D57" i="17"/>
  <c r="C57" i="17"/>
  <c r="B57" i="17"/>
  <c r="F56" i="17"/>
  <c r="E56" i="17"/>
  <c r="D56" i="17"/>
  <c r="C56" i="17"/>
  <c r="B56" i="17"/>
  <c r="F55" i="17"/>
  <c r="C54" i="17"/>
  <c r="C61" i="17" s="1"/>
  <c r="D54" i="17" l="1"/>
  <c r="D61" i="17" s="1"/>
  <c r="F54" i="17"/>
  <c r="B54" i="17"/>
  <c r="B61" i="17" s="1"/>
  <c r="F61" i="17"/>
  <c r="F69" i="17" s="1"/>
  <c r="F70" i="17" s="1"/>
  <c r="F71" i="17" s="1"/>
  <c r="F72" i="17" s="1"/>
  <c r="F73" i="17" s="1"/>
  <c r="F74" i="17" s="1"/>
  <c r="D55" i="17"/>
  <c r="F76" i="17" l="1"/>
  <c r="G15" i="17"/>
  <c r="H15" i="17"/>
  <c r="E367" i="76"/>
  <c r="F367" i="76" s="1"/>
  <c r="I367" i="76"/>
  <c r="J367" i="76" s="1"/>
  <c r="E368" i="76"/>
  <c r="F368" i="76" s="1"/>
  <c r="G368" i="76"/>
  <c r="H368" i="76" s="1"/>
  <c r="I368" i="76"/>
  <c r="J368" i="76" s="1"/>
  <c r="K368" i="76"/>
  <c r="L368" i="76"/>
  <c r="E369" i="76"/>
  <c r="F369" i="76" s="1"/>
  <c r="I369" i="76"/>
  <c r="J369" i="76" s="1"/>
  <c r="E370" i="76"/>
  <c r="F370" i="76" s="1"/>
  <c r="I370" i="76"/>
  <c r="J370" i="76" s="1"/>
  <c r="B371" i="76"/>
  <c r="B367" i="76"/>
  <c r="C367" i="76"/>
  <c r="B368" i="76"/>
  <c r="C368" i="76" s="1"/>
  <c r="B369" i="76"/>
  <c r="C369" i="76" s="1"/>
  <c r="B370" i="76"/>
  <c r="C370" i="76" s="1"/>
  <c r="E339" i="76"/>
  <c r="F339" i="76" s="1"/>
  <c r="I339" i="76"/>
  <c r="J339" i="76"/>
  <c r="E340" i="76"/>
  <c r="F340" i="76"/>
  <c r="G340" i="76"/>
  <c r="H340" i="76" s="1"/>
  <c r="I340" i="76"/>
  <c r="J340" i="76"/>
  <c r="K340" i="76"/>
  <c r="L340" i="76"/>
  <c r="E341" i="76"/>
  <c r="F341" i="76"/>
  <c r="I341" i="76"/>
  <c r="J341" i="76"/>
  <c r="E342" i="76"/>
  <c r="F342" i="76"/>
  <c r="I342" i="76"/>
  <c r="J342" i="76"/>
  <c r="B343" i="76"/>
  <c r="B339" i="76"/>
  <c r="C339" i="76" s="1"/>
  <c r="B340" i="76"/>
  <c r="C340" i="76" s="1"/>
  <c r="B341" i="76"/>
  <c r="C341" i="76" s="1"/>
  <c r="B342" i="76"/>
  <c r="C342" i="76"/>
  <c r="E312" i="76"/>
  <c r="F312" i="76" s="1"/>
  <c r="I312" i="76"/>
  <c r="J312" i="76"/>
  <c r="E313" i="76"/>
  <c r="F313" i="76" s="1"/>
  <c r="G313" i="76"/>
  <c r="H313" i="76" s="1"/>
  <c r="I313" i="76"/>
  <c r="J313" i="76"/>
  <c r="K313" i="76"/>
  <c r="L313" i="76"/>
  <c r="E314" i="76"/>
  <c r="F314" i="76" s="1"/>
  <c r="I314" i="76"/>
  <c r="J314" i="76"/>
  <c r="E315" i="76"/>
  <c r="F315" i="76" s="1"/>
  <c r="I315" i="76"/>
  <c r="J315" i="76"/>
  <c r="B316" i="76"/>
  <c r="B312" i="76"/>
  <c r="C312" i="76"/>
  <c r="B313" i="76"/>
  <c r="C313" i="76" s="1"/>
  <c r="B314" i="76"/>
  <c r="C314" i="76"/>
  <c r="B315" i="76"/>
  <c r="C315" i="76"/>
  <c r="B309" i="76"/>
  <c r="B287" i="76"/>
  <c r="E282" i="76"/>
  <c r="F282" i="76" s="1"/>
  <c r="I282" i="76"/>
  <c r="J282" i="76"/>
  <c r="E283" i="76"/>
  <c r="F283" i="76"/>
  <c r="G283" i="76"/>
  <c r="H283" i="76" s="1"/>
  <c r="I283" i="76"/>
  <c r="J283" i="76"/>
  <c r="K283" i="76"/>
  <c r="L283" i="76"/>
  <c r="E284" i="76"/>
  <c r="F284" i="76"/>
  <c r="I284" i="76"/>
  <c r="J284" i="76"/>
  <c r="E285" i="76"/>
  <c r="F285" i="76"/>
  <c r="I285" i="76"/>
  <c r="J285" i="76"/>
  <c r="B282" i="76"/>
  <c r="C282" i="76"/>
  <c r="B283" i="76"/>
  <c r="C283" i="76" s="1"/>
  <c r="B284" i="76"/>
  <c r="C284" i="76"/>
  <c r="B285" i="76"/>
  <c r="C285" i="76"/>
  <c r="B279" i="76"/>
  <c r="I360" i="76"/>
  <c r="J360" i="76"/>
  <c r="I361" i="76"/>
  <c r="J361" i="76"/>
  <c r="K361" i="76"/>
  <c r="L361" i="76"/>
  <c r="I362" i="76"/>
  <c r="J362" i="76"/>
  <c r="I363" i="76"/>
  <c r="J363" i="76"/>
  <c r="C309" i="76"/>
  <c r="K306" i="76"/>
  <c r="L306" i="76"/>
  <c r="K307" i="76"/>
  <c r="I305" i="76"/>
  <c r="J305" i="76"/>
  <c r="I306" i="76"/>
  <c r="J306" i="76"/>
  <c r="I307" i="76"/>
  <c r="J307" i="76"/>
  <c r="I308" i="76"/>
  <c r="J308" i="76"/>
  <c r="J277" i="76"/>
  <c r="I277" i="76"/>
  <c r="I273" i="76"/>
  <c r="C279" i="76"/>
  <c r="C287" i="76"/>
  <c r="E366" i="76"/>
  <c r="E359" i="76"/>
  <c r="C364" i="76"/>
  <c r="B364" i="76"/>
  <c r="C316" i="76" l="1"/>
  <c r="C371" i="76"/>
  <c r="G389" i="76"/>
  <c r="H361" i="76"/>
  <c r="G361" i="76"/>
  <c r="G333" i="76"/>
  <c r="H333" i="76"/>
  <c r="H306" i="76"/>
  <c r="G306" i="76"/>
  <c r="G275" i="76"/>
  <c r="B231" i="76"/>
  <c r="B351" i="76" l="1"/>
  <c r="B350" i="76"/>
  <c r="B349" i="76"/>
  <c r="B348" i="76"/>
  <c r="B347" i="76"/>
  <c r="B381" i="76"/>
  <c r="D380" i="76"/>
  <c r="E380" i="76" s="1"/>
  <c r="D379" i="76"/>
  <c r="E379" i="76" s="1"/>
  <c r="D378" i="76"/>
  <c r="E378" i="76" s="1"/>
  <c r="D377" i="76"/>
  <c r="A296" i="76"/>
  <c r="A295" i="76"/>
  <c r="A294" i="76"/>
  <c r="A293" i="76"/>
  <c r="A292" i="76"/>
  <c r="C381" i="76" l="1"/>
  <c r="D381" i="76" s="1"/>
  <c r="E381" i="76" s="1"/>
  <c r="C408" i="76"/>
  <c r="D376" i="76"/>
  <c r="E376" i="76" s="1"/>
  <c r="C352" i="76" l="1"/>
  <c r="B277" i="76" l="1"/>
  <c r="E277" i="76"/>
  <c r="G277" i="76" s="1"/>
  <c r="E276" i="76"/>
  <c r="G276" i="76" s="1"/>
  <c r="B256" i="76"/>
  <c r="B254" i="76"/>
  <c r="J44" i="9" l="1"/>
  <c r="D199" i="76" s="1"/>
  <c r="B6" i="76" l="1"/>
  <c r="B55" i="76" l="1"/>
  <c r="B273" i="76" s="1"/>
  <c r="B238" i="76" l="1"/>
  <c r="F38" i="76"/>
  <c r="F85" i="76" s="1"/>
  <c r="E38" i="76"/>
  <c r="D38" i="76"/>
  <c r="C38" i="76"/>
  <c r="C85" i="76" s="1"/>
  <c r="B38" i="76"/>
  <c r="B85" i="76" s="1"/>
  <c r="E55" i="76"/>
  <c r="B276" i="76" s="1"/>
  <c r="D55" i="76"/>
  <c r="B275" i="76" s="1"/>
  <c r="C55" i="76"/>
  <c r="B274" i="76" s="1"/>
  <c r="F6" i="76"/>
  <c r="C12" i="17"/>
  <c r="D85" i="76" l="1"/>
  <c r="E85" i="76"/>
  <c r="E273" i="76"/>
  <c r="B255" i="76"/>
  <c r="B23" i="11"/>
  <c r="H35" i="9" l="1"/>
  <c r="H4" i="17" l="1"/>
  <c r="H5" i="17"/>
  <c r="H6" i="17"/>
  <c r="H7" i="17"/>
  <c r="H3" i="17"/>
  <c r="N3" i="17" l="1"/>
  <c r="G63" i="80" s="1"/>
  <c r="H63" i="80" s="1"/>
  <c r="I63" i="80" s="1"/>
  <c r="L63" i="80" l="1"/>
  <c r="J63" i="80"/>
  <c r="K63" i="80" s="1"/>
  <c r="N4" i="17"/>
  <c r="G64" i="80" l="1"/>
  <c r="N5" i="17"/>
  <c r="N6" i="17" l="1"/>
  <c r="N7" i="17" l="1"/>
  <c r="N8" i="17" l="1"/>
  <c r="N9" i="17" l="1"/>
  <c r="N10" i="17" l="1"/>
  <c r="N11" i="17" l="1"/>
  <c r="N12" i="17" l="1"/>
  <c r="N13" i="17" l="1"/>
  <c r="N14" i="17" l="1"/>
  <c r="O3" i="17" l="1"/>
  <c r="G75" i="80" s="1"/>
  <c r="H75" i="80" s="1"/>
  <c r="I75" i="80" s="1"/>
  <c r="J75" i="80" l="1"/>
  <c r="K75" i="80" s="1"/>
  <c r="L75" i="80"/>
  <c r="O4" i="17"/>
  <c r="O5" i="17" l="1"/>
  <c r="G76" i="80"/>
  <c r="G77" i="80" l="1"/>
  <c r="O6" i="17"/>
  <c r="O7" i="17" l="1"/>
  <c r="G78" i="80"/>
  <c r="O8" i="17" l="1"/>
  <c r="G79" i="80"/>
  <c r="G80" i="80" l="1"/>
  <c r="O9" i="17"/>
  <c r="G81" i="80" l="1"/>
  <c r="O10" i="17"/>
  <c r="O11" i="17" l="1"/>
  <c r="G82" i="80"/>
  <c r="O12" i="17" l="1"/>
  <c r="G83" i="80"/>
  <c r="O13" i="17" l="1"/>
  <c r="G84" i="80"/>
  <c r="O14" i="17" l="1"/>
  <c r="G85" i="80"/>
  <c r="G86" i="80" l="1"/>
  <c r="P3" i="17"/>
  <c r="G87" i="80" l="1"/>
  <c r="P4" i="17"/>
  <c r="P5" i="17" l="1"/>
  <c r="G88" i="80"/>
  <c r="P6" i="17" l="1"/>
  <c r="G89" i="80"/>
  <c r="G90" i="80" l="1"/>
  <c r="P7" i="17"/>
  <c r="G91" i="80" l="1"/>
  <c r="P8" i="17"/>
  <c r="P9" i="17" l="1"/>
  <c r="G92" i="80"/>
  <c r="G93" i="80" l="1"/>
  <c r="P10" i="17"/>
  <c r="G94" i="80" l="1"/>
  <c r="P11" i="17"/>
  <c r="P12" i="17" l="1"/>
  <c r="G95" i="80"/>
  <c r="P13" i="17" l="1"/>
  <c r="G96" i="80"/>
  <c r="G97" i="80" l="1"/>
  <c r="P14" i="17"/>
  <c r="G98" i="80" l="1"/>
  <c r="G99" i="80"/>
  <c r="H99" i="80" s="1"/>
  <c r="I99" i="80" s="1"/>
  <c r="J99" i="80" l="1"/>
  <c r="K99" i="80" s="1"/>
  <c r="L99" i="80"/>
  <c r="Q4" i="17"/>
  <c r="Q5" i="17" l="1"/>
  <c r="G100" i="80"/>
  <c r="Q6" i="17" l="1"/>
  <c r="G101" i="80"/>
  <c r="Q7" i="17" l="1"/>
  <c r="G102" i="80"/>
  <c r="Q8" i="17" l="1"/>
  <c r="G103" i="80"/>
  <c r="Q9" i="17" l="1"/>
  <c r="G104" i="80"/>
  <c r="Q10" i="17" l="1"/>
  <c r="G105" i="80"/>
  <c r="Q11" i="17" l="1"/>
  <c r="G106" i="80"/>
  <c r="Q12" i="17" l="1"/>
  <c r="G107" i="80"/>
  <c r="G108" i="80" l="1"/>
  <c r="Q13" i="17"/>
  <c r="Q14" i="17" l="1"/>
  <c r="G109" i="80"/>
  <c r="G110" i="80" l="1"/>
  <c r="R3" i="17"/>
  <c r="G111" i="80" s="1"/>
  <c r="H111" i="80" s="1"/>
  <c r="I111" i="80" s="1"/>
  <c r="J111" i="80" l="1"/>
  <c r="K111" i="80" s="1"/>
  <c r="L111" i="80"/>
  <c r="R4" i="17"/>
  <c r="R5" i="17" l="1"/>
  <c r="G112" i="80"/>
  <c r="G113" i="80" l="1"/>
  <c r="R6" i="17"/>
  <c r="G114" i="80" l="1"/>
  <c r="R7" i="17"/>
  <c r="R8" i="17" l="1"/>
  <c r="G115" i="80"/>
  <c r="G116" i="80" l="1"/>
  <c r="R9" i="17"/>
  <c r="G117" i="80" l="1"/>
  <c r="R10" i="17"/>
  <c r="R11" i="17" l="1"/>
  <c r="G118" i="80"/>
  <c r="R12" i="17" l="1"/>
  <c r="G119" i="80"/>
  <c r="H119" i="80" s="1"/>
  <c r="R13" i="17" l="1"/>
  <c r="G120" i="80"/>
  <c r="R14" i="17" l="1"/>
  <c r="G121" i="80"/>
  <c r="G122" i="80" l="1"/>
  <c r="G123" i="80" l="1"/>
  <c r="G124" i="80" l="1"/>
  <c r="G125" i="80" l="1"/>
  <c r="G126" i="80" l="1"/>
  <c r="G127" i="80" l="1"/>
  <c r="G128" i="80" l="1"/>
  <c r="G129" i="80" l="1"/>
  <c r="G130" i="80" l="1"/>
  <c r="G131" i="80" l="1"/>
  <c r="G132" i="80" l="1"/>
  <c r="G133" i="80" l="1"/>
  <c r="K42" i="11"/>
  <c r="K32" i="11"/>
  <c r="F363" i="76" s="1"/>
  <c r="E391" i="76" s="1"/>
  <c r="K28" i="11"/>
  <c r="K23" i="11"/>
  <c r="K19" i="11"/>
  <c r="I241" i="76" s="1"/>
  <c r="K15" i="11"/>
  <c r="I238" i="76" s="1"/>
  <c r="K38" i="11" l="1"/>
  <c r="F359" i="76"/>
  <c r="E387" i="76"/>
  <c r="F360" i="76"/>
  <c r="E388" i="76"/>
  <c r="G134" i="80"/>
  <c r="B352" i="76"/>
  <c r="G135" i="80" l="1"/>
  <c r="T4" i="17"/>
  <c r="G136" i="80" l="1"/>
  <c r="T5" i="17"/>
  <c r="B403" i="76"/>
  <c r="D403" i="76" s="1"/>
  <c r="E403" i="76" s="1"/>
  <c r="B405" i="76"/>
  <c r="B406" i="76"/>
  <c r="D406" i="76" s="1"/>
  <c r="E406" i="76" s="1"/>
  <c r="B407" i="76"/>
  <c r="D407" i="76" s="1"/>
  <c r="E407" i="76" s="1"/>
  <c r="B109" i="76"/>
  <c r="B108" i="76"/>
  <c r="B107" i="76"/>
  <c r="B106" i="76"/>
  <c r="B105" i="76"/>
  <c r="B104" i="76"/>
  <c r="A109" i="76"/>
  <c r="A108" i="76"/>
  <c r="A107" i="76"/>
  <c r="A106" i="76"/>
  <c r="A105" i="76"/>
  <c r="A104" i="76"/>
  <c r="B101" i="76"/>
  <c r="B100" i="76"/>
  <c r="B99" i="76"/>
  <c r="B31" i="83"/>
  <c r="B15" i="83"/>
  <c r="H30" i="83"/>
  <c r="I30" i="83" s="1"/>
  <c r="H26" i="83"/>
  <c r="I26" i="83" s="1"/>
  <c r="H23" i="83"/>
  <c r="I23" i="83" s="1"/>
  <c r="H21" i="83"/>
  <c r="I21" i="83" s="1"/>
  <c r="H14" i="83"/>
  <c r="I14" i="83" s="1"/>
  <c r="H13" i="83"/>
  <c r="I13" i="83" s="1"/>
  <c r="H12" i="83"/>
  <c r="I12" i="83" s="1"/>
  <c r="H11" i="83"/>
  <c r="I11" i="83" s="1"/>
  <c r="H10" i="83"/>
  <c r="I10" i="83" s="1"/>
  <c r="H9" i="83"/>
  <c r="I9" i="83" s="1"/>
  <c r="H8" i="83"/>
  <c r="I8" i="83" s="1"/>
  <c r="H7" i="83"/>
  <c r="I7" i="83" s="1"/>
  <c r="H6" i="83"/>
  <c r="I6" i="83" s="1"/>
  <c r="H5" i="83"/>
  <c r="I5" i="83" s="1"/>
  <c r="H4" i="83"/>
  <c r="I4" i="83" s="1"/>
  <c r="H3" i="83"/>
  <c r="I3" i="83" s="1"/>
  <c r="I234" i="76"/>
  <c r="F132" i="76"/>
  <c r="F133" i="76"/>
  <c r="F147" i="76" s="1"/>
  <c r="F134" i="76"/>
  <c r="F148" i="76" s="1"/>
  <c r="F135" i="76"/>
  <c r="F136" i="76"/>
  <c r="F150" i="76" s="1"/>
  <c r="E132" i="76"/>
  <c r="E133" i="76"/>
  <c r="E147" i="76" s="1"/>
  <c r="E134" i="76"/>
  <c r="E135" i="76"/>
  <c r="E136" i="76"/>
  <c r="B19" i="17"/>
  <c r="A9" i="76"/>
  <c r="K10" i="11"/>
  <c r="B162" i="80"/>
  <c r="K4" i="11" s="1"/>
  <c r="I230" i="76" s="1"/>
  <c r="H27" i="83" l="1"/>
  <c r="I27" i="83" s="1"/>
  <c r="F149" i="76"/>
  <c r="H24" i="83"/>
  <c r="I24" i="83" s="1"/>
  <c r="L24" i="83" s="1"/>
  <c r="H20" i="83"/>
  <c r="I20" i="83" s="1"/>
  <c r="M21" i="83" s="1"/>
  <c r="N21" i="83" s="1"/>
  <c r="T6" i="17"/>
  <c r="G137" i="80"/>
  <c r="H22" i="83"/>
  <c r="I22" i="83" s="1"/>
  <c r="M22" i="83" s="1"/>
  <c r="N22" i="83" s="1"/>
  <c r="H25" i="83"/>
  <c r="I25" i="83" s="1"/>
  <c r="J25" i="83" s="1"/>
  <c r="K25" i="83" s="1"/>
  <c r="B408" i="76"/>
  <c r="D408" i="76" s="1"/>
  <c r="E408" i="76" s="1"/>
  <c r="D405" i="76"/>
  <c r="E405" i="76" s="1"/>
  <c r="H28" i="83"/>
  <c r="I28" i="83" s="1"/>
  <c r="J28" i="83" s="1"/>
  <c r="K28" i="83" s="1"/>
  <c r="H19" i="83"/>
  <c r="I19" i="83" s="1"/>
  <c r="J19" i="83" s="1"/>
  <c r="K19" i="83" s="1"/>
  <c r="H29" i="83"/>
  <c r="I29" i="83" s="1"/>
  <c r="M30" i="83" s="1"/>
  <c r="N30" i="83" s="1"/>
  <c r="L21" i="83"/>
  <c r="J21" i="83"/>
  <c r="K21" i="83" s="1"/>
  <c r="L30" i="83"/>
  <c r="J30" i="83"/>
  <c r="K30" i="83" s="1"/>
  <c r="L23" i="83"/>
  <c r="J23" i="83"/>
  <c r="K23" i="83" s="1"/>
  <c r="J24" i="83"/>
  <c r="K24" i="83" s="1"/>
  <c r="M24" i="83"/>
  <c r="N24" i="83" s="1"/>
  <c r="J26" i="83"/>
  <c r="K26" i="83" s="1"/>
  <c r="L26" i="83"/>
  <c r="M27" i="83"/>
  <c r="N27" i="83" s="1"/>
  <c r="L27" i="83"/>
  <c r="J27" i="83"/>
  <c r="K27" i="83" s="1"/>
  <c r="J6" i="83"/>
  <c r="K6" i="83" s="1"/>
  <c r="L6" i="83"/>
  <c r="J13" i="83"/>
  <c r="K13" i="83" s="1"/>
  <c r="M13" i="83"/>
  <c r="N13" i="83" s="1"/>
  <c r="L13" i="83"/>
  <c r="M14" i="83"/>
  <c r="N14" i="83" s="1"/>
  <c r="J14" i="83"/>
  <c r="K14" i="83" s="1"/>
  <c r="L14" i="83"/>
  <c r="L3" i="83"/>
  <c r="J3" i="83"/>
  <c r="K3" i="83" s="1"/>
  <c r="M4" i="83"/>
  <c r="N4" i="83" s="1"/>
  <c r="J4" i="83"/>
  <c r="K4" i="83" s="1"/>
  <c r="L4" i="83"/>
  <c r="M5" i="83"/>
  <c r="N5" i="83" s="1"/>
  <c r="M6" i="83"/>
  <c r="N6" i="83" s="1"/>
  <c r="L5" i="83"/>
  <c r="J5" i="83"/>
  <c r="K5" i="83" s="1"/>
  <c r="L7" i="83"/>
  <c r="M7" i="83"/>
  <c r="N7" i="83" s="1"/>
  <c r="J7" i="83"/>
  <c r="K7" i="83" s="1"/>
  <c r="M8" i="83"/>
  <c r="N8" i="83" s="1"/>
  <c r="L8" i="83"/>
  <c r="J8" i="83"/>
  <c r="K8" i="83" s="1"/>
  <c r="M9" i="83"/>
  <c r="N9" i="83" s="1"/>
  <c r="L9" i="83"/>
  <c r="J9" i="83"/>
  <c r="K9" i="83" s="1"/>
  <c r="M10" i="83"/>
  <c r="N10" i="83" s="1"/>
  <c r="L10" i="83"/>
  <c r="J10" i="83"/>
  <c r="K10" i="83" s="1"/>
  <c r="L11" i="83"/>
  <c r="M11" i="83"/>
  <c r="N11" i="83" s="1"/>
  <c r="J11" i="83"/>
  <c r="K11" i="83" s="1"/>
  <c r="M12" i="83"/>
  <c r="N12" i="83" s="1"/>
  <c r="J12" i="83"/>
  <c r="K12" i="83" s="1"/>
  <c r="L12" i="83"/>
  <c r="B125" i="76"/>
  <c r="J20" i="83" l="1"/>
  <c r="K20" i="83" s="1"/>
  <c r="L20" i="83"/>
  <c r="M26" i="83"/>
  <c r="N26" i="83" s="1"/>
  <c r="L25" i="83"/>
  <c r="M25" i="83"/>
  <c r="N25" i="83" s="1"/>
  <c r="M23" i="83"/>
  <c r="N23" i="83" s="1"/>
  <c r="J22" i="83"/>
  <c r="K22" i="83" s="1"/>
  <c r="L22" i="83"/>
  <c r="G138" i="80"/>
  <c r="T7" i="17"/>
  <c r="M28" i="83"/>
  <c r="N28" i="83" s="1"/>
  <c r="M20" i="83"/>
  <c r="N20" i="83" s="1"/>
  <c r="L28" i="83"/>
  <c r="J29" i="83"/>
  <c r="K29" i="83" s="1"/>
  <c r="L29" i="83"/>
  <c r="L19" i="83"/>
  <c r="M29" i="83"/>
  <c r="N29" i="83" s="1"/>
  <c r="B12" i="17"/>
  <c r="H21" i="9" l="1"/>
  <c r="B168" i="76" s="1"/>
  <c r="T8" i="17"/>
  <c r="G139" i="80"/>
  <c r="B141" i="76"/>
  <c r="F12" i="9"/>
  <c r="T9" i="17" l="1"/>
  <c r="G140" i="80"/>
  <c r="B31" i="18"/>
  <c r="C25" i="18"/>
  <c r="B25" i="18"/>
  <c r="B217" i="76" s="1"/>
  <c r="B24" i="18"/>
  <c r="F12" i="17"/>
  <c r="E12" i="17"/>
  <c r="D12" i="17"/>
  <c r="B11" i="17"/>
  <c r="N12" i="9"/>
  <c r="B27" i="17" l="1"/>
  <c r="H12" i="17"/>
  <c r="G141" i="80"/>
  <c r="T10" i="17"/>
  <c r="D141" i="76"/>
  <c r="J21" i="9"/>
  <c r="D168" i="76" s="1"/>
  <c r="C141" i="76"/>
  <c r="I21" i="9"/>
  <c r="C168" i="76" s="1"/>
  <c r="K21" i="9"/>
  <c r="E141" i="76"/>
  <c r="L21" i="9"/>
  <c r="F168" i="76" s="1"/>
  <c r="F141" i="76"/>
  <c r="R17" i="17"/>
  <c r="H3" i="80"/>
  <c r="H4" i="80"/>
  <c r="I4" i="80" s="1"/>
  <c r="J4" i="80" s="1"/>
  <c r="K4" i="80" s="1"/>
  <c r="H5" i="80"/>
  <c r="I5" i="80" s="1"/>
  <c r="J5" i="80" s="1"/>
  <c r="K5" i="80" s="1"/>
  <c r="H6" i="80"/>
  <c r="I6" i="80" s="1"/>
  <c r="L6" i="80" s="1"/>
  <c r="H7" i="80"/>
  <c r="I7" i="80" s="1"/>
  <c r="H8" i="80"/>
  <c r="I8" i="80" s="1"/>
  <c r="H9" i="80"/>
  <c r="I9" i="80" s="1"/>
  <c r="H10" i="80"/>
  <c r="I10" i="80" s="1"/>
  <c r="H11" i="80"/>
  <c r="I11" i="80" s="1"/>
  <c r="H12" i="80"/>
  <c r="I12" i="80" s="1"/>
  <c r="H13" i="80"/>
  <c r="I13" i="80" s="1"/>
  <c r="H14" i="80"/>
  <c r="I14" i="80" s="1"/>
  <c r="H15" i="80"/>
  <c r="I15" i="80" s="1"/>
  <c r="J15" i="80" s="1"/>
  <c r="K15" i="80" s="1"/>
  <c r="H16" i="80"/>
  <c r="I16" i="80" s="1"/>
  <c r="J16" i="80" s="1"/>
  <c r="K16" i="80" s="1"/>
  <c r="H17" i="80"/>
  <c r="I17" i="80" s="1"/>
  <c r="L17" i="80" s="1"/>
  <c r="H18" i="80"/>
  <c r="I18" i="80" s="1"/>
  <c r="J18" i="80" s="1"/>
  <c r="K18" i="80" s="1"/>
  <c r="H19" i="80"/>
  <c r="I19" i="80" s="1"/>
  <c r="J19" i="80" s="1"/>
  <c r="K19" i="80" s="1"/>
  <c r="H20" i="80"/>
  <c r="I20" i="80" s="1"/>
  <c r="J20" i="80" s="1"/>
  <c r="K20" i="80" s="1"/>
  <c r="H21" i="80"/>
  <c r="I21" i="80" s="1"/>
  <c r="H22" i="80"/>
  <c r="I22" i="80" s="1"/>
  <c r="J22" i="80" s="1"/>
  <c r="K22" i="80" s="1"/>
  <c r="H23" i="80"/>
  <c r="I23" i="80" s="1"/>
  <c r="H24" i="80"/>
  <c r="H25" i="80"/>
  <c r="I25" i="80" s="1"/>
  <c r="H26" i="80"/>
  <c r="I26" i="80" s="1"/>
  <c r="J26" i="80" s="1"/>
  <c r="K26" i="80" s="1"/>
  <c r="H27" i="80"/>
  <c r="I27" i="80" s="1"/>
  <c r="J27" i="80" s="1"/>
  <c r="K27" i="80" s="1"/>
  <c r="H28" i="80"/>
  <c r="I28" i="80" s="1"/>
  <c r="H29" i="80"/>
  <c r="I29" i="80" s="1"/>
  <c r="H30" i="80"/>
  <c r="I30" i="80" s="1"/>
  <c r="H31" i="80"/>
  <c r="I31" i="80" s="1"/>
  <c r="J31" i="80" s="1"/>
  <c r="K31" i="80" s="1"/>
  <c r="H32" i="80"/>
  <c r="I32" i="80" s="1"/>
  <c r="H33" i="80"/>
  <c r="I33" i="80" s="1"/>
  <c r="J33" i="80" s="1"/>
  <c r="K33" i="80" s="1"/>
  <c r="H34" i="80"/>
  <c r="I34" i="80" s="1"/>
  <c r="J34" i="80" s="1"/>
  <c r="K34" i="80" s="1"/>
  <c r="H35" i="80"/>
  <c r="I35" i="80" s="1"/>
  <c r="J35" i="80" s="1"/>
  <c r="K35" i="80" s="1"/>
  <c r="H36" i="80"/>
  <c r="I36" i="80" s="1"/>
  <c r="J36" i="80" s="1"/>
  <c r="K36" i="80" s="1"/>
  <c r="H37" i="80"/>
  <c r="I37" i="80" s="1"/>
  <c r="J37" i="80" s="1"/>
  <c r="K37" i="80" s="1"/>
  <c r="H38" i="80"/>
  <c r="I38" i="80" s="1"/>
  <c r="J38" i="80" s="1"/>
  <c r="K38" i="80" s="1"/>
  <c r="H39" i="80"/>
  <c r="H40" i="80"/>
  <c r="I40" i="80" s="1"/>
  <c r="H41" i="80"/>
  <c r="I41" i="80" s="1"/>
  <c r="J41" i="80" s="1"/>
  <c r="K41" i="80" s="1"/>
  <c r="H42" i="80"/>
  <c r="I42" i="80" s="1"/>
  <c r="H43" i="80"/>
  <c r="I43" i="80" s="1"/>
  <c r="H44" i="80"/>
  <c r="I44" i="80" s="1"/>
  <c r="H45" i="80"/>
  <c r="I45" i="80" s="1"/>
  <c r="H46" i="80"/>
  <c r="I46" i="80" s="1"/>
  <c r="L46" i="80" s="1"/>
  <c r="H47" i="80"/>
  <c r="I47" i="80" s="1"/>
  <c r="H48" i="80"/>
  <c r="I48" i="80" s="1"/>
  <c r="H49" i="80"/>
  <c r="I49" i="80" s="1"/>
  <c r="H50" i="80"/>
  <c r="I50" i="80" s="1"/>
  <c r="H51" i="80"/>
  <c r="H52" i="80"/>
  <c r="I52" i="80" s="1"/>
  <c r="J52" i="80" s="1"/>
  <c r="K52" i="80" s="1"/>
  <c r="H53" i="80"/>
  <c r="I53" i="80" s="1"/>
  <c r="H54" i="80"/>
  <c r="I54" i="80" s="1"/>
  <c r="H55" i="80"/>
  <c r="I55" i="80" s="1"/>
  <c r="H56" i="80"/>
  <c r="I56" i="80" s="1"/>
  <c r="H57" i="80"/>
  <c r="I57" i="80" s="1"/>
  <c r="H58" i="80"/>
  <c r="I58" i="80" s="1"/>
  <c r="H59" i="80"/>
  <c r="I59" i="80" s="1"/>
  <c r="H60" i="80"/>
  <c r="I60" i="80" s="1"/>
  <c r="J60" i="80" s="1"/>
  <c r="K60" i="80" s="1"/>
  <c r="H61" i="80"/>
  <c r="I61" i="80" s="1"/>
  <c r="H62" i="80"/>
  <c r="I62" i="80" s="1"/>
  <c r="M63" i="80" s="1"/>
  <c r="N63" i="80" s="1"/>
  <c r="B153" i="80"/>
  <c r="B154" i="80"/>
  <c r="B155" i="80"/>
  <c r="B5" i="9" s="1"/>
  <c r="B118" i="76" s="1"/>
  <c r="B156" i="80"/>
  <c r="B157" i="80"/>
  <c r="B7" i="9" s="1"/>
  <c r="B120" i="76" s="1"/>
  <c r="B158" i="80"/>
  <c r="B8" i="9" s="1"/>
  <c r="B121" i="76" s="1"/>
  <c r="B159" i="80"/>
  <c r="B160" i="80"/>
  <c r="B161" i="80"/>
  <c r="D11" i="17"/>
  <c r="J22" i="11" s="1"/>
  <c r="H243" i="76" s="1"/>
  <c r="D19" i="17"/>
  <c r="D20" i="17"/>
  <c r="D21" i="17"/>
  <c r="D22" i="17"/>
  <c r="D8" i="17"/>
  <c r="D137" i="76" s="1"/>
  <c r="B8" i="17"/>
  <c r="C8" i="17"/>
  <c r="C137" i="76" s="1"/>
  <c r="E8" i="17"/>
  <c r="B9" i="17"/>
  <c r="H9" i="17" s="1"/>
  <c r="C9" i="17"/>
  <c r="H18" i="11" s="1"/>
  <c r="D9" i="17"/>
  <c r="H22" i="11" s="1"/>
  <c r="F243" i="76" s="1"/>
  <c r="E9" i="17"/>
  <c r="B10" i="17"/>
  <c r="C10" i="17"/>
  <c r="I18" i="11" s="1"/>
  <c r="G240" i="76" s="1"/>
  <c r="D10" i="17"/>
  <c r="I22" i="11" s="1"/>
  <c r="G243" i="76" s="1"/>
  <c r="E10" i="17"/>
  <c r="C11" i="17"/>
  <c r="C27" i="17" s="1"/>
  <c r="E11" i="17"/>
  <c r="E27" i="17" s="1"/>
  <c r="B20" i="17"/>
  <c r="B21" i="17"/>
  <c r="B22" i="17"/>
  <c r="C19" i="17"/>
  <c r="C20" i="17"/>
  <c r="C21" i="17"/>
  <c r="C22" i="17"/>
  <c r="E19" i="17"/>
  <c r="E20" i="17"/>
  <c r="E21" i="17"/>
  <c r="E22" i="17"/>
  <c r="F11" i="17"/>
  <c r="F19" i="17"/>
  <c r="F20" i="17"/>
  <c r="F21" i="17"/>
  <c r="F22" i="17"/>
  <c r="F8" i="17"/>
  <c r="F137" i="76" s="1"/>
  <c r="F151" i="76" s="1"/>
  <c r="C24" i="76"/>
  <c r="C54" i="76" s="1"/>
  <c r="C130" i="76" s="1"/>
  <c r="C144" i="76" s="1"/>
  <c r="D24" i="76"/>
  <c r="D54" i="76" s="1"/>
  <c r="D130" i="76" s="1"/>
  <c r="E24" i="76"/>
  <c r="E54" i="76" s="1"/>
  <c r="E130" i="76" s="1"/>
  <c r="F24" i="76"/>
  <c r="F54" i="76" s="1"/>
  <c r="F130" i="76" s="1"/>
  <c r="B24" i="76"/>
  <c r="B54" i="76" s="1"/>
  <c r="B130" i="76" s="1"/>
  <c r="B144" i="76" s="1"/>
  <c r="C14" i="11"/>
  <c r="C18" i="11"/>
  <c r="C22" i="11"/>
  <c r="C27" i="11"/>
  <c r="C31" i="11"/>
  <c r="D14" i="11"/>
  <c r="D18" i="11"/>
  <c r="D22" i="11"/>
  <c r="D27" i="11"/>
  <c r="D31" i="11"/>
  <c r="E14" i="11"/>
  <c r="E18" i="11"/>
  <c r="E22" i="11"/>
  <c r="C243" i="76" s="1"/>
  <c r="E27" i="11"/>
  <c r="E31" i="11"/>
  <c r="C247" i="76" s="1"/>
  <c r="F14" i="11"/>
  <c r="F18" i="11"/>
  <c r="D240" i="76" s="1"/>
  <c r="F22" i="11"/>
  <c r="D243" i="76" s="1"/>
  <c r="F27" i="11"/>
  <c r="D251" i="76" s="1"/>
  <c r="F31" i="11"/>
  <c r="D247" i="76" s="1"/>
  <c r="C15" i="11"/>
  <c r="C19" i="11"/>
  <c r="C23" i="11"/>
  <c r="C28" i="11"/>
  <c r="C32" i="11"/>
  <c r="D15" i="11"/>
  <c r="D19" i="11"/>
  <c r="D23" i="11"/>
  <c r="D28" i="11"/>
  <c r="D32" i="11"/>
  <c r="E15" i="11"/>
  <c r="C238" i="76" s="1"/>
  <c r="E19" i="11"/>
  <c r="C241" i="76" s="1"/>
  <c r="E23" i="11"/>
  <c r="C244" i="76" s="1"/>
  <c r="E28" i="11"/>
  <c r="C252" i="76" s="1"/>
  <c r="E32" i="11"/>
  <c r="C248" i="76" s="1"/>
  <c r="C24" i="11"/>
  <c r="C33" i="11"/>
  <c r="D24" i="11"/>
  <c r="D33" i="11"/>
  <c r="E24" i="11"/>
  <c r="C245" i="76" s="1"/>
  <c r="E33" i="11"/>
  <c r="C249" i="76" s="1"/>
  <c r="D2" i="18"/>
  <c r="B43" i="11" s="1"/>
  <c r="D3" i="18"/>
  <c r="C43" i="11" s="1"/>
  <c r="D4" i="18"/>
  <c r="D43" i="11" s="1"/>
  <c r="D5" i="18"/>
  <c r="D6" i="18"/>
  <c r="F43" i="11" s="1"/>
  <c r="D7" i="18"/>
  <c r="D8" i="18"/>
  <c r="H43" i="11" s="1"/>
  <c r="B24" i="11"/>
  <c r="B33" i="11"/>
  <c r="B15" i="11"/>
  <c r="B19" i="11"/>
  <c r="B28" i="11"/>
  <c r="B32" i="11"/>
  <c r="B14" i="11"/>
  <c r="B18" i="11"/>
  <c r="B22" i="11"/>
  <c r="B27" i="11"/>
  <c r="B31" i="11"/>
  <c r="J33" i="11"/>
  <c r="I33" i="11"/>
  <c r="G249" i="76" s="1"/>
  <c r="H33" i="11"/>
  <c r="F249" i="76" s="1"/>
  <c r="F33" i="11"/>
  <c r="D249" i="76" s="1"/>
  <c r="C16" i="18"/>
  <c r="C17" i="18"/>
  <c r="C18" i="18"/>
  <c r="C19" i="18"/>
  <c r="C20" i="18"/>
  <c r="C24" i="18"/>
  <c r="G49" i="11"/>
  <c r="A23" i="9"/>
  <c r="A28" i="9" s="1"/>
  <c r="A33" i="9" s="1"/>
  <c r="A37" i="9" s="1"/>
  <c r="A41" i="9" s="1"/>
  <c r="A22" i="9"/>
  <c r="A27" i="9" s="1"/>
  <c r="A32" i="9" s="1"/>
  <c r="A36" i="9" s="1"/>
  <c r="A40" i="9" s="1"/>
  <c r="C22" i="18"/>
  <c r="A13" i="18"/>
  <c r="C23" i="18"/>
  <c r="G33" i="11"/>
  <c r="C1" i="18"/>
  <c r="D10" i="18"/>
  <c r="J43" i="11" s="1"/>
  <c r="D9" i="18"/>
  <c r="I43" i="11" s="1"/>
  <c r="F10" i="17"/>
  <c r="F139" i="76" s="1"/>
  <c r="F9" i="17"/>
  <c r="A39" i="17"/>
  <c r="C21" i="18"/>
  <c r="D351" i="76"/>
  <c r="E351" i="76" s="1"/>
  <c r="D350" i="76"/>
  <c r="E350" i="76" s="1"/>
  <c r="D349" i="76"/>
  <c r="E349" i="76" s="1"/>
  <c r="D348" i="76"/>
  <c r="C325" i="76"/>
  <c r="B323" i="76"/>
  <c r="D323" i="76" s="1"/>
  <c r="E323" i="76" s="1"/>
  <c r="B324" i="76"/>
  <c r="B322" i="76"/>
  <c r="D322" i="76" s="1"/>
  <c r="E322" i="76" s="1"/>
  <c r="B320" i="76"/>
  <c r="D320" i="76" s="1"/>
  <c r="E320" i="76" s="1"/>
  <c r="C298" i="76"/>
  <c r="D295" i="76"/>
  <c r="E295" i="76" s="1"/>
  <c r="D296" i="76"/>
  <c r="E296" i="76" s="1"/>
  <c r="D294" i="76"/>
  <c r="E294" i="76" s="1"/>
  <c r="D292" i="76"/>
  <c r="E292" i="76" s="1"/>
  <c r="E275" i="76"/>
  <c r="E274" i="76"/>
  <c r="C267" i="76"/>
  <c r="B267" i="76"/>
  <c r="D262" i="76"/>
  <c r="D263" i="76"/>
  <c r="E263" i="76" s="1"/>
  <c r="D265" i="76"/>
  <c r="E265" i="76" s="1"/>
  <c r="D264" i="76"/>
  <c r="E264" i="76" s="1"/>
  <c r="D261" i="76"/>
  <c r="E261" i="76" s="1"/>
  <c r="E186" i="76"/>
  <c r="F186" i="76"/>
  <c r="D186" i="76"/>
  <c r="B132" i="76"/>
  <c r="C132" i="76"/>
  <c r="B133" i="76"/>
  <c r="C133" i="76"/>
  <c r="B134" i="76"/>
  <c r="C134" i="76"/>
  <c r="B135" i="76"/>
  <c r="C135" i="76"/>
  <c r="B136" i="76"/>
  <c r="C136" i="76"/>
  <c r="B140" i="76"/>
  <c r="B155" i="76" s="1"/>
  <c r="G55" i="76"/>
  <c r="A55" i="76"/>
  <c r="A85" i="76" s="1"/>
  <c r="G38" i="76"/>
  <c r="A49" i="76"/>
  <c r="A67" i="76" s="1"/>
  <c r="A26" i="76"/>
  <c r="A12" i="18"/>
  <c r="A11" i="18"/>
  <c r="A25" i="18" s="1"/>
  <c r="A10" i="18"/>
  <c r="A24" i="18" s="1"/>
  <c r="A9" i="18"/>
  <c r="A23" i="18" s="1"/>
  <c r="A8" i="18"/>
  <c r="A22" i="18" s="1"/>
  <c r="A7" i="18"/>
  <c r="A21" i="18" s="1"/>
  <c r="A6" i="18"/>
  <c r="A20" i="18" s="1"/>
  <c r="A5" i="18"/>
  <c r="A19" i="18" s="1"/>
  <c r="A4" i="18"/>
  <c r="A18" i="18" s="1"/>
  <c r="A3" i="18"/>
  <c r="A17" i="18" s="1"/>
  <c r="A2" i="18"/>
  <c r="A16" i="18" s="1"/>
  <c r="A26" i="17"/>
  <c r="A25" i="17"/>
  <c r="A24" i="17"/>
  <c r="A23" i="17"/>
  <c r="A22" i="17"/>
  <c r="A21" i="17"/>
  <c r="A20" i="17"/>
  <c r="A19" i="17"/>
  <c r="D136" i="76"/>
  <c r="D135" i="76"/>
  <c r="D134" i="76"/>
  <c r="D133" i="76"/>
  <c r="D132" i="76"/>
  <c r="F2" i="17"/>
  <c r="F38" i="17" s="1"/>
  <c r="E2" i="17"/>
  <c r="E38" i="17" s="1"/>
  <c r="D2" i="17"/>
  <c r="D38" i="17" s="1"/>
  <c r="C2" i="17"/>
  <c r="C38" i="17" s="1"/>
  <c r="B2" i="17"/>
  <c r="B38" i="17" s="1"/>
  <c r="B186" i="76"/>
  <c r="G10" i="9"/>
  <c r="N10" i="9" s="1"/>
  <c r="G9" i="9"/>
  <c r="N9" i="9" s="1"/>
  <c r="G8" i="9"/>
  <c r="G42" i="11" s="1"/>
  <c r="G7" i="9"/>
  <c r="F42" i="11" s="1"/>
  <c r="G6" i="9"/>
  <c r="E10" i="11" s="1"/>
  <c r="B12" i="76" s="1"/>
  <c r="G5" i="9"/>
  <c r="D10" i="11" s="1"/>
  <c r="B11" i="76" s="1"/>
  <c r="G4" i="9"/>
  <c r="C42" i="11" s="1"/>
  <c r="G3" i="9"/>
  <c r="B42" i="11" s="1"/>
  <c r="G48" i="11"/>
  <c r="L47" i="11"/>
  <c r="L51" i="11" s="1"/>
  <c r="K47" i="11"/>
  <c r="K51" i="11" s="1"/>
  <c r="H47" i="11"/>
  <c r="H51" i="11" s="1"/>
  <c r="G47" i="11"/>
  <c r="L46" i="11"/>
  <c r="L50" i="11" s="1"/>
  <c r="K46" i="11"/>
  <c r="K50" i="11" s="1"/>
  <c r="H46" i="11"/>
  <c r="H50" i="11" s="1"/>
  <c r="L45" i="11"/>
  <c r="L49" i="11" s="1"/>
  <c r="K45" i="11"/>
  <c r="K49" i="11"/>
  <c r="H45" i="11"/>
  <c r="H49" i="11" s="1"/>
  <c r="J32" i="11"/>
  <c r="I32" i="11"/>
  <c r="H32" i="11"/>
  <c r="F248" i="76" s="1"/>
  <c r="G32" i="11"/>
  <c r="E248" i="76" s="1"/>
  <c r="F32" i="11"/>
  <c r="D248" i="76" s="1"/>
  <c r="A30" i="11"/>
  <c r="J28" i="11"/>
  <c r="I28" i="11"/>
  <c r="G252" i="76" s="1"/>
  <c r="H28" i="11"/>
  <c r="F252" i="76" s="1"/>
  <c r="G28" i="11"/>
  <c r="E252" i="76" s="1"/>
  <c r="F28" i="11"/>
  <c r="D252" i="76" s="1"/>
  <c r="A26" i="11"/>
  <c r="J23" i="11"/>
  <c r="H244" i="76" s="1"/>
  <c r="I23" i="11"/>
  <c r="G244" i="76" s="1"/>
  <c r="H23" i="11"/>
  <c r="F244" i="76" s="1"/>
  <c r="G23" i="11"/>
  <c r="E244" i="76" s="1"/>
  <c r="F23" i="11"/>
  <c r="D244" i="76" s="1"/>
  <c r="A21" i="11"/>
  <c r="J19" i="11"/>
  <c r="I19" i="11"/>
  <c r="G241" i="76" s="1"/>
  <c r="H19" i="11"/>
  <c r="F241" i="76" s="1"/>
  <c r="G19" i="11"/>
  <c r="F19" i="11"/>
  <c r="D241" i="76" s="1"/>
  <c r="A17" i="11"/>
  <c r="J15" i="11"/>
  <c r="H238" i="76" s="1"/>
  <c r="I15" i="11"/>
  <c r="G238" i="76" s="1"/>
  <c r="H15" i="11"/>
  <c r="F238" i="76" s="1"/>
  <c r="G15" i="11"/>
  <c r="E238" i="76" s="1"/>
  <c r="F15" i="11"/>
  <c r="D238" i="76" s="1"/>
  <c r="J14" i="11"/>
  <c r="H237" i="76" s="1"/>
  <c r="A13" i="11"/>
  <c r="G160" i="76"/>
  <c r="G178" i="76" s="1"/>
  <c r="G191" i="76" s="1"/>
  <c r="A126" i="76"/>
  <c r="A162" i="76" s="1"/>
  <c r="A174" i="76" s="1"/>
  <c r="A125" i="76"/>
  <c r="G54" i="76"/>
  <c r="A54" i="76"/>
  <c r="A130" i="76" s="1"/>
  <c r="A160" i="76" s="1"/>
  <c r="H42" i="11"/>
  <c r="H10" i="11"/>
  <c r="B15" i="76" s="1"/>
  <c r="G11" i="9"/>
  <c r="N11" i="9" s="1"/>
  <c r="B23" i="18"/>
  <c r="B215" i="76" s="1"/>
  <c r="G24" i="11"/>
  <c r="E245" i="76" s="1"/>
  <c r="B20" i="18"/>
  <c r="B212" i="76" s="1"/>
  <c r="F24" i="11"/>
  <c r="D245" i="76" s="1"/>
  <c r="J24" i="11"/>
  <c r="H245" i="76" s="1"/>
  <c r="B216" i="76"/>
  <c r="B18" i="18"/>
  <c r="B210" i="76" s="1"/>
  <c r="H24" i="11"/>
  <c r="F245" i="76" s="1"/>
  <c r="B22" i="18"/>
  <c r="B214" i="76" s="1"/>
  <c r="B17" i="18"/>
  <c r="B209" i="76" s="1"/>
  <c r="I24" i="11"/>
  <c r="G245" i="76" s="1"/>
  <c r="G4" i="17"/>
  <c r="C41" i="11" s="1"/>
  <c r="G7" i="17"/>
  <c r="F41" i="11" s="1"/>
  <c r="G5" i="17"/>
  <c r="D41" i="11" s="1"/>
  <c r="G6" i="17"/>
  <c r="E41" i="11" s="1"/>
  <c r="G3" i="17"/>
  <c r="B41" i="11" s="1"/>
  <c r="B19" i="18"/>
  <c r="B211" i="76" s="1"/>
  <c r="B21" i="18"/>
  <c r="B213" i="76" s="1"/>
  <c r="G43" i="11"/>
  <c r="B16" i="18"/>
  <c r="E43" i="11"/>
  <c r="K18" i="11"/>
  <c r="K27" i="11"/>
  <c r="I251" i="76" s="1"/>
  <c r="K31" i="11"/>
  <c r="I247" i="76" s="1"/>
  <c r="K14" i="11"/>
  <c r="A90" i="76"/>
  <c r="G12" i="17"/>
  <c r="K41" i="11" s="1"/>
  <c r="K22" i="11"/>
  <c r="G248" i="76" l="1"/>
  <c r="F308" i="76"/>
  <c r="E335" i="76" s="1"/>
  <c r="E35" i="17"/>
  <c r="H252" i="76"/>
  <c r="F334" i="76"/>
  <c r="D26" i="76" a="1"/>
  <c r="D26" i="76" s="1"/>
  <c r="F26" i="76" a="1"/>
  <c r="F26" i="76" s="1"/>
  <c r="C251" i="76"/>
  <c r="O18" i="11"/>
  <c r="B137" i="76"/>
  <c r="H8" i="17"/>
  <c r="H11" i="17"/>
  <c r="D237" i="76"/>
  <c r="D254" i="76" s="1"/>
  <c r="P14" i="11"/>
  <c r="E26" i="76" a="1"/>
  <c r="E26" i="76" s="1"/>
  <c r="B139" i="76"/>
  <c r="H10" i="17"/>
  <c r="H248" i="76"/>
  <c r="F335" i="76"/>
  <c r="C240" i="76"/>
  <c r="O17" i="11"/>
  <c r="B26" i="76" a="1"/>
  <c r="B26" i="76" s="1"/>
  <c r="C237" i="76"/>
  <c r="O16" i="11"/>
  <c r="O14" i="11"/>
  <c r="B35" i="17"/>
  <c r="E168" i="76"/>
  <c r="K22" i="9"/>
  <c r="E174" i="76" s="1"/>
  <c r="C333" i="76"/>
  <c r="B361" i="76" s="1"/>
  <c r="F273" i="76"/>
  <c r="E304" i="76" s="1"/>
  <c r="F277" i="76"/>
  <c r="C363" i="76"/>
  <c r="F275" i="76"/>
  <c r="E306" i="76" s="1"/>
  <c r="C306" i="76"/>
  <c r="B333" i="76" s="1"/>
  <c r="C362" i="76"/>
  <c r="C331" i="76"/>
  <c r="C305" i="76"/>
  <c r="B332" i="76" s="1"/>
  <c r="F307" i="76"/>
  <c r="E334" i="76" s="1"/>
  <c r="F305" i="76"/>
  <c r="E332" i="76" s="1"/>
  <c r="E308" i="76"/>
  <c r="B391" i="76"/>
  <c r="I391" i="76" s="1"/>
  <c r="B390" i="76"/>
  <c r="F276" i="76"/>
  <c r="F274" i="76"/>
  <c r="I3" i="80"/>
  <c r="J3" i="80" s="1"/>
  <c r="K3" i="80" s="1"/>
  <c r="H153" i="80"/>
  <c r="E241" i="76"/>
  <c r="C26" i="76" a="1"/>
  <c r="E363" i="76"/>
  <c r="C256" i="76"/>
  <c r="C255" i="76"/>
  <c r="F331" i="76"/>
  <c r="F306" i="76"/>
  <c r="G256" i="76"/>
  <c r="D256" i="76"/>
  <c r="F333" i="76"/>
  <c r="D255" i="76"/>
  <c r="F304" i="76"/>
  <c r="E331" i="76" s="1"/>
  <c r="G255" i="76"/>
  <c r="F256" i="76"/>
  <c r="F255" i="76"/>
  <c r="G141" i="76"/>
  <c r="C144" i="80"/>
  <c r="D141" i="80"/>
  <c r="D142" i="80"/>
  <c r="C141" i="80"/>
  <c r="C146" i="80"/>
  <c r="C208" i="76" a="1"/>
  <c r="C208" i="76" s="1"/>
  <c r="B10" i="11"/>
  <c r="B9" i="76" s="1"/>
  <c r="C9" i="76" s="1"/>
  <c r="D145" i="80"/>
  <c r="D144" i="80"/>
  <c r="T11" i="17"/>
  <c r="G142" i="80"/>
  <c r="C39" i="11"/>
  <c r="H27" i="11"/>
  <c r="F251" i="76" s="1"/>
  <c r="E138" i="76"/>
  <c r="E23" i="17"/>
  <c r="E33" i="17" s="1"/>
  <c r="E156" i="76" s="1"/>
  <c r="E137" i="76"/>
  <c r="J31" i="11"/>
  <c r="H247" i="76" s="1"/>
  <c r="F140" i="76"/>
  <c r="F154" i="76" s="1"/>
  <c r="E140" i="76"/>
  <c r="E155" i="76" s="1"/>
  <c r="I27" i="11"/>
  <c r="G251" i="76" s="1"/>
  <c r="E139" i="76"/>
  <c r="H31" i="11"/>
  <c r="F247" i="76" s="1"/>
  <c r="F138" i="76"/>
  <c r="F152" i="76" s="1"/>
  <c r="D39" i="11"/>
  <c r="D56" i="11" s="1"/>
  <c r="D38" i="11"/>
  <c r="J42" i="11"/>
  <c r="I35" i="9"/>
  <c r="C186" i="76" s="1"/>
  <c r="J10" i="11"/>
  <c r="B17" i="76" s="1"/>
  <c r="E38" i="11"/>
  <c r="I10" i="11"/>
  <c r="B16" i="76" s="1"/>
  <c r="C16" i="76" s="1"/>
  <c r="J38" i="11"/>
  <c r="C234" i="76" a="1"/>
  <c r="H234" i="76" s="1"/>
  <c r="I39" i="11"/>
  <c r="I56" i="11" s="1"/>
  <c r="I240" i="76"/>
  <c r="F144" i="76"/>
  <c r="F160" i="76"/>
  <c r="F166" i="76" s="1"/>
  <c r="F172" i="76" s="1"/>
  <c r="F38" i="11"/>
  <c r="F55" i="11" s="1"/>
  <c r="E144" i="76"/>
  <c r="E160" i="76"/>
  <c r="I243" i="76"/>
  <c r="F39" i="11"/>
  <c r="F56" i="11" s="1"/>
  <c r="C29" i="18"/>
  <c r="C38" i="11"/>
  <c r="C55" i="11" s="1"/>
  <c r="H38" i="11"/>
  <c r="H55" i="11" s="1"/>
  <c r="B208" i="76"/>
  <c r="B29" i="18"/>
  <c r="B27" i="18" s="1"/>
  <c r="N7" i="9"/>
  <c r="B38" i="11"/>
  <c r="B55" i="11" s="1"/>
  <c r="I237" i="76"/>
  <c r="I42" i="11"/>
  <c r="I38" i="11"/>
  <c r="B39" i="11"/>
  <c r="B56" i="11" s="1"/>
  <c r="H241" i="76"/>
  <c r="N8" i="9"/>
  <c r="J39" i="11"/>
  <c r="J56" i="11" s="1"/>
  <c r="C254" i="76"/>
  <c r="B147" i="76"/>
  <c r="F24" i="17"/>
  <c r="I31" i="11"/>
  <c r="G247" i="76" s="1"/>
  <c r="F25" i="17"/>
  <c r="P17" i="17"/>
  <c r="G4" i="11"/>
  <c r="E230" i="76" s="1"/>
  <c r="B11" i="9"/>
  <c r="B124" i="76" s="1"/>
  <c r="J4" i="11"/>
  <c r="H230" i="76" s="1"/>
  <c r="C162" i="80"/>
  <c r="B10" i="9"/>
  <c r="B123" i="76" s="1"/>
  <c r="I4" i="11"/>
  <c r="G230" i="76" s="1"/>
  <c r="B24" i="17"/>
  <c r="C156" i="80"/>
  <c r="E4" i="11"/>
  <c r="C230" i="76" s="1"/>
  <c r="D4" i="11"/>
  <c r="B4" i="9"/>
  <c r="B117" i="76" s="1"/>
  <c r="C4" i="11"/>
  <c r="B9" i="9"/>
  <c r="F9" i="9" s="1"/>
  <c r="H4" i="11"/>
  <c r="F230" i="76" s="1"/>
  <c r="F4" i="11"/>
  <c r="D230" i="76" s="1"/>
  <c r="B3" i="9"/>
  <c r="B116" i="76" s="1"/>
  <c r="B4" i="11"/>
  <c r="G136" i="76"/>
  <c r="G135" i="76"/>
  <c r="G133" i="76"/>
  <c r="G134" i="76"/>
  <c r="G132" i="76"/>
  <c r="E39" i="11"/>
  <c r="E56" i="11" s="1"/>
  <c r="H249" i="76"/>
  <c r="I14" i="11"/>
  <c r="I22" i="9"/>
  <c r="C139" i="76"/>
  <c r="G14" i="11"/>
  <c r="C140" i="76"/>
  <c r="C155" i="76" s="1"/>
  <c r="C155" i="80"/>
  <c r="D23" i="17"/>
  <c r="D35" i="17" s="1"/>
  <c r="D31" i="17" s="1"/>
  <c r="C154" i="80"/>
  <c r="J18" i="11"/>
  <c r="H240" i="76" s="1"/>
  <c r="C23" i="17"/>
  <c r="C35" i="17" s="1"/>
  <c r="G18" i="11"/>
  <c r="E240" i="76" s="1"/>
  <c r="F23" i="17"/>
  <c r="F35" i="17" s="1"/>
  <c r="G8" i="17"/>
  <c r="G41" i="11" s="1"/>
  <c r="C158" i="80"/>
  <c r="G9" i="17"/>
  <c r="H41" i="11" s="1"/>
  <c r="D138" i="76"/>
  <c r="D152" i="76" s="1"/>
  <c r="J27" i="11"/>
  <c r="H251" i="76" s="1"/>
  <c r="H14" i="11"/>
  <c r="G27" i="11"/>
  <c r="E251" i="76" s="1"/>
  <c r="C24" i="17"/>
  <c r="G10" i="17"/>
  <c r="I41" i="11" s="1"/>
  <c r="O17" i="17"/>
  <c r="E24" i="17"/>
  <c r="C138" i="76"/>
  <c r="B25" i="17"/>
  <c r="B138" i="76"/>
  <c r="C25" i="17"/>
  <c r="E25" i="17"/>
  <c r="F27" i="17"/>
  <c r="G11" i="17"/>
  <c r="J41" i="11" s="1"/>
  <c r="D139" i="76"/>
  <c r="B26" i="17"/>
  <c r="B23" i="17"/>
  <c r="B33" i="17" s="1"/>
  <c r="B156" i="76" s="1"/>
  <c r="D27" i="17"/>
  <c r="D25" i="17"/>
  <c r="D140" i="76"/>
  <c r="D155" i="76" s="1"/>
  <c r="C26" i="17"/>
  <c r="D24" i="17"/>
  <c r="E26" i="17"/>
  <c r="C37" i="11"/>
  <c r="C54" i="11" s="1"/>
  <c r="C161" i="80"/>
  <c r="D37" i="11"/>
  <c r="D54" i="11" s="1"/>
  <c r="G22" i="11"/>
  <c r="E243" i="76" s="1"/>
  <c r="G31" i="11"/>
  <c r="E247" i="76" s="1"/>
  <c r="D26" i="17"/>
  <c r="B1" i="18"/>
  <c r="Q17" i="17"/>
  <c r="F26" i="17"/>
  <c r="C157" i="80"/>
  <c r="B6" i="9"/>
  <c r="B119" i="76" s="1"/>
  <c r="H22" i="9"/>
  <c r="H23" i="9" s="1"/>
  <c r="G39" i="11"/>
  <c r="G56" i="11" s="1"/>
  <c r="G50" i="11"/>
  <c r="G10" i="11"/>
  <c r="B14" i="76" s="1"/>
  <c r="C15" i="76" s="1"/>
  <c r="D42" i="11"/>
  <c r="F37" i="11"/>
  <c r="F54" i="11" s="1"/>
  <c r="F10" i="11"/>
  <c r="B13" i="76" s="1"/>
  <c r="B37" i="11"/>
  <c r="E37" i="11"/>
  <c r="F12" i="76" s="1"/>
  <c r="E42" i="11"/>
  <c r="E55" i="11" s="1"/>
  <c r="C10" i="11"/>
  <c r="B10" i="76" s="1"/>
  <c r="G52" i="11"/>
  <c r="G38" i="11"/>
  <c r="G55" i="11" s="1"/>
  <c r="G51" i="11"/>
  <c r="F5" i="9"/>
  <c r="C159" i="80"/>
  <c r="C160" i="80"/>
  <c r="F7" i="9"/>
  <c r="C142" i="80"/>
  <c r="C150" i="76"/>
  <c r="E148" i="76"/>
  <c r="C149" i="76"/>
  <c r="A10" i="76"/>
  <c r="C151" i="76"/>
  <c r="B151" i="76"/>
  <c r="D149" i="76"/>
  <c r="D144" i="76"/>
  <c r="D160" i="76"/>
  <c r="D267" i="76"/>
  <c r="E267" i="76" s="1"/>
  <c r="C160" i="76"/>
  <c r="C166" i="76" s="1"/>
  <c r="C172" i="76" s="1"/>
  <c r="B160" i="76"/>
  <c r="B166" i="76" s="1"/>
  <c r="B172" i="76" s="1"/>
  <c r="B298" i="76"/>
  <c r="D298" i="76" s="1"/>
  <c r="E298" i="76" s="1"/>
  <c r="B149" i="76"/>
  <c r="D150" i="76"/>
  <c r="A96" i="76"/>
  <c r="B154" i="76"/>
  <c r="E150" i="76"/>
  <c r="A178" i="76"/>
  <c r="A166" i="76"/>
  <c r="A172" i="76" s="1"/>
  <c r="A196" i="76"/>
  <c r="A180" i="76"/>
  <c r="A193" i="76" s="1"/>
  <c r="A201" i="76" s="1"/>
  <c r="A224" i="76" s="1"/>
  <c r="I276" i="76"/>
  <c r="I275" i="76"/>
  <c r="D324" i="76"/>
  <c r="E324" i="76" s="1"/>
  <c r="B325" i="76"/>
  <c r="D325" i="76" s="1"/>
  <c r="E325" i="76" s="1"/>
  <c r="B150" i="76"/>
  <c r="D352" i="76"/>
  <c r="E352" i="76" s="1"/>
  <c r="D347" i="76"/>
  <c r="E347" i="76" s="1"/>
  <c r="I274" i="76"/>
  <c r="C12" i="76"/>
  <c r="A73" i="76"/>
  <c r="A40" i="76"/>
  <c r="A116" i="76"/>
  <c r="A132" i="76" s="1"/>
  <c r="D147" i="76"/>
  <c r="C147" i="76"/>
  <c r="C148" i="76"/>
  <c r="D293" i="76"/>
  <c r="B148" i="76"/>
  <c r="D148" i="76"/>
  <c r="D151" i="76"/>
  <c r="F240" i="76"/>
  <c r="E149" i="76"/>
  <c r="H155" i="80"/>
  <c r="H157" i="80"/>
  <c r="H154" i="80"/>
  <c r="H156" i="80"/>
  <c r="J59" i="80"/>
  <c r="K59" i="80" s="1"/>
  <c r="L59" i="80"/>
  <c r="L34" i="80"/>
  <c r="I39" i="80"/>
  <c r="M39" i="80" s="1"/>
  <c r="N39" i="80" s="1"/>
  <c r="L50" i="80"/>
  <c r="J50" i="80"/>
  <c r="K50" i="80" s="1"/>
  <c r="J32" i="80"/>
  <c r="K32" i="80" s="1"/>
  <c r="L32" i="80"/>
  <c r="M32" i="80"/>
  <c r="N32" i="80" s="1"/>
  <c r="J21" i="80"/>
  <c r="K21" i="80" s="1"/>
  <c r="L21" i="80"/>
  <c r="M21" i="80"/>
  <c r="N21" i="80" s="1"/>
  <c r="M23" i="80"/>
  <c r="N23" i="80" s="1"/>
  <c r="J23" i="80"/>
  <c r="K23" i="80" s="1"/>
  <c r="L23" i="80"/>
  <c r="L25" i="80"/>
  <c r="M38" i="80"/>
  <c r="N38" i="80" s="1"/>
  <c r="L33" i="80"/>
  <c r="L38" i="80"/>
  <c r="L31" i="80"/>
  <c r="M33" i="80"/>
  <c r="N33" i="80" s="1"/>
  <c r="M34" i="80"/>
  <c r="N34" i="80" s="1"/>
  <c r="I24" i="80"/>
  <c r="J24" i="80" s="1"/>
  <c r="K24" i="80" s="1"/>
  <c r="L15" i="80"/>
  <c r="M36" i="80"/>
  <c r="N36" i="80" s="1"/>
  <c r="I51" i="80"/>
  <c r="M52" i="80" s="1"/>
  <c r="N52" i="80" s="1"/>
  <c r="L52" i="80"/>
  <c r="L36" i="80"/>
  <c r="J48" i="80"/>
  <c r="K48" i="80" s="1"/>
  <c r="L48" i="80"/>
  <c r="M48" i="80"/>
  <c r="N48" i="80" s="1"/>
  <c r="L28" i="80"/>
  <c r="J28" i="80"/>
  <c r="K28" i="80" s="1"/>
  <c r="M28" i="80"/>
  <c r="N28" i="80" s="1"/>
  <c r="M13" i="80"/>
  <c r="N13" i="80" s="1"/>
  <c r="J13" i="80"/>
  <c r="K13" i="80" s="1"/>
  <c r="L13" i="80"/>
  <c r="J30" i="80"/>
  <c r="K30" i="80" s="1"/>
  <c r="L30" i="80"/>
  <c r="M31" i="80"/>
  <c r="N31" i="80" s="1"/>
  <c r="M30" i="80"/>
  <c r="N30" i="80" s="1"/>
  <c r="L29" i="80"/>
  <c r="M29" i="80"/>
  <c r="N29" i="80" s="1"/>
  <c r="J29" i="80"/>
  <c r="K29" i="80" s="1"/>
  <c r="M15" i="80"/>
  <c r="N15" i="80" s="1"/>
  <c r="L14" i="80"/>
  <c r="J14" i="80"/>
  <c r="K14" i="80" s="1"/>
  <c r="M14" i="80"/>
  <c r="N14" i="80" s="1"/>
  <c r="J47" i="80"/>
  <c r="K47" i="80" s="1"/>
  <c r="M47" i="80"/>
  <c r="N47" i="80" s="1"/>
  <c r="L47" i="80"/>
  <c r="L12" i="80"/>
  <c r="M12" i="80"/>
  <c r="N12" i="80" s="1"/>
  <c r="J12" i="80"/>
  <c r="K12" i="80" s="1"/>
  <c r="J46" i="80"/>
  <c r="K46" i="80" s="1"/>
  <c r="M46" i="80"/>
  <c r="N46" i="80" s="1"/>
  <c r="J11" i="80"/>
  <c r="K11" i="80" s="1"/>
  <c r="L11" i="80"/>
  <c r="M11" i="80"/>
  <c r="N11" i="80" s="1"/>
  <c r="M45" i="80"/>
  <c r="N45" i="80" s="1"/>
  <c r="J45" i="80"/>
  <c r="K45" i="80" s="1"/>
  <c r="L45" i="80"/>
  <c r="M10" i="80"/>
  <c r="N10" i="80" s="1"/>
  <c r="J10" i="80"/>
  <c r="K10" i="80" s="1"/>
  <c r="L10" i="80"/>
  <c r="J62" i="80"/>
  <c r="K62" i="80" s="1"/>
  <c r="L62" i="80"/>
  <c r="M62" i="80"/>
  <c r="N62" i="80" s="1"/>
  <c r="L40" i="80"/>
  <c r="J40" i="80"/>
  <c r="K40" i="80" s="1"/>
  <c r="J61" i="80"/>
  <c r="K61" i="80" s="1"/>
  <c r="M61" i="80"/>
  <c r="N61" i="80" s="1"/>
  <c r="L61" i="80"/>
  <c r="M59" i="80"/>
  <c r="N59" i="80" s="1"/>
  <c r="J58" i="80"/>
  <c r="K58" i="80" s="1"/>
  <c r="L58" i="80"/>
  <c r="M58" i="80"/>
  <c r="N58" i="80" s="1"/>
  <c r="J9" i="80"/>
  <c r="K9" i="80" s="1"/>
  <c r="M9" i="80"/>
  <c r="N9" i="80" s="1"/>
  <c r="L9" i="80"/>
  <c r="J57" i="80"/>
  <c r="K57" i="80" s="1"/>
  <c r="M57" i="80"/>
  <c r="N57" i="80" s="1"/>
  <c r="L57" i="80"/>
  <c r="J44" i="80"/>
  <c r="K44" i="80" s="1"/>
  <c r="M44" i="80"/>
  <c r="N44" i="80" s="1"/>
  <c r="L44" i="80"/>
  <c r="J43" i="80"/>
  <c r="K43" i="80" s="1"/>
  <c r="M43" i="80"/>
  <c r="N43" i="80" s="1"/>
  <c r="L43" i="80"/>
  <c r="M42" i="80"/>
  <c r="N42" i="80" s="1"/>
  <c r="L42" i="80"/>
  <c r="J42" i="80"/>
  <c r="K42" i="80" s="1"/>
  <c r="J56" i="80"/>
  <c r="K56" i="80" s="1"/>
  <c r="L56" i="80"/>
  <c r="M56" i="80"/>
  <c r="N56" i="80" s="1"/>
  <c r="J7" i="80"/>
  <c r="K7" i="80" s="1"/>
  <c r="L7" i="80"/>
  <c r="M7" i="80"/>
  <c r="N7" i="80" s="1"/>
  <c r="M55" i="80"/>
  <c r="N55" i="80" s="1"/>
  <c r="L55" i="80"/>
  <c r="J55" i="80"/>
  <c r="K55" i="80" s="1"/>
  <c r="M49" i="80"/>
  <c r="N49" i="80" s="1"/>
  <c r="J54" i="80"/>
  <c r="K54" i="80" s="1"/>
  <c r="L54" i="80"/>
  <c r="M54" i="80"/>
  <c r="N54" i="80" s="1"/>
  <c r="L8" i="80"/>
  <c r="J8" i="80"/>
  <c r="K8" i="80" s="1"/>
  <c r="M8" i="80"/>
  <c r="N8" i="80" s="1"/>
  <c r="M41" i="80"/>
  <c r="N41" i="80" s="1"/>
  <c r="J53" i="80"/>
  <c r="K53" i="80" s="1"/>
  <c r="L53" i="80"/>
  <c r="M53" i="80"/>
  <c r="N53" i="80" s="1"/>
  <c r="J25" i="80"/>
  <c r="K25" i="80" s="1"/>
  <c r="J49" i="80"/>
  <c r="K49" i="80" s="1"/>
  <c r="M50" i="80"/>
  <c r="N50" i="80" s="1"/>
  <c r="M17" i="80"/>
  <c r="N17" i="80" s="1"/>
  <c r="L49" i="80"/>
  <c r="J6" i="80"/>
  <c r="K6" i="80" s="1"/>
  <c r="L18" i="80"/>
  <c r="L60" i="80"/>
  <c r="J17" i="80"/>
  <c r="K17" i="80" s="1"/>
  <c r="M6" i="80"/>
  <c r="N6" i="80" s="1"/>
  <c r="M60" i="80"/>
  <c r="N60" i="80" s="1"/>
  <c r="M27" i="80"/>
  <c r="N27" i="80" s="1"/>
  <c r="M18" i="80"/>
  <c r="N18" i="80" s="1"/>
  <c r="L4" i="80"/>
  <c r="M16" i="80"/>
  <c r="N16" i="80" s="1"/>
  <c r="L27" i="80"/>
  <c r="L20" i="80"/>
  <c r="L22" i="80"/>
  <c r="L5" i="80"/>
  <c r="M5" i="80"/>
  <c r="N5" i="80" s="1"/>
  <c r="L16" i="80"/>
  <c r="M19" i="80"/>
  <c r="N19" i="80" s="1"/>
  <c r="M35" i="80"/>
  <c r="N35" i="80" s="1"/>
  <c r="M37" i="80"/>
  <c r="N37" i="80" s="1"/>
  <c r="M26" i="80"/>
  <c r="N26" i="80" s="1"/>
  <c r="L19" i="80"/>
  <c r="M20" i="80"/>
  <c r="N20" i="80" s="1"/>
  <c r="M22" i="80"/>
  <c r="N22" i="80" s="1"/>
  <c r="L35" i="80"/>
  <c r="L37" i="80"/>
  <c r="L26" i="80"/>
  <c r="L41" i="80"/>
  <c r="F8" i="9"/>
  <c r="C56" i="11"/>
  <c r="H39" i="11"/>
  <c r="H56" i="11" s="1"/>
  <c r="E249" i="76"/>
  <c r="K37" i="11"/>
  <c r="F18" i="76" s="1"/>
  <c r="D146" i="80"/>
  <c r="C143" i="80"/>
  <c r="D143" i="80"/>
  <c r="C145" i="80"/>
  <c r="L3" i="80" l="1"/>
  <c r="M4" i="80"/>
  <c r="N4" i="80" s="1"/>
  <c r="E281" i="76"/>
  <c r="F281" i="76" s="1"/>
  <c r="B359" i="76"/>
  <c r="D55" i="11"/>
  <c r="E31" i="17"/>
  <c r="J55" i="11"/>
  <c r="O19" i="11"/>
  <c r="F237" i="76"/>
  <c r="F254" i="76" s="1"/>
  <c r="R14" i="11"/>
  <c r="I23" i="9"/>
  <c r="C175" i="76" s="1"/>
  <c r="C174" i="76"/>
  <c r="G237" i="76"/>
  <c r="C304" i="76" s="1"/>
  <c r="S14" i="11"/>
  <c r="E237" i="76"/>
  <c r="Q14" i="11"/>
  <c r="C33" i="17"/>
  <c r="C156" i="76" s="1"/>
  <c r="F9" i="76"/>
  <c r="P12" i="11"/>
  <c r="F155" i="76"/>
  <c r="F153" i="76"/>
  <c r="C361" i="76"/>
  <c r="B389" i="76" s="1"/>
  <c r="H275" i="76"/>
  <c r="C332" i="76"/>
  <c r="C335" i="76"/>
  <c r="B363" i="76" s="1"/>
  <c r="C308" i="76"/>
  <c r="C307" i="76"/>
  <c r="C360" i="76"/>
  <c r="F332" i="76"/>
  <c r="E360" i="76" s="1"/>
  <c r="E333" i="76"/>
  <c r="I332" i="76"/>
  <c r="E307" i="76"/>
  <c r="J335" i="76"/>
  <c r="J333" i="76"/>
  <c r="E305" i="76"/>
  <c r="J331" i="76"/>
  <c r="E311" i="76"/>
  <c r="F311" i="76" s="1"/>
  <c r="H255" i="76"/>
  <c r="E362" i="76"/>
  <c r="E255" i="76"/>
  <c r="C26" i="76"/>
  <c r="G34" i="76"/>
  <c r="G33" i="76"/>
  <c r="G27" i="76"/>
  <c r="G32" i="76"/>
  <c r="G28" i="76"/>
  <c r="G31" i="76"/>
  <c r="G29" i="76"/>
  <c r="G30" i="76"/>
  <c r="C273" i="76" a="1"/>
  <c r="H256" i="76"/>
  <c r="E256" i="76"/>
  <c r="B175" i="76"/>
  <c r="B174" i="76"/>
  <c r="C10" i="76"/>
  <c r="E361" i="76"/>
  <c r="C153" i="76"/>
  <c r="C17" i="76"/>
  <c r="B219" i="76"/>
  <c r="A27" i="76"/>
  <c r="A117" i="76"/>
  <c r="A133" i="76" s="1"/>
  <c r="A147" i="76" s="1"/>
  <c r="A209" i="76" s="1"/>
  <c r="T12" i="17"/>
  <c r="G143" i="80"/>
  <c r="E154" i="76"/>
  <c r="N17" i="17"/>
  <c r="B31" i="17"/>
  <c r="B157" i="76" s="1"/>
  <c r="G65" i="80"/>
  <c r="E153" i="76"/>
  <c r="F31" i="17"/>
  <c r="F157" i="76" s="1"/>
  <c r="F33" i="17"/>
  <c r="F156" i="76" s="1"/>
  <c r="C31" i="17"/>
  <c r="I55" i="11"/>
  <c r="C234" i="76"/>
  <c r="I254" i="76"/>
  <c r="C359" i="76"/>
  <c r="E234" i="76"/>
  <c r="C219" i="76"/>
  <c r="C27" i="18"/>
  <c r="G234" i="76"/>
  <c r="D234" i="76"/>
  <c r="F234" i="76"/>
  <c r="J39" i="80"/>
  <c r="K39" i="80" s="1"/>
  <c r="L39" i="80"/>
  <c r="G254" i="76"/>
  <c r="E254" i="76"/>
  <c r="C334" i="76"/>
  <c r="H254" i="76"/>
  <c r="F11" i="9"/>
  <c r="G139" i="76"/>
  <c r="B122" i="76"/>
  <c r="I37" i="11"/>
  <c r="F16" i="76" s="1"/>
  <c r="F4" i="9"/>
  <c r="D157" i="76"/>
  <c r="F3" i="9"/>
  <c r="I153" i="80"/>
  <c r="J153" i="80" s="1"/>
  <c r="K153" i="80" s="1"/>
  <c r="B5" i="11"/>
  <c r="B6" i="11" s="1"/>
  <c r="F10" i="9"/>
  <c r="G140" i="76"/>
  <c r="C6" i="9"/>
  <c r="C119" i="76" s="1"/>
  <c r="I156" i="80"/>
  <c r="J156" i="80" s="1"/>
  <c r="K156" i="80" s="1"/>
  <c r="E5" i="11"/>
  <c r="C4" i="9"/>
  <c r="D4" i="9" s="1"/>
  <c r="E4" i="9" s="1"/>
  <c r="C5" i="11"/>
  <c r="C6" i="11" s="1"/>
  <c r="I154" i="80"/>
  <c r="J154" i="80" s="1"/>
  <c r="K154" i="80" s="1"/>
  <c r="G137" i="76"/>
  <c r="C7" i="9"/>
  <c r="D7" i="9" s="1"/>
  <c r="E7" i="9" s="1"/>
  <c r="I157" i="80"/>
  <c r="J157" i="80" s="1"/>
  <c r="K157" i="80" s="1"/>
  <c r="F5" i="11"/>
  <c r="D161" i="80"/>
  <c r="D5" i="11"/>
  <c r="D6" i="11" s="1"/>
  <c r="I155" i="80"/>
  <c r="J155" i="80" s="1"/>
  <c r="K155" i="80" s="1"/>
  <c r="B152" i="76"/>
  <c r="G138" i="76"/>
  <c r="D153" i="76"/>
  <c r="C11" i="76"/>
  <c r="C154" i="76"/>
  <c r="C14" i="76"/>
  <c r="D33" i="17"/>
  <c r="D156" i="76" s="1"/>
  <c r="C152" i="76"/>
  <c r="E152" i="76"/>
  <c r="H37" i="11"/>
  <c r="H54" i="11" s="1"/>
  <c r="E54" i="11"/>
  <c r="E151" i="76"/>
  <c r="B153" i="76"/>
  <c r="F6" i="9"/>
  <c r="J37" i="11"/>
  <c r="J54" i="11" s="1"/>
  <c r="K23" i="9"/>
  <c r="E175" i="76" s="1"/>
  <c r="G37" i="11"/>
  <c r="F11" i="76"/>
  <c r="G12" i="76" s="1"/>
  <c r="F10" i="76"/>
  <c r="G10" i="76" s="1"/>
  <c r="D154" i="76"/>
  <c r="B54" i="11"/>
  <c r="C13" i="76"/>
  <c r="F13" i="76"/>
  <c r="G13" i="76" s="1"/>
  <c r="A146" i="76"/>
  <c r="A208" i="76" s="1"/>
  <c r="C5" i="9"/>
  <c r="D5" i="9" s="1"/>
  <c r="E5" i="9" s="1"/>
  <c r="M40" i="80"/>
  <c r="N40" i="80" s="1"/>
  <c r="F178" i="76"/>
  <c r="F184" i="76" s="1"/>
  <c r="F191" i="76" s="1"/>
  <c r="C206" i="76" s="1"/>
  <c r="C222" i="76" s="1"/>
  <c r="A11" i="76"/>
  <c r="A28" i="76" s="1"/>
  <c r="A41" i="76"/>
  <c r="A88" i="76" s="1"/>
  <c r="A74" i="76"/>
  <c r="B178" i="76"/>
  <c r="B184" i="76" s="1"/>
  <c r="B191" i="76" s="1"/>
  <c r="C178" i="76"/>
  <c r="C184" i="76" s="1"/>
  <c r="C191" i="76" s="1"/>
  <c r="D166" i="76"/>
  <c r="D172" i="76" s="1"/>
  <c r="D178" i="76"/>
  <c r="D184" i="76" s="1"/>
  <c r="D191" i="76" s="1"/>
  <c r="E178" i="76"/>
  <c r="E184" i="76" s="1"/>
  <c r="E191" i="76" s="1"/>
  <c r="E166" i="76"/>
  <c r="E172" i="76" s="1"/>
  <c r="E338" i="76"/>
  <c r="F338" i="76" s="1"/>
  <c r="A58" i="76"/>
  <c r="A87" i="76"/>
  <c r="I359" i="76"/>
  <c r="B334" i="76"/>
  <c r="I334" i="76" s="1"/>
  <c r="C3" i="9"/>
  <c r="M24" i="80"/>
  <c r="N24" i="80" s="1"/>
  <c r="M25" i="80"/>
  <c r="N25" i="80" s="1"/>
  <c r="L24" i="80"/>
  <c r="M51" i="80"/>
  <c r="N51" i="80" s="1"/>
  <c r="L51" i="80"/>
  <c r="J51" i="80"/>
  <c r="K51" i="80" s="1"/>
  <c r="G307" i="76"/>
  <c r="K54" i="11"/>
  <c r="B331" i="76" l="1"/>
  <c r="J304" i="76"/>
  <c r="C336" i="76"/>
  <c r="B388" i="76"/>
  <c r="I388" i="76" s="1"/>
  <c r="E157" i="76"/>
  <c r="E162" i="76"/>
  <c r="E180" i="76" s="1"/>
  <c r="E193" i="76" s="1"/>
  <c r="B335" i="76"/>
  <c r="I335" i="76" s="1"/>
  <c r="B360" i="76"/>
  <c r="J332" i="76"/>
  <c r="J334" i="76"/>
  <c r="I333" i="76"/>
  <c r="C273" i="76"/>
  <c r="B308" i="76"/>
  <c r="B305" i="76"/>
  <c r="B306" i="76"/>
  <c r="B307" i="76"/>
  <c r="G26" i="76"/>
  <c r="I27" i="9"/>
  <c r="B387" i="76"/>
  <c r="G144" i="80"/>
  <c r="T13" i="17"/>
  <c r="M153" i="80"/>
  <c r="G66" i="80"/>
  <c r="C14" i="17"/>
  <c r="I28" i="9" s="1"/>
  <c r="I37" i="9" s="1"/>
  <c r="H64" i="80"/>
  <c r="I64" i="80" s="1"/>
  <c r="M64" i="80" s="1"/>
  <c r="N64" i="80" s="1"/>
  <c r="H65" i="80"/>
  <c r="I65" i="80" s="1"/>
  <c r="J65" i="80" s="1"/>
  <c r="K65" i="80" s="1"/>
  <c r="L18" i="11"/>
  <c r="C162" i="76"/>
  <c r="C180" i="76" s="1"/>
  <c r="C157" i="76"/>
  <c r="D14" i="17"/>
  <c r="I54" i="11"/>
  <c r="B366" i="76"/>
  <c r="C366" i="76" s="1"/>
  <c r="B338" i="76"/>
  <c r="C338" i="76" s="1"/>
  <c r="B362" i="76"/>
  <c r="D6" i="9"/>
  <c r="E6" i="9" s="1"/>
  <c r="C120" i="76"/>
  <c r="D120" i="76" s="1"/>
  <c r="C117" i="76"/>
  <c r="D117" i="76" s="1"/>
  <c r="F17" i="76"/>
  <c r="G18" i="76" s="1"/>
  <c r="C231" i="76"/>
  <c r="C232" i="76" s="1"/>
  <c r="E6" i="11"/>
  <c r="F15" i="76"/>
  <c r="G16" i="76" s="1"/>
  <c r="F6" i="11"/>
  <c r="D231" i="76"/>
  <c r="D232" i="76" s="1"/>
  <c r="D119" i="76"/>
  <c r="A59" i="76"/>
  <c r="J22" i="9"/>
  <c r="E14" i="17"/>
  <c r="E163" i="76" s="1"/>
  <c r="L27" i="11"/>
  <c r="G11" i="76"/>
  <c r="K27" i="9"/>
  <c r="K36" i="9" s="1"/>
  <c r="L22" i="9"/>
  <c r="F174" i="76" s="1"/>
  <c r="F14" i="76"/>
  <c r="G14" i="76" s="1"/>
  <c r="G54" i="11"/>
  <c r="C118" i="76"/>
  <c r="D3" i="9"/>
  <c r="E3" i="9" s="1"/>
  <c r="C116" i="76"/>
  <c r="A118" i="76"/>
  <c r="A134" i="76" s="1"/>
  <c r="A148" i="76" s="1"/>
  <c r="A210" i="76" s="1"/>
  <c r="A42" i="76"/>
  <c r="A89" i="76" s="1"/>
  <c r="A75" i="76"/>
  <c r="A12" i="76"/>
  <c r="A29" i="76" s="1"/>
  <c r="A242" i="76"/>
  <c r="B206" i="76"/>
  <c r="B222" i="76" s="1"/>
  <c r="I331" i="76" l="1"/>
  <c r="I338" i="76" s="1"/>
  <c r="J338" i="76" s="1"/>
  <c r="B336" i="76"/>
  <c r="J251" i="76"/>
  <c r="C390" i="76" s="1"/>
  <c r="B397" i="76" s="1"/>
  <c r="C397" i="76" s="1"/>
  <c r="J240" i="76"/>
  <c r="J23" i="9"/>
  <c r="D174" i="76"/>
  <c r="F162" i="76"/>
  <c r="F180" i="76" s="1"/>
  <c r="F193" i="76" s="1"/>
  <c r="L31" i="11"/>
  <c r="D344" i="76"/>
  <c r="B304" i="76"/>
  <c r="B162" i="76"/>
  <c r="H13" i="17"/>
  <c r="J233" i="76"/>
  <c r="K233" i="76" s="1"/>
  <c r="M27" i="11"/>
  <c r="K251" i="76" s="1"/>
  <c r="M22" i="11"/>
  <c r="K243" i="76" s="1"/>
  <c r="D163" i="76"/>
  <c r="L22" i="11"/>
  <c r="D162" i="76"/>
  <c r="D180" i="76" s="1"/>
  <c r="D193" i="76" s="1"/>
  <c r="M18" i="11"/>
  <c r="K240" i="76" s="1"/>
  <c r="C415" i="76" s="1"/>
  <c r="C163" i="76"/>
  <c r="C181" i="76" s="1"/>
  <c r="I36" i="9"/>
  <c r="I387" i="76"/>
  <c r="B392" i="76"/>
  <c r="C193" i="76"/>
  <c r="H27" i="9"/>
  <c r="H36" i="9" s="1"/>
  <c r="E116" i="76"/>
  <c r="F116" i="76" s="1"/>
  <c r="T14" i="17"/>
  <c r="G145" i="80"/>
  <c r="G13" i="17"/>
  <c r="L41" i="11" s="1"/>
  <c r="H66" i="80"/>
  <c r="I66" i="80" s="1"/>
  <c r="G67" i="80"/>
  <c r="L14" i="11"/>
  <c r="B14" i="17"/>
  <c r="H14" i="17" s="1"/>
  <c r="L65" i="80"/>
  <c r="M65" i="80"/>
  <c r="N65" i="80" s="1"/>
  <c r="J64" i="80"/>
  <c r="K64" i="80" s="1"/>
  <c r="L64" i="80"/>
  <c r="F163" i="76"/>
  <c r="C343" i="76"/>
  <c r="C417" i="76"/>
  <c r="A60" i="76"/>
  <c r="A119" i="76"/>
  <c r="A135" i="76" s="1"/>
  <c r="A149" i="76" s="1"/>
  <c r="A211" i="76" s="1"/>
  <c r="G17" i="76"/>
  <c r="J27" i="9"/>
  <c r="J36" i="9" s="1"/>
  <c r="A13" i="76"/>
  <c r="A14" i="76" s="1"/>
  <c r="D118" i="76"/>
  <c r="A76" i="76"/>
  <c r="D116" i="76"/>
  <c r="K28" i="9"/>
  <c r="K37" i="9" s="1"/>
  <c r="L23" i="9"/>
  <c r="F175" i="76" s="1"/>
  <c r="L27" i="9"/>
  <c r="L36" i="9" s="1"/>
  <c r="G15" i="76"/>
  <c r="B180" i="76" l="1"/>
  <c r="B193" i="76" s="1"/>
  <c r="G193" i="76" s="1"/>
  <c r="G162" i="76"/>
  <c r="F181" i="76"/>
  <c r="F194" i="76" s="1"/>
  <c r="B417" i="76"/>
  <c r="B424" i="76" s="1"/>
  <c r="C424" i="76" s="1"/>
  <c r="J247" i="76"/>
  <c r="J243" i="76"/>
  <c r="D58" i="76" a="1"/>
  <c r="D58" i="76" s="1"/>
  <c r="J28" i="9"/>
  <c r="J37" i="9" s="1"/>
  <c r="D175" i="76"/>
  <c r="D181" i="76"/>
  <c r="D194" i="76" s="1"/>
  <c r="C58" i="76" a="1"/>
  <c r="C58" i="76" s="1"/>
  <c r="C73" i="76" s="1"/>
  <c r="B415" i="76"/>
  <c r="B422" i="76" s="1"/>
  <c r="C422" i="76" s="1"/>
  <c r="C388" i="76"/>
  <c r="B395" i="76" s="1"/>
  <c r="C395" i="76" s="1"/>
  <c r="N14" i="11"/>
  <c r="E58" i="76" a="1"/>
  <c r="E58" i="76" s="1"/>
  <c r="B311" i="76"/>
  <c r="I304" i="76"/>
  <c r="I311" i="76" s="1"/>
  <c r="J311" i="76" s="1"/>
  <c r="J237" i="76"/>
  <c r="E117" i="76"/>
  <c r="F117" i="76" s="1"/>
  <c r="M154" i="80"/>
  <c r="D9" i="76"/>
  <c r="E9" i="76" s="1"/>
  <c r="M31" i="11"/>
  <c r="K247" i="76" s="1"/>
  <c r="C418" i="76" s="1"/>
  <c r="E181" i="76"/>
  <c r="E194" i="76" s="1"/>
  <c r="M14" i="11"/>
  <c r="N15" i="11" s="1"/>
  <c r="B163" i="76"/>
  <c r="G163" i="76" s="1"/>
  <c r="C194" i="76"/>
  <c r="T17" i="17"/>
  <c r="L37" i="11"/>
  <c r="G146" i="80"/>
  <c r="H28" i="9"/>
  <c r="H37" i="9" s="1"/>
  <c r="H67" i="80"/>
  <c r="I67" i="80" s="1"/>
  <c r="L67" i="80" s="1"/>
  <c r="G68" i="80"/>
  <c r="L28" i="9"/>
  <c r="L37" i="9" s="1"/>
  <c r="G14" i="17"/>
  <c r="M41" i="11" s="1"/>
  <c r="C416" i="76"/>
  <c r="G27" i="9"/>
  <c r="M36" i="9"/>
  <c r="N153" i="80"/>
  <c r="G116" i="76"/>
  <c r="A44" i="76"/>
  <c r="A62" i="76" s="1"/>
  <c r="A120" i="76"/>
  <c r="A136" i="76" s="1"/>
  <c r="A150" i="76" s="1"/>
  <c r="A212" i="76" s="1"/>
  <c r="A77" i="76"/>
  <c r="A30" i="76"/>
  <c r="A121" i="76"/>
  <c r="A137" i="76" s="1"/>
  <c r="A151" i="76" s="1"/>
  <c r="A213" i="76" s="1"/>
  <c r="A45" i="76"/>
  <c r="A78" i="76"/>
  <c r="A15" i="76"/>
  <c r="A31" i="76"/>
  <c r="J66" i="80"/>
  <c r="K66" i="80" s="1"/>
  <c r="L66" i="80"/>
  <c r="M66" i="80"/>
  <c r="N66" i="80" s="1"/>
  <c r="G180" i="76" l="1"/>
  <c r="B58" i="76" a="1"/>
  <c r="B58" i="76" s="1"/>
  <c r="B416" i="76"/>
  <c r="B423" i="76" s="1"/>
  <c r="C423" i="76" s="1"/>
  <c r="C389" i="76"/>
  <c r="B396" i="76" s="1"/>
  <c r="C396" i="76" s="1"/>
  <c r="F19" i="76"/>
  <c r="G19" i="76" s="1"/>
  <c r="F58" i="76" a="1"/>
  <c r="F58" i="76" s="1"/>
  <c r="B418" i="76"/>
  <c r="B425" i="76" s="1"/>
  <c r="C425" i="76" s="1"/>
  <c r="C391" i="76"/>
  <c r="B398" i="76" s="1"/>
  <c r="C398" i="76" s="1"/>
  <c r="B181" i="76"/>
  <c r="B194" i="76" s="1"/>
  <c r="G194" i="76" s="1"/>
  <c r="C311" i="76"/>
  <c r="M37" i="11"/>
  <c r="F20" i="76" s="1"/>
  <c r="K237" i="76"/>
  <c r="B414" i="76"/>
  <c r="C387" i="76"/>
  <c r="J254" i="76"/>
  <c r="E118" i="76"/>
  <c r="F118" i="76" s="1"/>
  <c r="M155" i="80"/>
  <c r="J67" i="80"/>
  <c r="K67" i="80" s="1"/>
  <c r="M37" i="9"/>
  <c r="M67" i="80"/>
  <c r="N67" i="80" s="1"/>
  <c r="L54" i="11"/>
  <c r="G28" i="9"/>
  <c r="H68" i="80"/>
  <c r="I68" i="80" s="1"/>
  <c r="G69" i="80"/>
  <c r="A91" i="76"/>
  <c r="N154" i="80"/>
  <c r="D10" i="76"/>
  <c r="E10" i="76" s="1"/>
  <c r="G117" i="76"/>
  <c r="A32" i="76"/>
  <c r="A122" i="76"/>
  <c r="A138" i="76" s="1"/>
  <c r="A152" i="76" s="1"/>
  <c r="A214" i="76" s="1"/>
  <c r="A46" i="76"/>
  <c r="A16" i="76"/>
  <c r="A79" i="76"/>
  <c r="A63" i="76"/>
  <c r="A92" i="76"/>
  <c r="B419" i="76" l="1"/>
  <c r="G68" i="76"/>
  <c r="G66" i="76"/>
  <c r="M54" i="11"/>
  <c r="G60" i="76"/>
  <c r="G63" i="76"/>
  <c r="J58" i="76" a="1"/>
  <c r="J58" i="76" s="1"/>
  <c r="G61" i="76"/>
  <c r="G181" i="76"/>
  <c r="G62" i="76"/>
  <c r="G67" i="76"/>
  <c r="G69" i="76"/>
  <c r="G20" i="76"/>
  <c r="G59" i="76"/>
  <c r="G65" i="76"/>
  <c r="G64" i="76"/>
  <c r="G58" i="76"/>
  <c r="C414" i="76"/>
  <c r="C419" i="76" s="1"/>
  <c r="K254" i="76"/>
  <c r="C392" i="76"/>
  <c r="B394" i="76"/>
  <c r="B399" i="76" s="1"/>
  <c r="E120" i="76"/>
  <c r="E119" i="76"/>
  <c r="F119" i="76" s="1"/>
  <c r="M156" i="80"/>
  <c r="H69" i="80"/>
  <c r="I69" i="80" s="1"/>
  <c r="L69" i="80" s="1"/>
  <c r="G70" i="80"/>
  <c r="N155" i="80"/>
  <c r="G118" i="76"/>
  <c r="D11" i="76"/>
  <c r="E11" i="76" s="1"/>
  <c r="A47" i="76"/>
  <c r="A123" i="76"/>
  <c r="A139" i="76" s="1"/>
  <c r="A153" i="76" s="1"/>
  <c r="A215" i="76" s="1"/>
  <c r="A33" i="76"/>
  <c r="A80" i="76"/>
  <c r="A17" i="76"/>
  <c r="A93" i="76"/>
  <c r="A64" i="76"/>
  <c r="M68" i="80"/>
  <c r="N68" i="80" s="1"/>
  <c r="J68" i="80"/>
  <c r="K68" i="80" s="1"/>
  <c r="L68" i="80"/>
  <c r="K68" i="76" l="1"/>
  <c r="K69" i="76"/>
  <c r="K65" i="76"/>
  <c r="K59" i="76"/>
  <c r="K63" i="76"/>
  <c r="K66" i="76"/>
  <c r="M157" i="80"/>
  <c r="K58" i="76"/>
  <c r="K67" i="76"/>
  <c r="K64" i="76"/>
  <c r="K60" i="76"/>
  <c r="K61" i="76"/>
  <c r="K62" i="76"/>
  <c r="C394" i="76"/>
  <c r="C399" i="76"/>
  <c r="B421" i="76"/>
  <c r="B426" i="76" s="1"/>
  <c r="C426" i="76" s="1"/>
  <c r="H70" i="80"/>
  <c r="I70" i="80" s="1"/>
  <c r="G71" i="80"/>
  <c r="J69" i="80"/>
  <c r="K69" i="80" s="1"/>
  <c r="M69" i="80"/>
  <c r="N69" i="80" s="1"/>
  <c r="D12" i="76"/>
  <c r="E12" i="76" s="1"/>
  <c r="G119" i="76"/>
  <c r="F120" i="76"/>
  <c r="N156" i="80"/>
  <c r="A34" i="76"/>
  <c r="A81" i="76"/>
  <c r="A124" i="76"/>
  <c r="A140" i="76" s="1"/>
  <c r="A154" i="76" s="1"/>
  <c r="A216" i="76" s="1"/>
  <c r="A48" i="76"/>
  <c r="A65" i="76"/>
  <c r="A94" i="76"/>
  <c r="C421" i="76" l="1"/>
  <c r="E122" i="76"/>
  <c r="H71" i="80"/>
  <c r="I71" i="80" s="1"/>
  <c r="M71" i="80" s="1"/>
  <c r="N71" i="80" s="1"/>
  <c r="G72" i="80"/>
  <c r="D13" i="76"/>
  <c r="E13" i="76" s="1"/>
  <c r="G120" i="76"/>
  <c r="N157" i="80"/>
  <c r="K276" i="76"/>
  <c r="K277" i="76"/>
  <c r="A95" i="76"/>
  <c r="A66" i="76"/>
  <c r="M70" i="80"/>
  <c r="N70" i="80" s="1"/>
  <c r="L70" i="80"/>
  <c r="J70" i="80"/>
  <c r="K70" i="80" s="1"/>
  <c r="E123" i="76" l="1"/>
  <c r="J71" i="80"/>
  <c r="K71" i="80" s="1"/>
  <c r="E121" i="76"/>
  <c r="L71" i="80"/>
  <c r="H72" i="80"/>
  <c r="I72" i="80" s="1"/>
  <c r="M72" i="80" s="1"/>
  <c r="N72" i="80" s="1"/>
  <c r="G73" i="80"/>
  <c r="G74" i="80"/>
  <c r="E124" i="76" l="1"/>
  <c r="J72" i="80"/>
  <c r="K72" i="80" s="1"/>
  <c r="L72" i="80"/>
  <c r="H73" i="80"/>
  <c r="I73" i="80" s="1"/>
  <c r="M73" i="80" s="1"/>
  <c r="N73" i="80" s="1"/>
  <c r="N16" i="17"/>
  <c r="N18" i="17" s="1"/>
  <c r="H74" i="80"/>
  <c r="L73" i="80" l="1"/>
  <c r="J73" i="80"/>
  <c r="K73" i="80" s="1"/>
  <c r="I74" i="80"/>
  <c r="M75" i="80" s="1"/>
  <c r="H158" i="80"/>
  <c r="M158" i="80" l="1"/>
  <c r="N158" i="80" s="1"/>
  <c r="E126" i="76"/>
  <c r="E127" i="76"/>
  <c r="E125" i="76"/>
  <c r="I158" i="80"/>
  <c r="J158" i="80" s="1"/>
  <c r="K158" i="80" s="1"/>
  <c r="G5" i="11"/>
  <c r="C8" i="9"/>
  <c r="L74" i="80"/>
  <c r="M74" i="80"/>
  <c r="N74" i="80" s="1"/>
  <c r="J74" i="80"/>
  <c r="K74" i="80" s="1"/>
  <c r="H76" i="80"/>
  <c r="I76" i="80" s="1"/>
  <c r="H77" i="80" l="1"/>
  <c r="I77" i="80" s="1"/>
  <c r="E231" i="76"/>
  <c r="E232" i="76" s="1"/>
  <c r="G6" i="11"/>
  <c r="D8" i="9"/>
  <c r="E8" i="9" s="1"/>
  <c r="C121" i="76"/>
  <c r="M76" i="80"/>
  <c r="N76" i="80" s="1"/>
  <c r="L76" i="80"/>
  <c r="J76" i="80"/>
  <c r="K76" i="80" s="1"/>
  <c r="N75" i="80"/>
  <c r="D121" i="76" l="1"/>
  <c r="F121" i="76"/>
  <c r="H78" i="80"/>
  <c r="J77" i="80"/>
  <c r="K77" i="80" s="1"/>
  <c r="L77" i="80"/>
  <c r="M77" i="80"/>
  <c r="N77" i="80" s="1"/>
  <c r="H79" i="80" l="1"/>
  <c r="I79" i="80" s="1"/>
  <c r="G121" i="76"/>
  <c r="D14" i="76"/>
  <c r="I78" i="80"/>
  <c r="H80" i="80" l="1"/>
  <c r="E14" i="76"/>
  <c r="J78" i="80"/>
  <c r="K78" i="80" s="1"/>
  <c r="M78" i="80"/>
  <c r="N78" i="80" s="1"/>
  <c r="L78" i="80"/>
  <c r="L79" i="80"/>
  <c r="J79" i="80"/>
  <c r="K79" i="80" s="1"/>
  <c r="M79" i="80"/>
  <c r="N79" i="80" s="1"/>
  <c r="I80" i="80" l="1"/>
  <c r="H81" i="80"/>
  <c r="I81" i="80" s="1"/>
  <c r="J81" i="80" l="1"/>
  <c r="K81" i="80" s="1"/>
  <c r="L81" i="80"/>
  <c r="M81" i="80"/>
  <c r="N81" i="80" s="1"/>
  <c r="H82" i="80"/>
  <c r="I82" i="80" s="1"/>
  <c r="M80" i="80"/>
  <c r="N80" i="80" s="1"/>
  <c r="J80" i="80"/>
  <c r="K80" i="80" s="1"/>
  <c r="L80" i="80"/>
  <c r="J82" i="80" l="1"/>
  <c r="K82" i="80" s="1"/>
  <c r="M82" i="80"/>
  <c r="N82" i="80" s="1"/>
  <c r="L82" i="80"/>
  <c r="H83" i="80"/>
  <c r="I83" i="80" s="1"/>
  <c r="J83" i="80" l="1"/>
  <c r="K83" i="80" s="1"/>
  <c r="L83" i="80"/>
  <c r="M83" i="80"/>
  <c r="N83" i="80" s="1"/>
  <c r="H84" i="80"/>
  <c r="I84" i="80" s="1"/>
  <c r="J84" i="80" l="1"/>
  <c r="K84" i="80" s="1"/>
  <c r="L84" i="80"/>
  <c r="M84" i="80"/>
  <c r="N84" i="80" s="1"/>
  <c r="H85" i="80"/>
  <c r="I85" i="80" s="1"/>
  <c r="O16" i="17" l="1"/>
  <c r="O18" i="17" s="1"/>
  <c r="H86" i="80"/>
  <c r="J85" i="80"/>
  <c r="K85" i="80" s="1"/>
  <c r="L85" i="80"/>
  <c r="M85" i="80"/>
  <c r="N85" i="80" s="1"/>
  <c r="I86" i="80" l="1"/>
  <c r="H159" i="80"/>
  <c r="H87" i="80"/>
  <c r="M159" i="80" l="1"/>
  <c r="N159" i="80" s="1"/>
  <c r="H5" i="11"/>
  <c r="I159" i="80"/>
  <c r="J159" i="80" s="1"/>
  <c r="K159" i="80" s="1"/>
  <c r="H88" i="80"/>
  <c r="I88" i="80" s="1"/>
  <c r="I87" i="80"/>
  <c r="C9" i="9"/>
  <c r="L86" i="80"/>
  <c r="M86" i="80"/>
  <c r="N86" i="80" s="1"/>
  <c r="J86" i="80"/>
  <c r="K86" i="80" s="1"/>
  <c r="F231" i="76" l="1"/>
  <c r="F232" i="76" s="1"/>
  <c r="H6" i="11"/>
  <c r="D9" i="9"/>
  <c r="E9" i="9" s="1"/>
  <c r="C122" i="76"/>
  <c r="J87" i="80"/>
  <c r="K87" i="80" s="1"/>
  <c r="L87" i="80"/>
  <c r="M87" i="80"/>
  <c r="N87" i="80" s="1"/>
  <c r="H89" i="80"/>
  <c r="L88" i="80"/>
  <c r="M88" i="80"/>
  <c r="N88" i="80" s="1"/>
  <c r="J88" i="80"/>
  <c r="K88" i="80" s="1"/>
  <c r="D122" i="76" l="1"/>
  <c r="F122" i="76"/>
  <c r="H90" i="80"/>
  <c r="I90" i="80" s="1"/>
  <c r="I89" i="80"/>
  <c r="L270" i="76" l="1"/>
  <c r="H273" i="76" s="1"/>
  <c r="L300" i="76"/>
  <c r="G304" i="76" s="1"/>
  <c r="D15" i="76"/>
  <c r="E15" i="76" s="1"/>
  <c r="G122" i="76"/>
  <c r="H91" i="80"/>
  <c r="J89" i="80"/>
  <c r="K89" i="80" s="1"/>
  <c r="L89" i="80"/>
  <c r="M89" i="80"/>
  <c r="N89" i="80" s="1"/>
  <c r="L90" i="80"/>
  <c r="M90" i="80"/>
  <c r="N90" i="80" s="1"/>
  <c r="J90" i="80"/>
  <c r="K90" i="80" s="1"/>
  <c r="H274" i="76" l="1"/>
  <c r="G273" i="76"/>
  <c r="K273" i="76" s="1"/>
  <c r="H276" i="76"/>
  <c r="G284" i="76" s="1"/>
  <c r="H284" i="76" s="1"/>
  <c r="G274" i="76"/>
  <c r="K274" i="76" s="1"/>
  <c r="H277" i="76"/>
  <c r="G285" i="76" s="1"/>
  <c r="H285" i="76" s="1"/>
  <c r="K275" i="76"/>
  <c r="G308" i="76"/>
  <c r="K308" i="76" s="1"/>
  <c r="H92" i="80"/>
  <c r="I92" i="80" s="1"/>
  <c r="G305" i="76"/>
  <c r="K305" i="76" s="1"/>
  <c r="K304" i="76"/>
  <c r="I91" i="80"/>
  <c r="L277" i="76" l="1"/>
  <c r="K285" i="76" s="1"/>
  <c r="L285" i="76" s="1"/>
  <c r="G282" i="76"/>
  <c r="H282" i="76" s="1"/>
  <c r="G281" i="76"/>
  <c r="H281" i="76" s="1"/>
  <c r="H93" i="80"/>
  <c r="I93" i="80" s="1"/>
  <c r="L91" i="80"/>
  <c r="J91" i="80"/>
  <c r="K91" i="80" s="1"/>
  <c r="M91" i="80"/>
  <c r="N91" i="80" s="1"/>
  <c r="J92" i="80"/>
  <c r="K92" i="80" s="1"/>
  <c r="M92" i="80"/>
  <c r="N92" i="80" s="1"/>
  <c r="L92" i="80"/>
  <c r="J93" i="80" l="1"/>
  <c r="K93" i="80" s="1"/>
  <c r="M93" i="80"/>
  <c r="N93" i="80" s="1"/>
  <c r="L93" i="80"/>
  <c r="H94" i="80"/>
  <c r="I94" i="80" s="1"/>
  <c r="H95" i="80" l="1"/>
  <c r="I95" i="80" s="1"/>
  <c r="L94" i="80"/>
  <c r="M94" i="80"/>
  <c r="N94" i="80" s="1"/>
  <c r="J94" i="80"/>
  <c r="K94" i="80" s="1"/>
  <c r="H96" i="80" l="1"/>
  <c r="I96" i="80" s="1"/>
  <c r="J95" i="80"/>
  <c r="K95" i="80" s="1"/>
  <c r="M95" i="80"/>
  <c r="N95" i="80" s="1"/>
  <c r="L95" i="80"/>
  <c r="H97" i="80" l="1"/>
  <c r="I97" i="80" s="1"/>
  <c r="J96" i="80"/>
  <c r="K96" i="80" s="1"/>
  <c r="M96" i="80"/>
  <c r="N96" i="80" s="1"/>
  <c r="L96" i="80"/>
  <c r="P16" i="17" l="1"/>
  <c r="P18" i="17" s="1"/>
  <c r="H98" i="80"/>
  <c r="M97" i="80"/>
  <c r="N97" i="80" s="1"/>
  <c r="L97" i="80"/>
  <c r="J97" i="80"/>
  <c r="K97" i="80" s="1"/>
  <c r="I98" i="80" l="1"/>
  <c r="M99" i="80" s="1"/>
  <c r="H160" i="80"/>
  <c r="M160" i="80" l="1"/>
  <c r="N160" i="80" s="1"/>
  <c r="I5" i="11"/>
  <c r="I160" i="80"/>
  <c r="J160" i="80" s="1"/>
  <c r="K160" i="80" s="1"/>
  <c r="C10" i="9"/>
  <c r="H100" i="80"/>
  <c r="I100" i="80" s="1"/>
  <c r="J98" i="80"/>
  <c r="K98" i="80" s="1"/>
  <c r="L98" i="80"/>
  <c r="M98" i="80"/>
  <c r="N98" i="80" s="1"/>
  <c r="G231" i="76" l="1"/>
  <c r="G232" i="76" s="1"/>
  <c r="I6" i="11"/>
  <c r="D10" i="9"/>
  <c r="E10" i="9" s="1"/>
  <c r="C123" i="76"/>
  <c r="H101" i="80"/>
  <c r="I101" i="80" s="1"/>
  <c r="N99" i="80"/>
  <c r="M100" i="80"/>
  <c r="N100" i="80" s="1"/>
  <c r="J100" i="80"/>
  <c r="K100" i="80" s="1"/>
  <c r="L100" i="80"/>
  <c r="D123" i="76" l="1"/>
  <c r="F123" i="76"/>
  <c r="J101" i="80"/>
  <c r="K101" i="80" s="1"/>
  <c r="L101" i="80"/>
  <c r="M101" i="80"/>
  <c r="N101" i="80" s="1"/>
  <c r="H102" i="80"/>
  <c r="H103" i="80" l="1"/>
  <c r="I103" i="80" s="1"/>
  <c r="L327" i="76"/>
  <c r="D16" i="76"/>
  <c r="E16" i="76" s="1"/>
  <c r="L301" i="76"/>
  <c r="G123" i="76"/>
  <c r="I102" i="80"/>
  <c r="H308" i="76" l="1"/>
  <c r="H307" i="76"/>
  <c r="H305" i="76"/>
  <c r="G335" i="76"/>
  <c r="K335" i="76" s="1"/>
  <c r="G334" i="76"/>
  <c r="K334" i="76" s="1"/>
  <c r="G331" i="76"/>
  <c r="K331" i="76" s="1"/>
  <c r="G332" i="76"/>
  <c r="K332" i="76" s="1"/>
  <c r="K333" i="76"/>
  <c r="H304" i="76"/>
  <c r="L103" i="80"/>
  <c r="J103" i="80"/>
  <c r="K103" i="80" s="1"/>
  <c r="M103" i="80"/>
  <c r="N103" i="80" s="1"/>
  <c r="H104" i="80"/>
  <c r="I104" i="80" s="1"/>
  <c r="M102" i="80"/>
  <c r="N102" i="80" s="1"/>
  <c r="L102" i="80"/>
  <c r="J102" i="80"/>
  <c r="K102" i="80" s="1"/>
  <c r="L307" i="76" l="1"/>
  <c r="K314" i="76" s="1"/>
  <c r="L314" i="76" s="1"/>
  <c r="G314" i="76"/>
  <c r="H314" i="76" s="1"/>
  <c r="G312" i="76"/>
  <c r="H312" i="76" s="1"/>
  <c r="L305" i="76"/>
  <c r="K312" i="76" s="1"/>
  <c r="L312" i="76" s="1"/>
  <c r="G315" i="76"/>
  <c r="H315" i="76" s="1"/>
  <c r="L308" i="76"/>
  <c r="K315" i="76" s="1"/>
  <c r="L315" i="76" s="1"/>
  <c r="N304" i="76"/>
  <c r="G311" i="76"/>
  <c r="H311" i="76" s="1"/>
  <c r="L304" i="76"/>
  <c r="K311" i="76" s="1"/>
  <c r="L311" i="76" s="1"/>
  <c r="H105" i="80"/>
  <c r="I105" i="80" s="1"/>
  <c r="J104" i="80"/>
  <c r="K104" i="80" s="1"/>
  <c r="L104" i="80"/>
  <c r="M104" i="80"/>
  <c r="N104" i="80" s="1"/>
  <c r="H106" i="80" l="1"/>
  <c r="I106" i="80" s="1"/>
  <c r="M105" i="80"/>
  <c r="N105" i="80" s="1"/>
  <c r="J105" i="80"/>
  <c r="K105" i="80" s="1"/>
  <c r="L105" i="80"/>
  <c r="J106" i="80" l="1"/>
  <c r="K106" i="80" s="1"/>
  <c r="L106" i="80"/>
  <c r="M106" i="80"/>
  <c r="N106" i="80" s="1"/>
  <c r="H107" i="80"/>
  <c r="I107" i="80" s="1"/>
  <c r="H108" i="80" l="1"/>
  <c r="I108" i="80" s="1"/>
  <c r="J107" i="80"/>
  <c r="K107" i="80" s="1"/>
  <c r="L107" i="80"/>
  <c r="M107" i="80"/>
  <c r="N107" i="80" s="1"/>
  <c r="J108" i="80" l="1"/>
  <c r="K108" i="80" s="1"/>
  <c r="L108" i="80"/>
  <c r="M108" i="80"/>
  <c r="N108" i="80" s="1"/>
  <c r="H109" i="80"/>
  <c r="I109" i="80" s="1"/>
  <c r="Q16" i="17" l="1"/>
  <c r="Q18" i="17" s="1"/>
  <c r="M109" i="80"/>
  <c r="N109" i="80" s="1"/>
  <c r="J109" i="80"/>
  <c r="K109" i="80" s="1"/>
  <c r="L109" i="80"/>
  <c r="H110" i="80"/>
  <c r="I110" i="80" l="1"/>
  <c r="M111" i="80" s="1"/>
  <c r="H161" i="80"/>
  <c r="M161" i="80" s="1"/>
  <c r="J5" i="11" l="1"/>
  <c r="I161" i="80"/>
  <c r="J161" i="80" s="1"/>
  <c r="K161" i="80" s="1"/>
  <c r="N161" i="80"/>
  <c r="C11" i="9"/>
  <c r="H112" i="80"/>
  <c r="I112" i="80" s="1"/>
  <c r="M112" i="80" s="1"/>
  <c r="N112" i="80" s="1"/>
  <c r="L110" i="80"/>
  <c r="M110" i="80"/>
  <c r="N110" i="80" s="1"/>
  <c r="J110" i="80"/>
  <c r="K110" i="80" s="1"/>
  <c r="J6" i="11" l="1"/>
  <c r="H231" i="76"/>
  <c r="H232" i="76" s="1"/>
  <c r="D11" i="9"/>
  <c r="E11" i="9" s="1"/>
  <c r="C124" i="76"/>
  <c r="H113" i="80"/>
  <c r="I113" i="80" s="1"/>
  <c r="M113" i="80" s="1"/>
  <c r="N113" i="80" s="1"/>
  <c r="N111" i="80"/>
  <c r="J112" i="80"/>
  <c r="K112" i="80" s="1"/>
  <c r="L112" i="80"/>
  <c r="H114" i="80" l="1"/>
  <c r="D124" i="76"/>
  <c r="F124" i="76"/>
  <c r="L113" i="80"/>
  <c r="J113" i="80"/>
  <c r="K113" i="80" s="1"/>
  <c r="C48" i="76" l="1"/>
  <c r="H115" i="80"/>
  <c r="I115" i="80" s="1"/>
  <c r="L355" i="76"/>
  <c r="L328" i="76"/>
  <c r="G124" i="76"/>
  <c r="D17" i="76"/>
  <c r="E17" i="76" s="1"/>
  <c r="I114" i="80"/>
  <c r="M114" i="80" s="1"/>
  <c r="N114" i="80" s="1"/>
  <c r="M115" i="80" l="1"/>
  <c r="N115" i="80" s="1"/>
  <c r="H335" i="76"/>
  <c r="G342" i="76" s="1"/>
  <c r="H342" i="76" s="1"/>
  <c r="H334" i="76"/>
  <c r="G341" i="76" s="1"/>
  <c r="H341" i="76" s="1"/>
  <c r="H332" i="76"/>
  <c r="G339" i="76" s="1"/>
  <c r="H339" i="76" s="1"/>
  <c r="G363" i="76"/>
  <c r="K363" i="76" s="1"/>
  <c r="G359" i="76"/>
  <c r="G362" i="76"/>
  <c r="K362" i="76" s="1"/>
  <c r="G360" i="76"/>
  <c r="K360" i="76" s="1"/>
  <c r="H116" i="80"/>
  <c r="H331" i="76"/>
  <c r="L115" i="80"/>
  <c r="J115" i="80"/>
  <c r="K115" i="80" s="1"/>
  <c r="J114" i="80"/>
  <c r="K114" i="80" s="1"/>
  <c r="L114" i="80"/>
  <c r="L333" i="76" l="1"/>
  <c r="L334" i="76"/>
  <c r="K341" i="76" s="1"/>
  <c r="L341" i="76" s="1"/>
  <c r="L332" i="76"/>
  <c r="K339" i="76" s="1"/>
  <c r="L339" i="76" s="1"/>
  <c r="L335" i="76"/>
  <c r="K342" i="76" s="1"/>
  <c r="L342" i="76" s="1"/>
  <c r="N330" i="76"/>
  <c r="L331" i="76"/>
  <c r="K338" i="76" s="1"/>
  <c r="L338" i="76" s="1"/>
  <c r="G338" i="76"/>
  <c r="H338" i="76" s="1"/>
  <c r="H117" i="80"/>
  <c r="I117" i="80" s="1"/>
  <c r="M117" i="80" s="1"/>
  <c r="N117" i="80" s="1"/>
  <c r="I116" i="80"/>
  <c r="M116" i="80" s="1"/>
  <c r="N116" i="80" s="1"/>
  <c r="H118" i="80" l="1"/>
  <c r="J116" i="80"/>
  <c r="K116" i="80" s="1"/>
  <c r="L116" i="80"/>
  <c r="J117" i="80"/>
  <c r="K117" i="80" s="1"/>
  <c r="L117" i="80"/>
  <c r="I118" i="80" l="1"/>
  <c r="I119" i="80"/>
  <c r="L119" i="80" l="1"/>
  <c r="M119" i="80"/>
  <c r="N119" i="80" s="1"/>
  <c r="L118" i="80"/>
  <c r="M118" i="80"/>
  <c r="N118" i="80" s="1"/>
  <c r="H120" i="80"/>
  <c r="I120" i="80" s="1"/>
  <c r="J119" i="80"/>
  <c r="K119" i="80" s="1"/>
  <c r="J118" i="80"/>
  <c r="K118" i="80" s="1"/>
  <c r="L120" i="80" l="1"/>
  <c r="M120" i="80"/>
  <c r="N120" i="80" s="1"/>
  <c r="J120" i="80"/>
  <c r="K120" i="80" s="1"/>
  <c r="H121" i="80"/>
  <c r="I121" i="80" s="1"/>
  <c r="L121" i="80" l="1"/>
  <c r="M121" i="80"/>
  <c r="N121" i="80" s="1"/>
  <c r="H122" i="80"/>
  <c r="R16" i="17"/>
  <c r="R18" i="17" s="1"/>
  <c r="J121" i="80"/>
  <c r="K121" i="80" s="1"/>
  <c r="H162" i="80" l="1"/>
  <c r="I122" i="80"/>
  <c r="H123" i="80"/>
  <c r="I123" i="80" s="1"/>
  <c r="L122" i="80" l="1"/>
  <c r="M122" i="80"/>
  <c r="N122" i="80" s="1"/>
  <c r="J123" i="80"/>
  <c r="L123" i="80"/>
  <c r="M123" i="80"/>
  <c r="N123" i="80" s="1"/>
  <c r="M162" i="80"/>
  <c r="N162" i="80" s="1"/>
  <c r="I162" i="80"/>
  <c r="J162" i="80" s="1"/>
  <c r="K162" i="80" s="1"/>
  <c r="K5" i="11"/>
  <c r="C12" i="9"/>
  <c r="D12" i="9" s="1"/>
  <c r="E12" i="9" s="1"/>
  <c r="J122" i="80"/>
  <c r="K122" i="80" s="1"/>
  <c r="K123" i="80" s="1"/>
  <c r="K124" i="80" s="1"/>
  <c r="K125" i="80" s="1"/>
  <c r="K126" i="80" s="1"/>
  <c r="H124" i="80"/>
  <c r="I124" i="80" s="1"/>
  <c r="B18" i="76"/>
  <c r="K127" i="80" l="1"/>
  <c r="K128" i="80" s="1"/>
  <c r="K129" i="80" s="1"/>
  <c r="Q25" i="80" s="1"/>
  <c r="B102" i="76" s="1"/>
  <c r="M124" i="80"/>
  <c r="N124" i="80" s="1"/>
  <c r="J124" i="80"/>
  <c r="L124" i="80"/>
  <c r="H125" i="80"/>
  <c r="I231" i="76"/>
  <c r="I232" i="76" s="1"/>
  <c r="C125" i="76"/>
  <c r="C18" i="76"/>
  <c r="I125" i="80" l="1"/>
  <c r="H126" i="80"/>
  <c r="I126" i="80" s="1"/>
  <c r="D125" i="76"/>
  <c r="F125" i="76"/>
  <c r="L126" i="80" l="1"/>
  <c r="M126" i="80"/>
  <c r="N126" i="80" s="1"/>
  <c r="J126" i="80"/>
  <c r="L125" i="80"/>
  <c r="M125" i="80"/>
  <c r="N125" i="80" s="1"/>
  <c r="J125" i="80"/>
  <c r="L384" i="76"/>
  <c r="C49" i="76"/>
  <c r="G125" i="76"/>
  <c r="B49" i="76"/>
  <c r="I252" i="76"/>
  <c r="D18" i="76"/>
  <c r="E18" i="76" s="1"/>
  <c r="L356" i="76"/>
  <c r="H127" i="80"/>
  <c r="K33" i="11"/>
  <c r="I127" i="80" l="1"/>
  <c r="H363" i="76"/>
  <c r="G391" i="76"/>
  <c r="H359" i="76"/>
  <c r="G388" i="76"/>
  <c r="K388" i="76" s="1"/>
  <c r="G387" i="76"/>
  <c r="K387" i="76" s="1"/>
  <c r="H360" i="76"/>
  <c r="F362" i="76"/>
  <c r="I249" i="76"/>
  <c r="I248" i="76"/>
  <c r="I244" i="76"/>
  <c r="K359" i="76"/>
  <c r="H128" i="80"/>
  <c r="I128" i="80" s="1"/>
  <c r="D11" i="18"/>
  <c r="K24" i="11"/>
  <c r="I245" i="76" s="1"/>
  <c r="L128" i="80" l="1"/>
  <c r="M128" i="80"/>
  <c r="N128" i="80" s="1"/>
  <c r="J128" i="80"/>
  <c r="H166" i="80"/>
  <c r="I166" i="80" s="1"/>
  <c r="L127" i="80"/>
  <c r="M127" i="80"/>
  <c r="N127" i="80" s="1"/>
  <c r="J127" i="80"/>
  <c r="L360" i="76"/>
  <c r="K367" i="76" s="1"/>
  <c r="L367" i="76" s="1"/>
  <c r="G367" i="76"/>
  <c r="H367" i="76" s="1"/>
  <c r="L363" i="76"/>
  <c r="K370" i="76" s="1"/>
  <c r="L370" i="76" s="1"/>
  <c r="G370" i="76"/>
  <c r="H370" i="76" s="1"/>
  <c r="F361" i="76"/>
  <c r="H362" i="76"/>
  <c r="E390" i="76"/>
  <c r="K391" i="76"/>
  <c r="I255" i="76"/>
  <c r="N359" i="76"/>
  <c r="I256" i="76"/>
  <c r="E389" i="76"/>
  <c r="H129" i="80"/>
  <c r="J359" i="76"/>
  <c r="I366" i="76" s="1"/>
  <c r="J366" i="76" s="1"/>
  <c r="F366" i="76"/>
  <c r="K55" i="11"/>
  <c r="K43" i="11"/>
  <c r="G45" i="11"/>
  <c r="K39" i="11"/>
  <c r="N129" i="80" l="1"/>
  <c r="Q27" i="80" s="1"/>
  <c r="L129" i="80"/>
  <c r="Q28" i="80" s="1"/>
  <c r="G369" i="76"/>
  <c r="H369" i="76" s="1"/>
  <c r="L362" i="76"/>
  <c r="K369" i="76" s="1"/>
  <c r="L369" i="76" s="1"/>
  <c r="G390" i="76"/>
  <c r="K390" i="76" s="1"/>
  <c r="I390" i="76"/>
  <c r="I389" i="76"/>
  <c r="K389" i="76"/>
  <c r="H130" i="80"/>
  <c r="G366" i="76"/>
  <c r="H366" i="76" s="1"/>
  <c r="L359" i="76"/>
  <c r="K56" i="11"/>
  <c r="Q30" i="80" l="1"/>
  <c r="M391" i="76"/>
  <c r="K366" i="76"/>
  <c r="L366" i="76" s="1"/>
  <c r="H131" i="80"/>
  <c r="H132" i="80" l="1"/>
  <c r="H133" i="80" l="1"/>
  <c r="H134" i="80" l="1"/>
  <c r="H163" i="80" s="1"/>
  <c r="S18" i="17"/>
  <c r="C13" i="9" l="1"/>
  <c r="L5" i="11"/>
  <c r="G163" i="80"/>
  <c r="H135" i="80"/>
  <c r="G13" i="9" l="1"/>
  <c r="L10" i="11" s="1"/>
  <c r="J231" i="76"/>
  <c r="J234" i="76" s="1"/>
  <c r="T16" i="17"/>
  <c r="T18" i="17" s="1"/>
  <c r="C126" i="76"/>
  <c r="F126" i="76" s="1"/>
  <c r="H136" i="80"/>
  <c r="G32" i="9" l="1"/>
  <c r="G36" i="9" s="1"/>
  <c r="H40" i="9" s="1"/>
  <c r="B19" i="76"/>
  <c r="D19" i="76" s="1"/>
  <c r="E19" i="76" s="1"/>
  <c r="H137" i="80"/>
  <c r="L40" i="9" l="1"/>
  <c r="L32" i="9" s="1"/>
  <c r="C12" i="18" s="1"/>
  <c r="C224" i="76" s="1"/>
  <c r="I40" i="9"/>
  <c r="I32" i="9" s="1"/>
  <c r="L19" i="11" s="1"/>
  <c r="J40" i="9"/>
  <c r="J32" i="9" s="1"/>
  <c r="K40" i="9"/>
  <c r="K32" i="9" s="1"/>
  <c r="L28" i="11" s="1"/>
  <c r="C19" i="76"/>
  <c r="H138" i="80"/>
  <c r="C196" i="76"/>
  <c r="C201" i="76" s="1"/>
  <c r="B196" i="76"/>
  <c r="H32" i="9"/>
  <c r="L15" i="11" s="1"/>
  <c r="D196" i="76" l="1"/>
  <c r="D201" i="76" s="1"/>
  <c r="F196" i="76"/>
  <c r="F201" i="76" s="1"/>
  <c r="E196" i="76"/>
  <c r="E201" i="76" s="1"/>
  <c r="G40" i="9"/>
  <c r="J241" i="76"/>
  <c r="J252" i="76"/>
  <c r="N16" i="11"/>
  <c r="J238" i="76"/>
  <c r="M32" i="9"/>
  <c r="L23" i="11"/>
  <c r="B12" i="18"/>
  <c r="L24" i="11" s="1"/>
  <c r="E416" i="76" s="1"/>
  <c r="G416" i="76" s="1"/>
  <c r="H139" i="80"/>
  <c r="B201" i="76"/>
  <c r="L32" i="11"/>
  <c r="L33" i="11"/>
  <c r="G196" i="76" l="1"/>
  <c r="G201" i="76"/>
  <c r="E417" i="76"/>
  <c r="G417" i="76" s="1"/>
  <c r="E415" i="76"/>
  <c r="G415" i="76" s="1"/>
  <c r="E418" i="76"/>
  <c r="G418" i="76" s="1"/>
  <c r="F391" i="76"/>
  <c r="E398" i="76" s="1"/>
  <c r="F398" i="76" s="1"/>
  <c r="F388" i="76"/>
  <c r="E395" i="76" s="1"/>
  <c r="F395" i="76" s="1"/>
  <c r="F390" i="76"/>
  <c r="E397" i="76" s="1"/>
  <c r="F397" i="76" s="1"/>
  <c r="J244" i="76"/>
  <c r="J245" i="76"/>
  <c r="J248" i="76"/>
  <c r="F387" i="76"/>
  <c r="H387" i="76" s="1"/>
  <c r="E414" i="76"/>
  <c r="G414" i="76" s="1"/>
  <c r="K249" i="76"/>
  <c r="J249" i="76"/>
  <c r="L39" i="11"/>
  <c r="H140" i="80"/>
  <c r="B224" i="76"/>
  <c r="D224" i="76" s="1"/>
  <c r="D12" i="18"/>
  <c r="N32" i="9"/>
  <c r="L42" i="11"/>
  <c r="L38" i="11"/>
  <c r="F389" i="76" l="1"/>
  <c r="H391" i="76"/>
  <c r="G398" i="76" s="1"/>
  <c r="H398" i="76" s="1"/>
  <c r="J391" i="76"/>
  <c r="I398" i="76" s="1"/>
  <c r="J398" i="76" s="1"/>
  <c r="J390" i="76"/>
  <c r="I397" i="76" s="1"/>
  <c r="J397" i="76" s="1"/>
  <c r="H390" i="76"/>
  <c r="G397" i="76" s="1"/>
  <c r="H397" i="76" s="1"/>
  <c r="H388" i="76"/>
  <c r="G395" i="76" s="1"/>
  <c r="H395" i="76" s="1"/>
  <c r="J388" i="76"/>
  <c r="I395" i="76" s="1"/>
  <c r="J395" i="76" s="1"/>
  <c r="J255" i="76"/>
  <c r="J256" i="76"/>
  <c r="E394" i="76"/>
  <c r="F394" i="76" s="1"/>
  <c r="J387" i="76"/>
  <c r="I394" i="76" s="1"/>
  <c r="J394" i="76" s="1"/>
  <c r="G46" i="11"/>
  <c r="L43" i="11"/>
  <c r="H141" i="80"/>
  <c r="L55" i="11"/>
  <c r="E396" i="76" l="1"/>
  <c r="F396" i="76" s="1"/>
  <c r="H389" i="76"/>
  <c r="G396" i="76" s="1"/>
  <c r="H396" i="76" s="1"/>
  <c r="N386" i="76"/>
  <c r="J389" i="76"/>
  <c r="I396" i="76" s="1"/>
  <c r="J396" i="76" s="1"/>
  <c r="L391" i="76"/>
  <c r="K398" i="76" s="1"/>
  <c r="L398" i="76" s="1"/>
  <c r="L390" i="76"/>
  <c r="K397" i="76" s="1"/>
  <c r="L397" i="76" s="1"/>
  <c r="L388" i="76"/>
  <c r="K395" i="76" s="1"/>
  <c r="L395" i="76" s="1"/>
  <c r="G394" i="76"/>
  <c r="H394" i="76" s="1"/>
  <c r="L387" i="76"/>
  <c r="K394" i="76" s="1"/>
  <c r="L394" i="76" s="1"/>
  <c r="H142" i="80"/>
  <c r="L56" i="11"/>
  <c r="M389" i="76" l="1"/>
  <c r="L389" i="76"/>
  <c r="K396" i="76" s="1"/>
  <c r="L396" i="76" s="1"/>
  <c r="H143" i="80"/>
  <c r="H144" i="80" l="1"/>
  <c r="H145" i="80" l="1"/>
  <c r="H146" i="80" l="1"/>
  <c r="H164" i="80" l="1"/>
  <c r="H168" i="80" s="1"/>
  <c r="H150" i="80"/>
  <c r="C14" i="9" l="1"/>
  <c r="M5" i="11"/>
  <c r="K231" i="76" s="1"/>
  <c r="K234" i="76" s="1"/>
  <c r="G164" i="80"/>
  <c r="F164" i="80" s="1"/>
  <c r="C127" i="76"/>
  <c r="F127" i="76" s="1"/>
  <c r="I168" i="80"/>
  <c r="G14" i="9" l="1"/>
  <c r="G33" i="9" s="1"/>
  <c r="G37" i="9" s="1"/>
  <c r="J41" i="9" l="1"/>
  <c r="J33" i="9" s="1"/>
  <c r="B13" i="18" s="1"/>
  <c r="B225" i="76" s="1"/>
  <c r="K41" i="9"/>
  <c r="K33" i="9" s="1"/>
  <c r="M28" i="11" s="1"/>
  <c r="H41" i="9"/>
  <c r="B197" i="76" s="1"/>
  <c r="B202" i="76" s="1"/>
  <c r="I41" i="9"/>
  <c r="I33" i="9" s="1"/>
  <c r="M19" i="11" s="1"/>
  <c r="L41" i="9"/>
  <c r="L33" i="9" s="1"/>
  <c r="C13" i="18" s="1"/>
  <c r="M10" i="11"/>
  <c r="B20" i="76" s="1"/>
  <c r="C20" i="76" s="1"/>
  <c r="C197" i="76" l="1"/>
  <c r="C202" i="76" s="1"/>
  <c r="E197" i="76"/>
  <c r="E202" i="76" s="1"/>
  <c r="M23" i="11"/>
  <c r="K244" i="76" s="1"/>
  <c r="D197" i="76"/>
  <c r="D202" i="76" s="1"/>
  <c r="D20" i="76"/>
  <c r="E20" i="76" s="1"/>
  <c r="G41" i="9"/>
  <c r="H33" i="9"/>
  <c r="M15" i="11" s="1"/>
  <c r="F197" i="76"/>
  <c r="F202" i="76" s="1"/>
  <c r="K252" i="76"/>
  <c r="K241" i="76"/>
  <c r="M32" i="11"/>
  <c r="F418" i="76" s="1"/>
  <c r="E425" i="76" s="1"/>
  <c r="F425" i="76" s="1"/>
  <c r="B14" i="18"/>
  <c r="M33" i="11"/>
  <c r="C225" i="76"/>
  <c r="D225" i="76" s="1"/>
  <c r="D13" i="18"/>
  <c r="M43" i="11" s="1"/>
  <c r="M24" i="11"/>
  <c r="G202" i="76" l="1"/>
  <c r="G197" i="76"/>
  <c r="M33" i="9"/>
  <c r="N33" i="9" s="1"/>
  <c r="F415" i="76"/>
  <c r="E422" i="76" s="1"/>
  <c r="F422" i="76" s="1"/>
  <c r="F417" i="76"/>
  <c r="F416" i="76"/>
  <c r="K245" i="76"/>
  <c r="H418" i="76"/>
  <c r="G425" i="76" s="1"/>
  <c r="H425" i="76" s="1"/>
  <c r="K248" i="76"/>
  <c r="M38" i="11"/>
  <c r="M39" i="11"/>
  <c r="M56" i="11" s="1"/>
  <c r="K238" i="76"/>
  <c r="H415" i="76" l="1"/>
  <c r="G422" i="76" s="1"/>
  <c r="H422" i="76" s="1"/>
  <c r="I418" i="76"/>
  <c r="E423" i="76"/>
  <c r="F423" i="76" s="1"/>
  <c r="H417" i="76"/>
  <c r="G424" i="76" s="1"/>
  <c r="H424" i="76" s="1"/>
  <c r="E424" i="76"/>
  <c r="F424" i="76" s="1"/>
  <c r="M42" i="11"/>
  <c r="M55" i="11" s="1"/>
  <c r="C96" i="76" s="1"/>
  <c r="K256" i="76"/>
  <c r="H416" i="76"/>
  <c r="G423" i="76" s="1"/>
  <c r="H423" i="76" s="1"/>
  <c r="F414" i="76"/>
  <c r="K414" i="76" s="1"/>
  <c r="K255" i="76"/>
  <c r="B82" i="76"/>
  <c r="C40" i="76"/>
  <c r="C87" i="76" s="1"/>
  <c r="D75" i="76"/>
  <c r="D42" i="76"/>
  <c r="D89" i="76" s="1"/>
  <c r="E77" i="76"/>
  <c r="E44" i="76"/>
  <c r="E91" i="76" s="1"/>
  <c r="F46" i="76"/>
  <c r="F93" i="76" s="1"/>
  <c r="F79" i="76"/>
  <c r="B96" i="76"/>
  <c r="C41" i="76"/>
  <c r="C88" i="76" s="1"/>
  <c r="C74" i="76"/>
  <c r="D43" i="76"/>
  <c r="D90" i="76" s="1"/>
  <c r="D76" i="76"/>
  <c r="E78" i="76"/>
  <c r="E45" i="76"/>
  <c r="E92" i="76" s="1"/>
  <c r="F47" i="76"/>
  <c r="F94" i="76" s="1"/>
  <c r="F80" i="76"/>
  <c r="B40" i="76"/>
  <c r="B87" i="76" s="1"/>
  <c r="B73" i="76"/>
  <c r="C42" i="76"/>
  <c r="C89" i="76" s="1"/>
  <c r="C75" i="76"/>
  <c r="D77" i="76"/>
  <c r="D44" i="76"/>
  <c r="D91" i="76" s="1"/>
  <c r="E79" i="76"/>
  <c r="E46" i="76"/>
  <c r="E93" i="76" s="1"/>
  <c r="F81" i="76"/>
  <c r="F48" i="76"/>
  <c r="F95" i="76" s="1"/>
  <c r="D74" i="76"/>
  <c r="D41" i="76"/>
  <c r="D88" i="76" s="1"/>
  <c r="B41" i="76"/>
  <c r="B74" i="76"/>
  <c r="C76" i="76"/>
  <c r="C43" i="76"/>
  <c r="C90" i="76" s="1"/>
  <c r="D45" i="76"/>
  <c r="D92" i="76" s="1"/>
  <c r="D78" i="76"/>
  <c r="E80" i="76"/>
  <c r="E47" i="76"/>
  <c r="E94" i="76" s="1"/>
  <c r="F82" i="76"/>
  <c r="F49" i="76"/>
  <c r="F96" i="76" s="1"/>
  <c r="B75" i="76"/>
  <c r="B42" i="76"/>
  <c r="C77" i="76"/>
  <c r="C44" i="76"/>
  <c r="C91" i="76" s="1"/>
  <c r="D79" i="76"/>
  <c r="D46" i="76"/>
  <c r="D93" i="76" s="1"/>
  <c r="E48" i="76"/>
  <c r="E95" i="76" s="1"/>
  <c r="E81" i="76"/>
  <c r="B43" i="76"/>
  <c r="B76" i="76"/>
  <c r="C45" i="76"/>
  <c r="C92" i="76" s="1"/>
  <c r="C78" i="76"/>
  <c r="D47" i="76"/>
  <c r="D94" i="76" s="1"/>
  <c r="D80" i="76"/>
  <c r="E82" i="76"/>
  <c r="E49" i="76"/>
  <c r="E96" i="76" s="1"/>
  <c r="B44" i="76"/>
  <c r="B77" i="76"/>
  <c r="C46" i="76"/>
  <c r="C93" i="76" s="1"/>
  <c r="C79" i="76"/>
  <c r="D48" i="76"/>
  <c r="D95" i="76" s="1"/>
  <c r="D81" i="76"/>
  <c r="F40" i="76"/>
  <c r="F87" i="76" s="1"/>
  <c r="F73" i="76"/>
  <c r="E76" i="76"/>
  <c r="E43" i="76"/>
  <c r="E90" i="76" s="1"/>
  <c r="B78" i="76"/>
  <c r="B45" i="76"/>
  <c r="C80" i="76"/>
  <c r="C47" i="76"/>
  <c r="C94" i="76" s="1"/>
  <c r="D49" i="76"/>
  <c r="D82" i="76"/>
  <c r="F41" i="76"/>
  <c r="F88" i="76" s="1"/>
  <c r="F74" i="76"/>
  <c r="B46" i="76"/>
  <c r="B79" i="76"/>
  <c r="C81" i="76"/>
  <c r="C95" i="76"/>
  <c r="E73" i="76"/>
  <c r="E40" i="76"/>
  <c r="E87" i="76" s="1"/>
  <c r="F42" i="76"/>
  <c r="F89" i="76" s="1"/>
  <c r="F75" i="76"/>
  <c r="F45" i="76"/>
  <c r="F92" i="76" s="1"/>
  <c r="F78" i="76"/>
  <c r="B80" i="76"/>
  <c r="B47" i="76"/>
  <c r="C82" i="76"/>
  <c r="E74" i="76"/>
  <c r="E41" i="76"/>
  <c r="E88" i="76" s="1"/>
  <c r="F43" i="76"/>
  <c r="F90" i="76" s="1"/>
  <c r="F76" i="76"/>
  <c r="B48" i="76"/>
  <c r="B81" i="76"/>
  <c r="D73" i="76"/>
  <c r="D40" i="76"/>
  <c r="D87" i="76" s="1"/>
  <c r="E42" i="76"/>
  <c r="E89" i="76" s="1"/>
  <c r="E75" i="76"/>
  <c r="F44" i="76"/>
  <c r="F91" i="76" s="1"/>
  <c r="F77" i="76"/>
  <c r="E421" i="76" l="1"/>
  <c r="F421" i="76" s="1"/>
  <c r="H414" i="76"/>
  <c r="G421" i="76" s="1"/>
  <c r="H421" i="76" s="1"/>
  <c r="D96" i="76"/>
  <c r="G49" i="76"/>
  <c r="B95" i="76"/>
  <c r="G48" i="76"/>
  <c r="G42" i="76"/>
  <c r="B89" i="76"/>
  <c r="B88" i="76"/>
  <c r="G41" i="76"/>
  <c r="G40" i="76"/>
  <c r="G45" i="76"/>
  <c r="B92" i="76"/>
  <c r="B90" i="76"/>
  <c r="G43" i="76"/>
  <c r="B94" i="76"/>
  <c r="G47" i="76"/>
  <c r="G44" i="76"/>
  <c r="B91" i="76"/>
  <c r="G46" i="76"/>
  <c r="B93" i="76"/>
  <c r="J273" i="76" l="1"/>
  <c r="B281" i="76"/>
  <c r="L273" i="76"/>
  <c r="K281" i="76" s="1"/>
  <c r="L281" i="76" s="1"/>
  <c r="J274" i="76"/>
  <c r="L274" i="76"/>
  <c r="K282" i="76" s="1"/>
  <c r="L282" i="76" s="1"/>
  <c r="J276" i="76"/>
  <c r="L276" i="76"/>
  <c r="K284" i="76" s="1"/>
  <c r="L284" i="76" s="1"/>
  <c r="J275" i="76"/>
  <c r="L275" i="76"/>
  <c r="I281" i="76" l="1"/>
  <c r="J281" i="76" s="1"/>
  <c r="C281" i="7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<sst xmlns="http://schemas.openxmlformats.org/spreadsheetml/2006/main" count="760" uniqueCount="221">
  <si>
    <t>Loss Factor</t>
  </si>
  <si>
    <t xml:space="preserve">Residential </t>
  </si>
  <si>
    <t>Total Billed</t>
  </si>
  <si>
    <t>Heating Degree Days</t>
  </si>
  <si>
    <t>Cooling Degree Days</t>
  </si>
  <si>
    <t>Purchases</t>
  </si>
  <si>
    <t>Modeled Purchases</t>
  </si>
  <si>
    <t>% Difference</t>
  </si>
  <si>
    <t>Total</t>
  </si>
  <si>
    <t xml:space="preserve">Predicted Purchases </t>
  </si>
  <si>
    <t>Average</t>
  </si>
  <si>
    <t xml:space="preserve">Geomean </t>
  </si>
  <si>
    <t>Usage Per Customer</t>
  </si>
  <si>
    <t>Check</t>
  </si>
  <si>
    <t>Spring Fall Flag</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</si>
  <si>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</si>
  <si>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</si>
  <si>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</si>
  <si>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</si>
  <si>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</si>
  <si>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</si>
  <si>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</si>
  <si>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</si>
  <si>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</si>
  <si>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</si>
  <si>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</si>
  <si>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</si>
  <si>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</si>
  <si>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</si>
  <si>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</si>
  <si>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</si>
  <si>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</si>
  <si>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</si>
  <si>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</si>
  <si>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</si>
  <si>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</si>
  <si>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</si>
  <si>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Growth Rate in Customer Numbers </t>
  </si>
  <si>
    <t>Weather Corrected Forecast</t>
  </si>
  <si>
    <t>Non Weather Corrected Forecast</t>
  </si>
  <si>
    <t>% Weather Sensitive</t>
  </si>
  <si>
    <t>Allocation of Weather Sensitive Amount</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</si>
  <si>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</si>
  <si>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</si>
  <si>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</si>
  <si>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</si>
  <si>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</si>
  <si>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</si>
  <si>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</si>
  <si>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</si>
  <si>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</si>
  <si>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Used</t>
  </si>
  <si>
    <t>kW/kWh</t>
  </si>
  <si>
    <t>Street Lights</t>
  </si>
  <si>
    <t>May</t>
  </si>
  <si>
    <t>kWh</t>
  </si>
  <si>
    <t>kW</t>
  </si>
  <si>
    <t xml:space="preserve">2015 Actual </t>
  </si>
  <si>
    <t xml:space="preserve">2016 Actual </t>
  </si>
  <si>
    <t xml:space="preserve">2017 Actual </t>
  </si>
  <si>
    <t>Power Purchased</t>
  </si>
  <si>
    <t>Average Number of Customer/Connections</t>
  </si>
  <si>
    <t xml:space="preserve">2018 Actual </t>
  </si>
  <si>
    <t xml:space="preserve">2019 Actual </t>
  </si>
  <si>
    <t xml:space="preserve">Total Billed </t>
  </si>
  <si>
    <t>Year</t>
  </si>
  <si>
    <t>Check - must be zero</t>
  </si>
  <si>
    <t>2014 Actual</t>
  </si>
  <si>
    <t>2020 Actual</t>
  </si>
  <si>
    <t>2021 Actual</t>
  </si>
  <si>
    <t>2022 Actual</t>
  </si>
  <si>
    <t>General Service &lt; 50 kW</t>
  </si>
  <si>
    <t>10-year average</t>
  </si>
  <si>
    <t>Days in Month</t>
  </si>
  <si>
    <t>Jan</t>
  </si>
  <si>
    <t>Feb</t>
  </si>
  <si>
    <t>Mar</t>
  </si>
  <si>
    <t>Apr</t>
  </si>
  <si>
    <t>Jun</t>
  </si>
  <si>
    <t>Jul</t>
  </si>
  <si>
    <t>Aug</t>
  </si>
  <si>
    <t>Sep</t>
  </si>
  <si>
    <t>Oct</t>
  </si>
  <si>
    <t>Nov</t>
  </si>
  <si>
    <t>Dec</t>
  </si>
  <si>
    <t>Number of Customers</t>
  </si>
  <si>
    <t>Total Customers</t>
  </si>
  <si>
    <t>Weather Normal</t>
  </si>
  <si>
    <t>Table 3-1: Summary of Load and Customer/Connection Forecast</t>
  </si>
  <si>
    <t>Billed 
Actual
(GWh)</t>
  </si>
  <si>
    <t>Growth 
(GWh)</t>
  </si>
  <si>
    <t>Billed 
Weather 
Normal
(GWh)</t>
  </si>
  <si>
    <t>Customer/
Connection
Count</t>
  </si>
  <si>
    <t xml:space="preserve">Growth </t>
  </si>
  <si>
    <t>Billed Energy (GWh) and Customer Count / Connections</t>
  </si>
  <si>
    <t>Table 3-2 Billed Energy by Rate Class</t>
  </si>
  <si>
    <t>Billed Energy (GWh) - Actual</t>
  </si>
  <si>
    <t>Billed Energy (GWh) - Weather Normal</t>
  </si>
  <si>
    <t xml:space="preserve">Table 3-3: Number of Customers/Connections  and Annual Normalized Usage by Rate Class </t>
  </si>
  <si>
    <t>Number of Customers/Connections</t>
  </si>
  <si>
    <t>Actual Annual Energy Usage per Customer/Connection (kWh per customer/connection)</t>
  </si>
  <si>
    <t>Normalized Annual Energy Usage per Customer/Connection (kWh per customer/connection)</t>
  </si>
  <si>
    <t xml:space="preserve">Actual </t>
  </si>
  <si>
    <t xml:space="preserve">Predicted </t>
  </si>
  <si>
    <t>Predicted 
Weather 
Normal</t>
  </si>
  <si>
    <t>Weather 
Normal Conversion 
Factor</t>
  </si>
  <si>
    <t>Actual 
Weather 
Normal</t>
  </si>
  <si>
    <t>Purchased Energy (GWh)</t>
  </si>
  <si>
    <t>Growth Rate in Customers/Connections</t>
  </si>
  <si>
    <t>Forecast Number of Customers/Connections</t>
  </si>
  <si>
    <t xml:space="preserve">Annual kWh Usage Per Customer/Connection </t>
  </si>
  <si>
    <t>Forecast Annual kWh Usage per Customers/Connection</t>
  </si>
  <si>
    <t>NON-normalized Weather Billed Energy Forecast (GWh)</t>
  </si>
  <si>
    <t>Weather Sensitivity</t>
  </si>
  <si>
    <t>Non-normalized Weather Billed Energy Forecast (GWh)</t>
  </si>
  <si>
    <t>Weather Adjustment (GWh)</t>
  </si>
  <si>
    <t>Weather Normalized Billed Energy Forecast (GWh)</t>
  </si>
  <si>
    <t>Ratio of kW to kWh</t>
  </si>
  <si>
    <t>Predicted Billed kW</t>
  </si>
  <si>
    <t>Predicted kWh Purchases before CDM adjustment</t>
  </si>
  <si>
    <t>% Difference between actual and predicted purchases</t>
  </si>
  <si>
    <t>Billing Determinants</t>
  </si>
  <si>
    <t>General Service 50 to 4,999 kW</t>
  </si>
  <si>
    <t>2017</t>
  </si>
  <si>
    <t>Table 3-4: Statistical Results</t>
  </si>
  <si>
    <t>F Test</t>
  </si>
  <si>
    <t xml:space="preserve">MAPE (Monthly) </t>
  </si>
  <si>
    <t>T-stats by Coefficient</t>
  </si>
  <si>
    <t>Table 3-5: Total System Purchases Excluding Wholesale Market Particpants</t>
  </si>
  <si>
    <t>Table 3-6: Historical Customer/Connection (Average)</t>
  </si>
  <si>
    <t>Table 3-7: Growth Rate in Customers/Connections</t>
  </si>
  <si>
    <t>Table 3-8: Customer/Connection Forecast</t>
  </si>
  <si>
    <t>Table 3-9: 2022 Actual Annual Usage per Customer</t>
  </si>
  <si>
    <t>Table 3-10: Forecast Annual kWh Usage per Customer/Connection</t>
  </si>
  <si>
    <t>Table 3-11: Non-normalized Weather Billed Energy Forecast</t>
  </si>
  <si>
    <t>Table 3-12:  Weather Sensitivity by Rate Class</t>
  </si>
  <si>
    <t xml:space="preserve">Table 3-13: Alignment of Non-normal to Weather Normal Forecast </t>
  </si>
  <si>
    <t>Table 3-14: Average 2013-2022 kW/KWh Ratio per Applicable Rate Class</t>
  </si>
  <si>
    <t>Table 3-15: kW Forecast by Applicable Rate Class</t>
  </si>
  <si>
    <t xml:space="preserve">2020 Actual </t>
  </si>
  <si>
    <t xml:space="preserve">Table 3-16: Forecast Summary </t>
  </si>
  <si>
    <t>Distribution Throughput Revenue</t>
  </si>
  <si>
    <t>Difference ($)</t>
  </si>
  <si>
    <t>Difference (%)</t>
  </si>
  <si>
    <t>Rate Class</t>
  </si>
  <si>
    <t>Variance</t>
  </si>
  <si>
    <t>Customers / Connections</t>
  </si>
  <si>
    <t>Units</t>
  </si>
  <si>
    <t>Volume</t>
  </si>
  <si>
    <t>Annual Usage per Customer / Connection</t>
  </si>
  <si>
    <t>Annual Usage per Customer / Connection (Wthr Nrml)</t>
  </si>
  <si>
    <t>Volume (Wthr Nrml)</t>
  </si>
  <si>
    <t>Weather Normal Conversion Factor</t>
  </si>
  <si>
    <t>%</t>
  </si>
  <si>
    <t>Count</t>
  </si>
  <si>
    <t>Weather Normal Conversion Factor 2020</t>
  </si>
  <si>
    <t>Weather Normal Conversion Factor 2021</t>
  </si>
  <si>
    <t>Table 3-24: Distribution Revenue - 2020 Actual vs 2021 Actual</t>
  </si>
  <si>
    <t>Table 3-25: Billing Determinants - 2020 Actual vs 2021 Actual</t>
  </si>
  <si>
    <t>Table 3-26: Distribution Revenue - 2021 Actual vs 2022 Actual</t>
  </si>
  <si>
    <t>Table 3-27: Billing Determinants - 2021 Actual vs 2022 Actual</t>
  </si>
  <si>
    <t>Weather Normal Conversion Factor 2022</t>
  </si>
  <si>
    <t>R1(i) Residential</t>
  </si>
  <si>
    <t>R1(ii) GS &lt; 50 kW</t>
  </si>
  <si>
    <t>R2 GS&gt;50 kW</t>
  </si>
  <si>
    <t>Seasonal</t>
  </si>
  <si>
    <t>Year End</t>
  </si>
  <si>
    <t>Monthly Growth Rate</t>
  </si>
  <si>
    <t>2024 Bridge</t>
  </si>
  <si>
    <t>2025 Test</t>
  </si>
  <si>
    <t>API Weather Normal Load Forecast for 2024 Rate Application</t>
  </si>
  <si>
    <t>Manual Incremental kWh</t>
  </si>
  <si>
    <t>Manual kW</t>
  </si>
  <si>
    <t>Residual Squared</t>
  </si>
  <si>
    <t>Sum of Squared Residuals</t>
  </si>
  <si>
    <t>Difference of Residuals</t>
  </si>
  <si>
    <t>Difference of Residuals Squared</t>
  </si>
  <si>
    <t>Sum of Squared Difference of Residuals</t>
  </si>
  <si>
    <t>Durbin-Watson Calculation</t>
  </si>
  <si>
    <t>Residual (kWh)</t>
  </si>
  <si>
    <t xml:space="preserve">% Residual </t>
  </si>
  <si>
    <t>% Residual (Abs)</t>
  </si>
  <si>
    <t>2025- excl Manual</t>
  </si>
  <si>
    <t>2023 Actuals</t>
  </si>
  <si>
    <t xml:space="preserve">Average </t>
  </si>
  <si>
    <t xml:space="preserve">Variance </t>
  </si>
  <si>
    <t>% Variance</t>
  </si>
  <si>
    <t>% Variance (Abs)</t>
  </si>
  <si>
    <t xml:space="preserve">Weather Normal </t>
  </si>
  <si>
    <t>Actual Weather Normalized</t>
  </si>
  <si>
    <t>2023 Actual</t>
  </si>
  <si>
    <t>Power Purchase Model</t>
  </si>
  <si>
    <t>Power Purchased Model WN</t>
  </si>
  <si>
    <t>2024 Bridge
Weather Normal</t>
  </si>
  <si>
    <t>2025 Test
Weather Normal</t>
  </si>
  <si>
    <t>Table 3-30: Billing Determinants - 2023 Actual vs 2024 Bridge</t>
  </si>
  <si>
    <t xml:space="preserve">Table 3-29: Billing Determinants - 2022 Actual vs 2023 Actual </t>
  </si>
  <si>
    <t>Weather Normal Conversion Factor 2023</t>
  </si>
  <si>
    <t xml:space="preserve">2023 Actual </t>
  </si>
  <si>
    <t>Table 3-30: Distribution Revenue -2024 Bridge vs 2025 Test</t>
  </si>
  <si>
    <t>Table 3-32: Billing Determinants - 2024 Bridge vs 2025 Test</t>
  </si>
  <si>
    <t>Table 3-28: Distribution Revenue - 2023 Actual vs 2024 Bridge</t>
  </si>
  <si>
    <t xml:space="preserve">Seasonal </t>
  </si>
  <si>
    <t>2018 Yr End</t>
  </si>
  <si>
    <t>2020 Board Approved</t>
  </si>
  <si>
    <t xml:space="preserve">Table 3-16: Distribution Revenue - 2020 Board Approved vs 2020 Actual </t>
  </si>
  <si>
    <t xml:space="preserve">Table 3-17: Billing Determinants - 2020 Board Approved vs 2020 Actual </t>
  </si>
  <si>
    <t>2020  Actual</t>
  </si>
  <si>
    <t>2015 to 2019</t>
  </si>
  <si>
    <t>proposed LF per APP 2-R</t>
  </si>
  <si>
    <t>Table 3-28: Distribution Revenue - 2022 Actual vs 2023 Actual</t>
  </si>
  <si>
    <t xml:space="preserve">Volume </t>
  </si>
  <si>
    <t>Geometric Mean ('15-'19)</t>
  </si>
  <si>
    <t xml:space="preserve">R2 "Manual Adjustment </t>
  </si>
  <si>
    <t>Geometric Mean ('15-'23)</t>
  </si>
  <si>
    <t>Customers</t>
  </si>
  <si>
    <t>Devices</t>
  </si>
  <si>
    <t xml:space="preserve">2024 June YTD </t>
  </si>
  <si>
    <t>Avg. Monthly Growth YTD</t>
  </si>
  <si>
    <t>Average 2024 Customers</t>
  </si>
  <si>
    <t>Mean Absolute Percentage Error (MAPE)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</si>
</sst>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0.0%"/>
    <numFmt numFmtId="168" formatCode="#,##0;\(#,##0\)"/>
    <numFmt numFmtId="169" formatCode="0.0000"/>
    <numFmt numFmtId="170" formatCode="#,##0.0000"/>
    <numFmt numFmtId="171" formatCode="0.0000%"/>
    <numFmt numFmtId="172" formatCode="_(* #,##0_);_(* \(#,##0\);_(* &quot;-&quot;??_);_(@_)"/>
    <numFmt numFmtId="173" formatCode="_(* #,##0.0_);_(* \(#,##0.0\);_(* &quot;-&quot;??_);_(@_)"/>
    <numFmt numFmtId="174" formatCode="#,##0.0"/>
    <numFmt numFmtId="175" formatCode="mm/dd/yyyy"/>
    <numFmt numFmtId="176" formatCode="0\-0"/>
    <numFmt numFmtId="177" formatCode="##\-#"/>
    <numFmt numFmtId="178" formatCode="&quot;£ &quot;#,##0.00;[Red]\-&quot;£ &quot;#,##0.00"/>
    <numFmt numFmtId="179" formatCode="_-* #,##0.00_-;\-* #,##0.00_-;_-* \-??_-;_-@_-"/>
    <numFmt numFmtId="180" formatCode="0;\(0\)"/>
    <numFmt numFmtId="181" formatCode="0.0;\(0.0\)"/>
    <numFmt numFmtId="182" formatCode="#,##0.00000"/>
    <numFmt numFmtId="183" formatCode="0.0%;\(0.0%\)"/>
    <numFmt numFmtId="184" formatCode="#,##0.0;\(#,##0.0\)"/>
    <numFmt numFmtId="185" formatCode="0.0000%;\(0.0%\)"/>
    <numFmt numFmtId="186" formatCode="0.0"/>
    <numFmt numFmtId="187" formatCode="_-* #,##0_-;\-* #,##0_-;_-* &quot;-&quot;??_-;_-@_-"/>
    <numFmt numFmtId="188" formatCode="#,##0.0000000"/>
    <numFmt numFmtId="189" formatCode="0.00000%"/>
    <numFmt numFmtId="190" formatCode="0.000000000"/>
    <numFmt numFmtId="191" formatCode="#,##0.0000000000"/>
    <numFmt numFmtId="192" formatCode="0.000%"/>
  </numFmts>
  <fonts count="8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name val="Arial"/>
      <family val="2"/>
    </font>
    <font>
      <b/>
      <sz val="10"/>
      <name val="Arial"/>
      <family val="2"/>
    </font>
    <font>
      <b/>
      <sz val="12"/>
      <name val="Arial"/>
      <family val="2"/>
    </font>
    <font>
      <i/>
      <sz val="10"/>
      <name val="Arial"/>
      <family val="2"/>
    </font>
    <font>
      <sz val="8"/>
      <name val="Arial"/>
      <family val="2"/>
    </font>
    <font>
      <sz val="10"/>
      <color rgb="FFFF0000"/>
      <name val="Arial"/>
      <family val="2"/>
    </font>
    <font>
      <sz val="10"/>
      <name val="Arial"/>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Arial"/>
      <family val="2"/>
    </font>
    <font>
      <b/>
      <sz val="12"/>
      <color indexed="8"/>
      <name val="Times New Roman"/>
      <family val="1"/>
    </font>
    <font>
      <b/>
      <sz val="10"/>
      <color indexed="8"/>
      <name val="Times New Roman"/>
      <family val="1"/>
    </font>
    <font>
      <b/>
      <sz val="14"/>
      <name val="Arial"/>
      <family val="2"/>
    </font>
    <font>
      <sz val="10"/>
      <name val="Times New Roman"/>
      <family val="1"/>
    </font>
    <font>
      <u/>
      <sz val="10"/>
      <color theme="10"/>
      <name val="Arial"/>
      <family val="2"/>
    </font>
    <font>
      <sz val="10"/>
      <color theme="1"/>
      <name val="Arial"/>
      <family val="2"/>
    </font>
    <font>
      <sz val="11"/>
      <name val="Arial"/>
      <family val="2"/>
    </font>
    <font>
      <sz val="11"/>
      <color indexed="8"/>
      <name val="Calibri"/>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imes New Roman"/>
      <family val="1"/>
    </font>
    <font>
      <sz val="10"/>
      <name val="Arial"/>
      <family val="2"/>
      <charset val="1"/>
    </font>
    <font>
      <sz val="10"/>
      <name val="Mangal"/>
      <family val="2"/>
      <charset val="1"/>
    </font>
    <font>
      <u/>
      <sz val="10"/>
      <color indexed="12"/>
      <name val="Times New Roman"/>
      <family val="1"/>
    </font>
    <font>
      <b/>
      <u/>
      <sz val="10"/>
      <name val="Arial"/>
      <family val="2"/>
    </font>
    <font>
      <sz val="10"/>
      <name val="Arial"/>
      <family val="2"/>
    </font>
    <font>
      <sz val="12"/>
      <name val="Arial"/>
      <family val="2"/>
    </font>
    <font>
      <b/>
      <sz val="11"/>
      <name val="Arial"/>
      <family val="2"/>
    </font>
    <font>
      <sz val="11"/>
      <name val="Calibri"/>
      <family val="2"/>
      <scheme val="minor"/>
    </font>
  </fonts>
  <fills count="71">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rgb="FFFFFF0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rgb="FF00B0F0"/>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5" tint="0.59999389629810485"/>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auto="1"/>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1651">
    <xf numFmtId="0" fontId="0" fillId="0" borderId="0"/>
    <xf numFmtId="166" fontId="9" fillId="0" borderId="0" applyFont="0" applyFill="0" applyBorder="0" applyAlignment="0" applyProtection="0"/>
    <xf numFmtId="9" fontId="9" fillId="0" borderId="0" applyFont="0" applyFill="0" applyBorder="0" applyAlignment="0" applyProtection="0"/>
    <xf numFmtId="0" fontId="17" fillId="5" borderId="1" applyNumberFormat="0" applyProtection="0">
      <alignment horizontal="left" vertical="center"/>
    </xf>
    <xf numFmtId="0" fontId="9" fillId="0" borderId="0"/>
    <xf numFmtId="166" fontId="9" fillId="0" borderId="0" applyFont="0" applyFill="0" applyBorder="0" applyAlignment="0" applyProtection="0"/>
    <xf numFmtId="166" fontId="9" fillId="0" borderId="0" applyFont="0" applyFill="0" applyBorder="0" applyAlignment="0" applyProtection="0"/>
    <xf numFmtId="3" fontId="9" fillId="0" borderId="0" applyFont="0" applyFill="0" applyBorder="0" applyAlignment="0" applyProtection="0"/>
    <xf numFmtId="164" fontId="9" fillId="0" borderId="0" applyFont="0" applyFill="0" applyBorder="0" applyAlignment="0" applyProtection="0"/>
    <xf numFmtId="14" fontId="9" fillId="0" borderId="0" applyFont="0" applyFill="0" applyBorder="0" applyAlignment="0" applyProtection="0"/>
    <xf numFmtId="2" fontId="9" fillId="0" borderId="0" applyFont="0" applyFill="0" applyBorder="0" applyAlignment="0" applyProtection="0"/>
    <xf numFmtId="0" fontId="8" fillId="0" borderId="0"/>
    <xf numFmtId="165" fontId="8" fillId="0" borderId="0" applyFont="0" applyFill="0" applyBorder="0" applyAlignment="0" applyProtection="0"/>
    <xf numFmtId="166" fontId="8" fillId="0" borderId="0" applyFont="0" applyFill="0" applyBorder="0" applyAlignment="0" applyProtection="0"/>
    <xf numFmtId="173" fontId="9" fillId="0" borderId="0"/>
    <xf numFmtId="174" fontId="9" fillId="0" borderId="0"/>
    <xf numFmtId="173" fontId="9" fillId="0" borderId="0"/>
    <xf numFmtId="173" fontId="9" fillId="0" borderId="0"/>
    <xf numFmtId="173" fontId="9" fillId="0" borderId="0"/>
    <xf numFmtId="173" fontId="9" fillId="0" borderId="0"/>
    <xf numFmtId="175" fontId="9" fillId="0" borderId="0"/>
    <xf numFmtId="176" fontId="9" fillId="0" borderId="0"/>
    <xf numFmtId="175" fontId="9" fillId="0" borderId="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33" fillId="16" borderId="0" applyNumberFormat="0" applyBorder="0" applyAlignment="0" applyProtection="0"/>
    <xf numFmtId="0" fontId="33" fillId="20" borderId="0" applyNumberFormat="0" applyBorder="0" applyAlignment="0" applyProtection="0"/>
    <xf numFmtId="0" fontId="33" fillId="24" borderId="0" applyNumberFormat="0" applyBorder="0" applyAlignment="0" applyProtection="0"/>
    <xf numFmtId="0" fontId="33" fillId="28" borderId="0" applyNumberFormat="0" applyBorder="0" applyAlignment="0" applyProtection="0"/>
    <xf numFmtId="0" fontId="33" fillId="32"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17"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29" borderId="0" applyNumberFormat="0" applyBorder="0" applyAlignment="0" applyProtection="0"/>
    <xf numFmtId="0" fontId="33" fillId="33" borderId="0" applyNumberFormat="0" applyBorder="0" applyAlignment="0" applyProtection="0"/>
    <xf numFmtId="0" fontId="24" fillId="7" borderId="0" applyNumberFormat="0" applyBorder="0" applyAlignment="0" applyProtection="0"/>
    <xf numFmtId="0" fontId="28" fillId="10" borderId="9" applyNumberFormat="0" applyAlignment="0" applyProtection="0"/>
    <xf numFmtId="0" fontId="30" fillId="11" borderId="12" applyNumberFormat="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32" fillId="0" borderId="0" applyNumberFormat="0" applyFill="0" applyBorder="0" applyAlignment="0" applyProtection="0"/>
    <xf numFmtId="0" fontId="23" fillId="6" borderId="0" applyNumberFormat="0" applyBorder="0" applyAlignment="0" applyProtection="0"/>
    <xf numFmtId="38" fontId="15" fillId="37" borderId="0" applyNumberFormat="0" applyBorder="0" applyAlignment="0" applyProtection="0"/>
    <xf numFmtId="38" fontId="15" fillId="3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10" fontId="15" fillId="38" borderId="1" applyNumberFormat="0" applyBorder="0" applyAlignment="0" applyProtection="0"/>
    <xf numFmtId="10" fontId="15" fillId="38" borderId="1" applyNumberFormat="0" applyBorder="0" applyAlignment="0" applyProtection="0"/>
    <xf numFmtId="0" fontId="26" fillId="9" borderId="9" applyNumberFormat="0" applyAlignment="0" applyProtection="0"/>
    <xf numFmtId="0" fontId="29" fillId="0" borderId="11" applyNumberFormat="0" applyFill="0" applyAlignment="0" applyProtection="0"/>
    <xf numFmtId="177" fontId="9" fillId="0" borderId="0"/>
    <xf numFmtId="172" fontId="9" fillId="0" borderId="0"/>
    <xf numFmtId="177" fontId="9" fillId="0" borderId="0"/>
    <xf numFmtId="177" fontId="9" fillId="0" borderId="0"/>
    <xf numFmtId="177" fontId="9" fillId="0" borderId="0"/>
    <xf numFmtId="177" fontId="9" fillId="0" borderId="0"/>
    <xf numFmtId="0" fontId="25" fillId="8" borderId="0" applyNumberFormat="0" applyBorder="0" applyAlignment="0" applyProtection="0"/>
    <xf numFmtId="178"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12" borderId="13" applyNumberFormat="0" applyFont="0" applyAlignment="0" applyProtection="0"/>
    <xf numFmtId="0" fontId="27" fillId="10" borderId="10" applyNumberFormat="0" applyAlignment="0" applyProtection="0"/>
    <xf numFmtId="10"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0" fontId="34" fillId="0" borderId="0" applyNumberFormat="0" applyBorder="0" applyAlignment="0"/>
    <xf numFmtId="0" fontId="35" fillId="0" borderId="0" applyNumberFormat="0" applyBorder="0" applyAlignment="0"/>
    <xf numFmtId="0" fontId="36" fillId="0" borderId="0" applyNumberFormat="0" applyBorder="0" applyAlignment="0"/>
    <xf numFmtId="0" fontId="37" fillId="0" borderId="15">
      <alignment horizontal="center" vertical="center"/>
    </xf>
    <xf numFmtId="0" fontId="19" fillId="0" borderId="0" applyNumberFormat="0" applyFill="0" applyBorder="0" applyAlignment="0" applyProtection="0"/>
    <xf numFmtId="0" fontId="18" fillId="0" borderId="14" applyNumberFormat="0" applyFill="0" applyAlignment="0" applyProtection="0"/>
    <xf numFmtId="0" fontId="31" fillId="0" borderId="0" applyNumberFormat="0" applyFill="0" applyBorder="0" applyAlignment="0" applyProtection="0"/>
    <xf numFmtId="0" fontId="6" fillId="0" borderId="0"/>
    <xf numFmtId="166" fontId="6" fillId="0" borderId="0" applyFont="0" applyFill="0" applyBorder="0" applyAlignment="0" applyProtection="0"/>
    <xf numFmtId="9" fontId="6" fillId="0" borderId="0" applyFont="0" applyFill="0" applyBorder="0" applyAlignment="0" applyProtection="0"/>
    <xf numFmtId="0" fontId="5" fillId="0" borderId="0"/>
    <xf numFmtId="0" fontId="38" fillId="0" borderId="0"/>
    <xf numFmtId="166" fontId="38" fillId="0" borderId="0" applyFont="0" applyFill="0" applyBorder="0" applyAlignment="0" applyProtection="0"/>
    <xf numFmtId="0" fontId="38" fillId="0" borderId="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43" fontId="38" fillId="0" borderId="0" applyFont="0" applyFill="0" applyBorder="0" applyAlignment="0" applyProtection="0"/>
    <xf numFmtId="166" fontId="4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 fillId="0" borderId="0"/>
    <xf numFmtId="0" fontId="4" fillId="0" borderId="0"/>
    <xf numFmtId="0" fontId="9" fillId="0" borderId="0"/>
    <xf numFmtId="0" fontId="9" fillId="0" borderId="0"/>
    <xf numFmtId="0" fontId="40" fillId="0" borderId="0"/>
    <xf numFmtId="0" fontId="3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9" fontId="38" fillId="0" borderId="0" applyFont="0" applyFill="0" applyBorder="0" applyAlignment="0" applyProtection="0"/>
    <xf numFmtId="9" fontId="38" fillId="0" borderId="0" applyFont="0" applyFill="0" applyBorder="0" applyAlignment="0" applyProtection="0"/>
    <xf numFmtId="9" fontId="42" fillId="0" borderId="0" applyFont="0" applyFill="0" applyBorder="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44" fontId="9" fillId="0" borderId="0" applyFont="0" applyFill="0" applyBorder="0" applyAlignment="0" applyProtection="0"/>
    <xf numFmtId="165" fontId="9" fillId="0" borderId="0" applyFont="0" applyFill="0" applyBorder="0" applyAlignment="0" applyProtection="0"/>
    <xf numFmtId="0" fontId="4" fillId="0" borderId="0"/>
    <xf numFmtId="0" fontId="4" fillId="0" borderId="0"/>
    <xf numFmtId="0" fontId="9" fillId="0" borderId="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43" fontId="4" fillId="0" borderId="0" applyFont="0" applyFill="0" applyBorder="0" applyAlignment="0" applyProtection="0"/>
    <xf numFmtId="44" fontId="9" fillId="0" borderId="0" applyFont="0" applyFill="0" applyBorder="0" applyAlignment="0" applyProtection="0"/>
    <xf numFmtId="165" fontId="9" fillId="0" borderId="0" applyFont="0" applyFill="0" applyBorder="0" applyAlignment="0" applyProtection="0"/>
    <xf numFmtId="0" fontId="9" fillId="0" borderId="0"/>
    <xf numFmtId="0" fontId="4" fillId="0" borderId="0"/>
    <xf numFmtId="0" fontId="4" fillId="0" borderId="0"/>
    <xf numFmtId="0" fontId="9" fillId="0" borderId="0"/>
    <xf numFmtId="0" fontId="4" fillId="0" borderId="0"/>
    <xf numFmtId="0" fontId="9" fillId="0" borderId="0"/>
    <xf numFmtId="0" fontId="9" fillId="0" borderId="0"/>
    <xf numFmtId="0" fontId="9" fillId="0" borderId="0"/>
    <xf numFmtId="0" fontId="9" fillId="0" borderId="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5" borderId="1" applyNumberFormat="0" applyProtection="0">
      <alignment horizontal="left" vertical="center"/>
    </xf>
    <xf numFmtId="0" fontId="9" fillId="5" borderId="1" applyNumberFormat="0" applyProtection="0">
      <alignment horizontal="left" vertical="center"/>
    </xf>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38" fillId="0" borderId="0"/>
    <xf numFmtId="166" fontId="38" fillId="0" borderId="0" applyFont="0" applyFill="0" applyBorder="0" applyAlignment="0" applyProtection="0"/>
    <xf numFmtId="9" fontId="38" fillId="0" borderId="0" applyFont="0" applyFill="0" applyBorder="0" applyAlignment="0" applyProtection="0"/>
    <xf numFmtId="0" fontId="38"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38" fillId="0" borderId="0"/>
    <xf numFmtId="43" fontId="3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42" fillId="49" borderId="0" applyNumberFormat="0" applyBorder="0" applyAlignment="0" applyProtection="0"/>
    <xf numFmtId="0" fontId="42" fillId="44" borderId="0" applyNumberFormat="0" applyBorder="0" applyAlignment="0" applyProtection="0"/>
    <xf numFmtId="0" fontId="42" fillId="47" borderId="0" applyNumberFormat="0" applyBorder="0" applyAlignment="0" applyProtection="0"/>
    <xf numFmtId="0" fontId="42" fillId="50" borderId="0" applyNumberFormat="0" applyBorder="0" applyAlignment="0" applyProtection="0"/>
    <xf numFmtId="0" fontId="59" fillId="51" borderId="0" applyNumberFormat="0" applyBorder="0" applyAlignment="0" applyProtection="0"/>
    <xf numFmtId="0" fontId="59" fillId="48" borderId="0" applyNumberFormat="0" applyBorder="0" applyAlignment="0" applyProtection="0"/>
    <xf numFmtId="0" fontId="59" fillId="49" borderId="0" applyNumberFormat="0" applyBorder="0" applyAlignment="0" applyProtection="0"/>
    <xf numFmtId="0" fontId="59" fillId="52" borderId="0" applyNumberFormat="0" applyBorder="0" applyAlignment="0" applyProtection="0"/>
    <xf numFmtId="0" fontId="59" fillId="53" borderId="0" applyNumberFormat="0" applyBorder="0" applyAlignment="0" applyProtection="0"/>
    <xf numFmtId="0" fontId="59" fillId="54" borderId="0" applyNumberFormat="0" applyBorder="0" applyAlignment="0" applyProtection="0"/>
    <xf numFmtId="0" fontId="59" fillId="55" borderId="0" applyNumberFormat="0" applyBorder="0" applyAlignment="0" applyProtection="0"/>
    <xf numFmtId="0" fontId="59" fillId="56" borderId="0" applyNumberFormat="0" applyBorder="0" applyAlignment="0" applyProtection="0"/>
    <xf numFmtId="0" fontId="59" fillId="57" borderId="0" applyNumberFormat="0" applyBorder="0" applyAlignment="0" applyProtection="0"/>
    <xf numFmtId="0" fontId="61" fillId="59" borderId="16" applyNumberFormat="0" applyAlignment="0" applyProtection="0"/>
    <xf numFmtId="0" fontId="58" fillId="0" borderId="0" applyNumberFormat="0" applyFill="0" applyBorder="0" applyAlignment="0" applyProtection="0">
      <alignment vertical="top"/>
      <protection locked="0"/>
    </xf>
    <xf numFmtId="0" fontId="70" fillId="61" borderId="0" applyNumberFormat="0" applyBorder="0" applyAlignment="0" applyProtection="0"/>
    <xf numFmtId="0" fontId="72" fillId="0" borderId="0" applyNumberFormat="0" applyFill="0" applyBorder="0" applyAlignment="0" applyProtection="0"/>
    <xf numFmtId="0" fontId="73" fillId="0" borderId="24" applyNumberFormat="0" applyFill="0" applyAlignment="0" applyProtection="0"/>
    <xf numFmtId="0" fontId="74" fillId="0" borderId="0" applyNumberFormat="0" applyFill="0" applyBorder="0" applyAlignment="0" applyProtection="0"/>
    <xf numFmtId="0" fontId="9" fillId="0" borderId="0"/>
    <xf numFmtId="0" fontId="21" fillId="0" borderId="7" applyNumberFormat="0" applyFill="0" applyAlignment="0" applyProtection="0"/>
    <xf numFmtId="0" fontId="20" fillId="0" borderId="6" applyNumberFormat="0" applyFill="0" applyAlignment="0" applyProtection="0"/>
    <xf numFmtId="0" fontId="4" fillId="0" borderId="0"/>
    <xf numFmtId="0" fontId="22" fillId="0" borderId="8" applyNumberFormat="0" applyFill="0" applyAlignment="0" applyProtection="0"/>
    <xf numFmtId="0" fontId="22" fillId="0" borderId="0" applyNumberFormat="0" applyFill="0" applyBorder="0" applyAlignment="0" applyProtection="0"/>
    <xf numFmtId="0" fontId="23" fillId="6" borderId="0" applyNumberFormat="0" applyBorder="0" applyAlignment="0" applyProtection="0"/>
    <xf numFmtId="0" fontId="24" fillId="7" borderId="0" applyNumberFormat="0" applyBorder="0" applyAlignment="0" applyProtection="0"/>
    <xf numFmtId="0" fontId="25" fillId="8" borderId="0" applyNumberFormat="0" applyBorder="0" applyAlignment="0" applyProtection="0"/>
    <xf numFmtId="0" fontId="26" fillId="9" borderId="9" applyNumberFormat="0" applyAlignment="0" applyProtection="0"/>
    <xf numFmtId="0" fontId="27" fillId="10" borderId="10" applyNumberFormat="0" applyAlignment="0" applyProtection="0"/>
    <xf numFmtId="0" fontId="28" fillId="10" borderId="9" applyNumberFormat="0" applyAlignment="0" applyProtection="0"/>
    <xf numFmtId="0" fontId="29" fillId="0" borderId="11" applyNumberFormat="0" applyFill="0" applyAlignment="0" applyProtection="0"/>
    <xf numFmtId="0" fontId="30" fillId="11" borderId="12" applyNumberFormat="0" applyAlignment="0" applyProtection="0"/>
    <xf numFmtId="0" fontId="31" fillId="0" borderId="0" applyNumberFormat="0" applyFill="0" applyBorder="0" applyAlignment="0" applyProtection="0"/>
    <xf numFmtId="0" fontId="4" fillId="12" borderId="13" applyNumberFormat="0" applyFont="0" applyAlignment="0" applyProtection="0"/>
    <xf numFmtId="0" fontId="32" fillId="0" borderId="0" applyNumberFormat="0" applyFill="0" applyBorder="0" applyAlignment="0" applyProtection="0"/>
    <xf numFmtId="0" fontId="18" fillId="0" borderId="14" applyNumberFormat="0" applyFill="0" applyAlignment="0" applyProtection="0"/>
    <xf numFmtId="0" fontId="33"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33" fillId="36"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9" fillId="0" borderId="0" applyFont="0" applyFill="0" applyBorder="0" applyAlignment="0" applyProtection="0"/>
    <xf numFmtId="0" fontId="4" fillId="0" borderId="0"/>
    <xf numFmtId="0" fontId="4" fillId="0" borderId="0"/>
    <xf numFmtId="0" fontId="71" fillId="59" borderId="23" applyNumberFormat="0" applyAlignment="0" applyProtection="0"/>
    <xf numFmtId="0" fontId="62" fillId="60" borderId="17" applyNumberFormat="0" applyAlignment="0" applyProtection="0"/>
    <xf numFmtId="0" fontId="68" fillId="46" borderId="16" applyNumberFormat="0" applyAlignment="0" applyProtection="0"/>
    <xf numFmtId="0" fontId="9" fillId="62" borderId="22" applyNumberFormat="0" applyFont="0" applyAlignment="0" applyProtection="0"/>
    <xf numFmtId="0" fontId="64" fillId="43" borderId="0" applyNumberFormat="0" applyBorder="0" applyAlignment="0" applyProtection="0"/>
    <xf numFmtId="0" fontId="60" fillId="42" borderId="0" applyNumberFormat="0" applyBorder="0" applyAlignment="0" applyProtection="0"/>
    <xf numFmtId="0" fontId="67" fillId="0" borderId="20" applyNumberFormat="0" applyFill="0" applyAlignment="0" applyProtection="0"/>
    <xf numFmtId="0" fontId="66" fillId="0" borderId="19" applyNumberFormat="0" applyFill="0" applyAlignment="0" applyProtection="0"/>
    <xf numFmtId="0" fontId="63" fillId="0" borderId="0" applyNumberFormat="0" applyFill="0" applyBorder="0" applyAlignment="0" applyProtection="0"/>
    <xf numFmtId="0" fontId="65" fillId="0" borderId="18" applyNumberFormat="0" applyFill="0" applyAlignment="0" applyProtection="0"/>
    <xf numFmtId="0" fontId="57"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59" fillId="53" borderId="0" applyNumberFormat="0" applyBorder="0" applyAlignment="0" applyProtection="0"/>
    <xf numFmtId="0" fontId="4" fillId="0" borderId="0"/>
    <xf numFmtId="0" fontId="4" fillId="0" borderId="0"/>
    <xf numFmtId="0" fontId="4" fillId="0" borderId="0"/>
    <xf numFmtId="0" fontId="59" fillId="58" borderId="0" applyNumberFormat="0" applyBorder="0" applyAlignment="0" applyProtection="0"/>
    <xf numFmtId="0" fontId="59" fillId="52" borderId="0" applyNumberFormat="0" applyBorder="0" applyAlignment="0" applyProtection="0"/>
    <xf numFmtId="43"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38" fillId="0" borderId="0"/>
    <xf numFmtId="0" fontId="69" fillId="0" borderId="21" applyNumberFormat="0" applyFill="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67"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9" fillId="0" borderId="0"/>
    <xf numFmtId="0" fontId="9" fillId="0" borderId="0"/>
    <xf numFmtId="0" fontId="68" fillId="46" borderId="16" applyNumberFormat="0" applyAlignment="0" applyProtection="0"/>
    <xf numFmtId="0" fontId="68" fillId="46" borderId="16" applyNumberFormat="0" applyAlignment="0" applyProtection="0"/>
    <xf numFmtId="0" fontId="68" fillId="4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68" fillId="46" borderId="16" applyNumberFormat="0" applyAlignment="0" applyProtection="0"/>
    <xf numFmtId="0" fontId="9" fillId="0" borderId="0"/>
    <xf numFmtId="0" fontId="38" fillId="0" borderId="0"/>
    <xf numFmtId="0" fontId="4" fillId="0" borderId="0"/>
    <xf numFmtId="0" fontId="4" fillId="0" borderId="0"/>
    <xf numFmtId="9" fontId="38"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4" fillId="0" borderId="0"/>
    <xf numFmtId="0" fontId="9" fillId="0" borderId="0"/>
    <xf numFmtId="9" fontId="38" fillId="0" borderId="0" applyFont="0" applyFill="0" applyBorder="0" applyAlignment="0" applyProtection="0"/>
    <xf numFmtId="0" fontId="38" fillId="0" borderId="0"/>
    <xf numFmtId="9" fontId="9" fillId="0" borderId="0" applyFont="0" applyFill="0" applyBorder="0" applyAlignment="0" applyProtection="0"/>
    <xf numFmtId="0" fontId="9" fillId="0" borderId="0"/>
    <xf numFmtId="9" fontId="38" fillId="0" borderId="0" applyFont="0" applyFill="0" applyBorder="0" applyAlignment="0" applyProtection="0"/>
    <xf numFmtId="0" fontId="38"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165" fontId="9" fillId="0" borderId="0" applyFont="0" applyFill="0" applyBorder="0" applyAlignment="0" applyProtection="0"/>
    <xf numFmtId="166" fontId="4" fillId="0" borderId="0" applyFont="0" applyFill="0" applyBorder="0" applyAlignment="0" applyProtection="0"/>
    <xf numFmtId="0" fontId="9" fillId="0" borderId="0"/>
    <xf numFmtId="0" fontId="4" fillId="0" borderId="0"/>
    <xf numFmtId="0" fontId="4"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72" fillId="0" borderId="0" applyNumberFormat="0" applyFill="0" applyBorder="0" applyAlignment="0" applyProtection="0"/>
    <xf numFmtId="0" fontId="4" fillId="0" borderId="0"/>
    <xf numFmtId="44" fontId="3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39" fillId="0" borderId="0" applyNumberForma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4" fillId="0" borderId="0"/>
    <xf numFmtId="0" fontId="38" fillId="0" borderId="0"/>
    <xf numFmtId="43" fontId="3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4" fillId="0" borderId="0"/>
    <xf numFmtId="166"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38" fillId="0" borderId="0"/>
    <xf numFmtId="9" fontId="38" fillId="0" borderId="0" applyFont="0" applyFill="0" applyBorder="0" applyAlignment="0" applyProtection="0"/>
    <xf numFmtId="9" fontId="9" fillId="0" borderId="0" applyFont="0" applyFill="0" applyBorder="0" applyAlignment="0" applyProtection="0"/>
    <xf numFmtId="9" fontId="38" fillId="0" borderId="0" applyFont="0" applyFill="0" applyBorder="0" applyAlignment="0" applyProtection="0"/>
    <xf numFmtId="9" fontId="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4" fillId="0" borderId="0"/>
    <xf numFmtId="0" fontId="57" fillId="0" borderId="0" applyNumberFormat="0" applyFill="0" applyBorder="0" applyAlignment="0" applyProtection="0"/>
    <xf numFmtId="0" fontId="75" fillId="0" borderId="0"/>
    <xf numFmtId="0" fontId="3" fillId="0" borderId="0"/>
    <xf numFmtId="0" fontId="76" fillId="0" borderId="0"/>
    <xf numFmtId="179" fontId="77" fillId="0" borderId="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78" fillId="0" borderId="0" applyNumberFormat="0" applyFill="0" applyBorder="0" applyAlignment="0" applyProtection="0">
      <alignment vertical="top"/>
      <protection locked="0"/>
    </xf>
    <xf numFmtId="0" fontId="81" fillId="0" borderId="0"/>
    <xf numFmtId="0" fontId="9" fillId="0" borderId="0"/>
    <xf numFmtId="0" fontId="80" fillId="0" borderId="0"/>
    <xf numFmtId="0" fontId="2" fillId="0" borderId="0"/>
    <xf numFmtId="0" fontId="9" fillId="0" borderId="0"/>
    <xf numFmtId="0" fontId="9" fillId="0" borderId="0"/>
    <xf numFmtId="0" fontId="73" fillId="0" borderId="58" applyNumberFormat="0" applyFill="0" applyAlignment="0" applyProtection="0"/>
    <xf numFmtId="0" fontId="61" fillId="59" borderId="42" applyNumberFormat="0" applyAlignment="0" applyProtection="0"/>
    <xf numFmtId="0" fontId="71" fillId="59" borderId="57" applyNumberFormat="0" applyAlignment="0" applyProtection="0"/>
    <xf numFmtId="0" fontId="68" fillId="46" borderId="55" applyNumberFormat="0" applyAlignment="0" applyProtection="0"/>
    <xf numFmtId="0" fontId="61" fillId="59" borderId="55" applyNumberFormat="0" applyAlignment="0" applyProtection="0"/>
    <xf numFmtId="0" fontId="68" fillId="46" borderId="42" applyNumberFormat="0" applyAlignment="0" applyProtection="0"/>
    <xf numFmtId="0" fontId="9" fillId="62" borderId="43" applyNumberFormat="0" applyFont="0" applyAlignment="0" applyProtection="0"/>
    <xf numFmtId="0" fontId="71" fillId="59" borderId="44" applyNumberFormat="0" applyAlignment="0" applyProtection="0"/>
    <xf numFmtId="0" fontId="73" fillId="0" borderId="45" applyNumberFormat="0" applyFill="0" applyAlignment="0" applyProtection="0"/>
    <xf numFmtId="0" fontId="9" fillId="0" borderId="0"/>
    <xf numFmtId="0" fontId="1" fillId="0" borderId="0"/>
    <xf numFmtId="0" fontId="68" fillId="46" borderId="55" applyNumberFormat="0" applyAlignment="0" applyProtection="0"/>
    <xf numFmtId="0" fontId="9" fillId="62" borderId="56" applyNumberFormat="0" applyFont="0" applyAlignment="0" applyProtection="0"/>
    <xf numFmtId="0" fontId="1" fillId="12" borderId="13"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68" fillId="46" borderId="55" applyNumberFormat="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5" fontId="9" fillId="0" borderId="0" applyFont="0" applyFill="0" applyBorder="0" applyAlignment="0" applyProtection="0"/>
    <xf numFmtId="10" fontId="15" fillId="38" borderId="46" applyNumberFormat="0" applyBorder="0" applyAlignment="0" applyProtection="0"/>
    <xf numFmtId="0" fontId="9"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0" fontId="9" fillId="0" borderId="0"/>
    <xf numFmtId="0" fontId="9" fillId="0" borderId="0"/>
    <xf numFmtId="0" fontId="9" fillId="62" borderId="43" applyNumberFormat="0" applyFont="0" applyAlignment="0" applyProtection="0"/>
    <xf numFmtId="0" fontId="9" fillId="0" borderId="0"/>
    <xf numFmtId="0" fontId="1" fillId="0" borderId="0"/>
    <xf numFmtId="0" fontId="1" fillId="12" borderId="13"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9" fillId="0" borderId="0"/>
    <xf numFmtId="0" fontId="9"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0" fontId="9" fillId="0" borderId="0"/>
    <xf numFmtId="0" fontId="9" fillId="0" borderId="0"/>
    <xf numFmtId="0" fontId="1" fillId="0" borderId="0"/>
    <xf numFmtId="0" fontId="1" fillId="12" borderId="13"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68" fillId="46" borderId="55" applyNumberFormat="0" applyAlignment="0" applyProtection="0"/>
    <xf numFmtId="10" fontId="15" fillId="38" borderId="34" applyNumberFormat="0" applyBorder="0" applyAlignment="0" applyProtection="0"/>
    <xf numFmtId="0" fontId="9" fillId="0" borderId="0"/>
    <xf numFmtId="0" fontId="68" fillId="46" borderId="55" applyNumberFormat="0" applyAlignment="0" applyProtection="0"/>
    <xf numFmtId="0" fontId="9" fillId="62" borderId="56" applyNumberFormat="0" applyFont="0" applyAlignment="0" applyProtection="0"/>
    <xf numFmtId="0" fontId="9" fillId="0" borderId="0"/>
  </cellStyleXfs>
  <cellXfs count="414">
    <xf numFmtId="0" fontId="0" fillId="0" borderId="0" xfId="0"/>
    <xf numFmtId="0" fontId="0" fillId="0" borderId="0" xfId="0" applyAlignment="1">
      <alignment horizontal="center"/>
    </xf>
    <xf numFmtId="0" fontId="11" fillId="0" borderId="0" xfId="0" applyFont="1" applyAlignment="1">
      <alignment horizontal="center"/>
    </xf>
    <xf numFmtId="17" fontId="0" fillId="0" borderId="0" xfId="0" applyNumberFormat="1"/>
    <xf numFmtId="0" fontId="0" fillId="0" borderId="0" xfId="0" applyAlignment="1">
      <alignment horizontal="right"/>
    </xf>
    <xf numFmtId="167" fontId="0" fillId="0" borderId="0" xfId="0" applyNumberFormat="1" applyAlignment="1">
      <alignment horizontal="center"/>
    </xf>
    <xf numFmtId="3" fontId="0" fillId="0" borderId="0" xfId="0" applyNumberFormat="1" applyAlignment="1">
      <alignment horizontal="center"/>
    </xf>
    <xf numFmtId="3" fontId="11" fillId="0" borderId="0" xfId="0" applyNumberFormat="1" applyFont="1" applyAlignment="1">
      <alignment horizontal="center"/>
    </xf>
    <xf numFmtId="3" fontId="10" fillId="0" borderId="0" xfId="0" applyNumberFormat="1" applyFont="1" applyAlignment="1">
      <alignment horizontal="center" wrapText="1"/>
    </xf>
    <xf numFmtId="3" fontId="11" fillId="0" borderId="0" xfId="0" applyNumberFormat="1" applyFont="1" applyAlignment="1">
      <alignment horizontal="center" wrapText="1"/>
    </xf>
    <xf numFmtId="37" fontId="10" fillId="0" borderId="0" xfId="0" applyNumberFormat="1" applyFont="1" applyAlignment="1">
      <alignment horizontal="center"/>
    </xf>
    <xf numFmtId="3" fontId="9" fillId="0" borderId="0" xfId="1" applyNumberFormat="1" applyAlignment="1">
      <alignment horizontal="center"/>
    </xf>
    <xf numFmtId="167" fontId="10" fillId="0" borderId="0" xfId="0" applyNumberFormat="1" applyFont="1" applyAlignment="1">
      <alignment horizontal="center"/>
    </xf>
    <xf numFmtId="10" fontId="0" fillId="0" borderId="0" xfId="0" applyNumberFormat="1" applyAlignment="1">
      <alignment horizontal="center"/>
    </xf>
    <xf numFmtId="0" fontId="12" fillId="0" borderId="0" xfId="0" applyFont="1"/>
    <xf numFmtId="3" fontId="0" fillId="2" borderId="0" xfId="0" applyNumberFormat="1" applyFill="1" applyAlignment="1">
      <alignment horizontal="center"/>
    </xf>
    <xf numFmtId="17" fontId="12" fillId="0" borderId="0" xfId="0" applyNumberFormat="1" applyFont="1"/>
    <xf numFmtId="169" fontId="0" fillId="0" borderId="0" xfId="0" applyNumberFormat="1" applyAlignment="1">
      <alignment horizontal="center"/>
    </xf>
    <xf numFmtId="170" fontId="0" fillId="0" borderId="0" xfId="0" applyNumberFormat="1" applyAlignment="1">
      <alignment horizontal="center"/>
    </xf>
    <xf numFmtId="9" fontId="0" fillId="0" borderId="0" xfId="0" applyNumberFormat="1" applyAlignment="1">
      <alignment horizontal="center"/>
    </xf>
    <xf numFmtId="171" fontId="0" fillId="0" borderId="0" xfId="0" applyNumberFormat="1" applyAlignment="1">
      <alignment horizontal="center"/>
    </xf>
    <xf numFmtId="3" fontId="0" fillId="0" borderId="0" xfId="0" applyNumberFormat="1" applyAlignment="1">
      <alignment horizontal="center" wrapText="1"/>
    </xf>
    <xf numFmtId="0" fontId="0" fillId="0" borderId="1" xfId="0" applyBorder="1" applyAlignment="1">
      <alignment horizontal="right"/>
    </xf>
    <xf numFmtId="3" fontId="10" fillId="2" borderId="1"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left"/>
    </xf>
    <xf numFmtId="3" fontId="12" fillId="0" borderId="0" xfId="0" applyNumberFormat="1" applyFont="1"/>
    <xf numFmtId="0" fontId="13" fillId="0" borderId="0" xfId="0" applyFont="1"/>
    <xf numFmtId="167" fontId="0" fillId="0" borderId="0" xfId="0" applyNumberFormat="1" applyAlignment="1">
      <alignment horizontal="center" wrapText="1"/>
    </xf>
    <xf numFmtId="0" fontId="12" fillId="0" borderId="0" xfId="0" applyFont="1" applyAlignment="1">
      <alignment horizontal="center" wrapText="1"/>
    </xf>
    <xf numFmtId="3" fontId="11" fillId="3" borderId="0" xfId="0" applyNumberFormat="1" applyFont="1" applyFill="1" applyAlignment="1">
      <alignment horizontal="center"/>
    </xf>
    <xf numFmtId="3" fontId="10" fillId="3" borderId="0" xfId="0" applyNumberFormat="1" applyFont="1" applyFill="1" applyAlignment="1">
      <alignment horizontal="center" wrapText="1"/>
    </xf>
    <xf numFmtId="3" fontId="11" fillId="3" borderId="0" xfId="0" applyNumberFormat="1" applyFont="1" applyFill="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66" fontId="0" fillId="0" borderId="0" xfId="1" applyFont="1" applyAlignment="1">
      <alignment horizontal="center"/>
    </xf>
    <xf numFmtId="172" fontId="0" fillId="0" borderId="0" xfId="1" applyNumberFormat="1" applyFont="1" applyAlignment="1">
      <alignment horizontal="center"/>
    </xf>
    <xf numFmtId="3" fontId="0" fillId="0" borderId="0" xfId="0" applyNumberFormat="1"/>
    <xf numFmtId="172" fontId="0" fillId="0" borderId="0" xfId="0" applyNumberFormat="1" applyAlignment="1">
      <alignment horizontal="center"/>
    </xf>
    <xf numFmtId="3" fontId="0" fillId="4" borderId="0" xfId="0" applyNumberFormat="1" applyFill="1" applyAlignment="1">
      <alignment horizontal="center"/>
    </xf>
    <xf numFmtId="3" fontId="10" fillId="4" borderId="1" xfId="0" applyNumberFormat="1" applyFont="1" applyFill="1" applyBorder="1" applyAlignment="1">
      <alignment horizontal="center"/>
    </xf>
    <xf numFmtId="3" fontId="16" fillId="0" borderId="0" xfId="0" applyNumberFormat="1" applyFont="1" applyAlignment="1">
      <alignment horizontal="left"/>
    </xf>
    <xf numFmtId="167" fontId="0" fillId="0" borderId="0" xfId="2" applyNumberFormat="1" applyFont="1" applyAlignment="1">
      <alignment horizontal="center"/>
    </xf>
    <xf numFmtId="0" fontId="9" fillId="0" borderId="0" xfId="0" applyFont="1" applyAlignment="1">
      <alignment horizontal="left"/>
    </xf>
    <xf numFmtId="0" fontId="9" fillId="0" borderId="0" xfId="0" applyFont="1"/>
    <xf numFmtId="38" fontId="0" fillId="0" borderId="0" xfId="0" applyNumberFormat="1" applyAlignment="1">
      <alignment horizontal="center"/>
    </xf>
    <xf numFmtId="1" fontId="0" fillId="0" borderId="0" xfId="0" applyNumberFormat="1"/>
    <xf numFmtId="1" fontId="0" fillId="0" borderId="0" xfId="0" applyNumberFormat="1" applyAlignment="1">
      <alignment horizontal="center"/>
    </xf>
    <xf numFmtId="3" fontId="9" fillId="3" borderId="0" xfId="0" applyNumberFormat="1" applyFont="1" applyFill="1" applyAlignment="1">
      <alignment horizontal="center" wrapText="1"/>
    </xf>
    <xf numFmtId="17" fontId="0" fillId="0" borderId="1" xfId="0" applyNumberFormat="1" applyBorder="1" applyAlignment="1">
      <alignment horizontal="left"/>
    </xf>
    <xf numFmtId="37" fontId="10" fillId="0" borderId="1" xfId="0" applyNumberFormat="1" applyFont="1" applyBorder="1" applyAlignment="1">
      <alignment horizontal="center"/>
    </xf>
    <xf numFmtId="3" fontId="0" fillId="0" borderId="1" xfId="0" applyNumberFormat="1" applyBorder="1" applyAlignment="1">
      <alignment horizontal="center"/>
    </xf>
    <xf numFmtId="9" fontId="9" fillId="4" borderId="0" xfId="0" applyNumberFormat="1" applyFont="1" applyFill="1" applyAlignment="1">
      <alignment horizontal="center"/>
    </xf>
    <xf numFmtId="9" fontId="0" fillId="4" borderId="0" xfId="0" applyNumberFormat="1" applyFill="1" applyAlignment="1">
      <alignment horizontal="center"/>
    </xf>
    <xf numFmtId="0" fontId="9" fillId="0" borderId="0" xfId="0" applyFont="1" applyAlignment="1">
      <alignment horizontal="center"/>
    </xf>
    <xf numFmtId="171" fontId="0" fillId="0" borderId="1" xfId="0" applyNumberFormat="1" applyBorder="1" applyAlignment="1">
      <alignment horizontal="center"/>
    </xf>
    <xf numFmtId="3" fontId="0" fillId="2" borderId="1" xfId="0" applyNumberFormat="1" applyFill="1" applyBorder="1" applyAlignment="1">
      <alignment horizontal="center"/>
    </xf>
    <xf numFmtId="170" fontId="0" fillId="40" borderId="0" xfId="0" applyNumberFormat="1" applyFill="1" applyAlignment="1">
      <alignment horizontal="center"/>
    </xf>
    <xf numFmtId="37" fontId="10" fillId="4" borderId="1" xfId="0" applyNumberFormat="1" applyFont="1" applyFill="1" applyBorder="1" applyAlignment="1">
      <alignment horizontal="center"/>
    </xf>
    <xf numFmtId="12" fontId="0" fillId="0" borderId="0" xfId="0" applyNumberFormat="1"/>
    <xf numFmtId="12" fontId="10" fillId="0" borderId="0" xfId="0" applyNumberFormat="1" applyFont="1"/>
    <xf numFmtId="9" fontId="0" fillId="0" borderId="0" xfId="2" applyFont="1" applyAlignment="1">
      <alignment horizontal="center"/>
    </xf>
    <xf numFmtId="3" fontId="9" fillId="0" borderId="0" xfId="0" applyNumberFormat="1" applyFont="1" applyAlignment="1">
      <alignment horizontal="center"/>
    </xf>
    <xf numFmtId="10" fontId="0" fillId="3" borderId="0" xfId="0" applyNumberFormat="1" applyFill="1" applyAlignment="1">
      <alignment horizontal="center"/>
    </xf>
    <xf numFmtId="37" fontId="10" fillId="63" borderId="1" xfId="0" applyNumberFormat="1" applyFont="1" applyFill="1" applyBorder="1" applyAlignment="1">
      <alignment horizontal="center"/>
    </xf>
    <xf numFmtId="0" fontId="11" fillId="0" borderId="0" xfId="0" applyFont="1" applyAlignment="1">
      <alignment horizontal="center" vertical="center"/>
    </xf>
    <xf numFmtId="0" fontId="9" fillId="4" borderId="0" xfId="0" applyFont="1" applyFill="1" applyAlignment="1">
      <alignment horizontal="center"/>
    </xf>
    <xf numFmtId="0" fontId="9" fillId="4" borderId="0" xfId="0" applyFont="1" applyFill="1" applyAlignment="1">
      <alignment horizontal="left"/>
    </xf>
    <xf numFmtId="0" fontId="0" fillId="0" borderId="1" xfId="0" applyBorder="1" applyAlignment="1">
      <alignment horizontal="center" vertical="center"/>
    </xf>
    <xf numFmtId="3"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2" fontId="11" fillId="0" borderId="1" xfId="0" applyNumberFormat="1" applyFont="1" applyBorder="1" applyAlignment="1">
      <alignment horizontal="center" vertical="center" wrapText="1"/>
    </xf>
    <xf numFmtId="0" fontId="11" fillId="0" borderId="4" xfId="0" applyFont="1" applyBorder="1" applyAlignment="1">
      <alignment horizontal="center" vertical="center" wrapText="1"/>
    </xf>
    <xf numFmtId="3" fontId="0" fillId="0" borderId="0" xfId="0" applyNumberFormat="1" applyAlignment="1">
      <alignment horizontal="center" vertical="center"/>
    </xf>
    <xf numFmtId="0" fontId="0" fillId="0" borderId="0" xfId="0" applyAlignment="1">
      <alignment horizontal="center" vertical="center"/>
    </xf>
    <xf numFmtId="0" fontId="9" fillId="0" borderId="0" xfId="0" applyFont="1" applyAlignment="1">
      <alignment horizontal="right"/>
    </xf>
    <xf numFmtId="10" fontId="0" fillId="0" borderId="0" xfId="2" applyNumberFormat="1" applyFont="1" applyAlignment="1">
      <alignment horizontal="center" vertical="center"/>
    </xf>
    <xf numFmtId="0" fontId="9" fillId="0" borderId="31" xfId="0" applyFont="1" applyBorder="1" applyAlignment="1">
      <alignment horizontal="right"/>
    </xf>
    <xf numFmtId="3" fontId="0" fillId="0" borderId="31" xfId="0" applyNumberFormat="1" applyBorder="1" applyAlignment="1">
      <alignment horizontal="center" vertical="center"/>
    </xf>
    <xf numFmtId="12" fontId="10" fillId="0" borderId="1" xfId="0" applyNumberFormat="1" applyFont="1" applyBorder="1" applyAlignment="1">
      <alignment horizontal="center" vertical="center"/>
    </xf>
    <xf numFmtId="12" fontId="10" fillId="63" borderId="1" xfId="0" applyNumberFormat="1" applyFont="1" applyFill="1" applyBorder="1" applyAlignment="1">
      <alignment horizontal="center" vertical="center"/>
    </xf>
    <xf numFmtId="0" fontId="12" fillId="0" borderId="0" xfId="75" applyFont="1" applyAlignment="1">
      <alignment horizontal="left" vertical="center"/>
    </xf>
    <xf numFmtId="0" fontId="9" fillId="0" borderId="0" xfId="75"/>
    <xf numFmtId="0" fontId="12" fillId="0" borderId="0" xfId="1531" applyFont="1" applyAlignment="1">
      <alignment horizontal="center" vertical="center" wrapText="1"/>
    </xf>
    <xf numFmtId="0" fontId="9" fillId="0" borderId="0" xfId="620"/>
    <xf numFmtId="180" fontId="9" fillId="0" borderId="0" xfId="75" applyNumberFormat="1" applyAlignment="1">
      <alignment horizontal="center" vertical="center"/>
    </xf>
    <xf numFmtId="0" fontId="12" fillId="0" borderId="0" xfId="75" applyFont="1"/>
    <xf numFmtId="0" fontId="80" fillId="0" borderId="0" xfId="1533"/>
    <xf numFmtId="174" fontId="9" fillId="0" borderId="0" xfId="75" applyNumberFormat="1"/>
    <xf numFmtId="182" fontId="9" fillId="0" borderId="0" xfId="75" applyNumberFormat="1"/>
    <xf numFmtId="0" fontId="9" fillId="0" borderId="0" xfId="75" applyAlignment="1">
      <alignment horizontal="left" vertical="center" wrapText="1"/>
    </xf>
    <xf numFmtId="174" fontId="9" fillId="0" borderId="0" xfId="1532" applyNumberFormat="1" applyAlignment="1">
      <alignment horizontal="center" vertical="center"/>
    </xf>
    <xf numFmtId="174" fontId="9" fillId="0" borderId="0" xfId="75" applyNumberFormat="1" applyAlignment="1">
      <alignment horizontal="center" vertical="center"/>
    </xf>
    <xf numFmtId="0" fontId="12" fillId="0" borderId="0" xfId="75" applyFont="1" applyAlignment="1">
      <alignment vertical="center"/>
    </xf>
    <xf numFmtId="3" fontId="12" fillId="0" borderId="0" xfId="1531" applyNumberFormat="1" applyFont="1" applyAlignment="1">
      <alignment horizontal="center" vertical="center" wrapText="1"/>
    </xf>
    <xf numFmtId="3" fontId="9" fillId="0" borderId="0" xfId="75" applyNumberFormat="1"/>
    <xf numFmtId="3" fontId="9" fillId="0" borderId="0" xfId="1532" applyNumberFormat="1" applyAlignment="1">
      <alignment horizontal="center" vertical="center"/>
    </xf>
    <xf numFmtId="3" fontId="9" fillId="0" borderId="0" xfId="75" applyNumberFormat="1" applyAlignment="1">
      <alignment horizontal="center" vertical="center"/>
    </xf>
    <xf numFmtId="1" fontId="9" fillId="0" borderId="0" xfId="75" applyNumberFormat="1" applyAlignment="1">
      <alignment horizontal="left" vertical="center" indent="1"/>
    </xf>
    <xf numFmtId="181" fontId="9" fillId="0" borderId="0" xfId="1532" applyNumberFormat="1" applyAlignment="1">
      <alignment horizontal="center" vertical="center"/>
    </xf>
    <xf numFmtId="0" fontId="9" fillId="0" borderId="0" xfId="75" applyAlignment="1">
      <alignment horizontal="left" vertical="center"/>
    </xf>
    <xf numFmtId="0" fontId="9" fillId="0" borderId="0" xfId="75" applyAlignment="1">
      <alignment vertical="center"/>
    </xf>
    <xf numFmtId="0" fontId="82" fillId="0" borderId="31" xfId="4" applyFont="1" applyBorder="1" applyAlignment="1">
      <alignment vertical="center"/>
    </xf>
    <xf numFmtId="0" fontId="82" fillId="0" borderId="0" xfId="4" applyFont="1" applyAlignment="1">
      <alignment horizontal="left" vertical="center"/>
    </xf>
    <xf numFmtId="0" fontId="41" fillId="0" borderId="0" xfId="4" applyFont="1"/>
    <xf numFmtId="0" fontId="41" fillId="0" borderId="0" xfId="4" applyFont="1" applyAlignment="1">
      <alignment vertical="center"/>
    </xf>
    <xf numFmtId="3" fontId="41" fillId="0" borderId="0" xfId="4" applyNumberFormat="1" applyFont="1"/>
    <xf numFmtId="3" fontId="83" fillId="0" borderId="0" xfId="4" applyNumberFormat="1" applyFont="1" applyAlignment="1">
      <alignment horizontal="center" vertical="center" wrapText="1"/>
    </xf>
    <xf numFmtId="0" fontId="83" fillId="0" borderId="0" xfId="4" applyFont="1"/>
    <xf numFmtId="0" fontId="9" fillId="0" borderId="0" xfId="4"/>
    <xf numFmtId="0" fontId="0" fillId="0" borderId="0" xfId="4" applyFont="1"/>
    <xf numFmtId="3" fontId="9" fillId="0" borderId="0" xfId="75" applyNumberFormat="1" applyAlignment="1">
      <alignment horizontal="center" vertical="center" wrapText="1"/>
    </xf>
    <xf numFmtId="0" fontId="12" fillId="0" borderId="39" xfId="75" applyFont="1" applyBorder="1" applyAlignment="1">
      <alignment vertical="center"/>
    </xf>
    <xf numFmtId="0" fontId="12" fillId="0" borderId="31" xfId="75" applyFont="1" applyBorder="1" applyAlignment="1">
      <alignment vertical="center"/>
    </xf>
    <xf numFmtId="9" fontId="9" fillId="0" borderId="0" xfId="75" applyNumberFormat="1" applyAlignment="1">
      <alignment horizontal="center" vertical="center" wrapText="1"/>
    </xf>
    <xf numFmtId="0" fontId="9" fillId="0" borderId="0" xfId="75" applyAlignment="1">
      <alignment horizontal="center"/>
    </xf>
    <xf numFmtId="3" fontId="9" fillId="0" borderId="0" xfId="1531" applyNumberFormat="1" applyFont="1" applyAlignment="1">
      <alignment horizontal="center" wrapText="1"/>
    </xf>
    <xf numFmtId="0" fontId="9" fillId="0" borderId="0" xfId="75" applyAlignment="1">
      <alignment horizontal="center" vertical="center"/>
    </xf>
    <xf numFmtId="9" fontId="9" fillId="0" borderId="34" xfId="75" applyNumberFormat="1" applyBorder="1" applyAlignment="1">
      <alignment horizontal="center" vertical="center" wrapText="1"/>
    </xf>
    <xf numFmtId="0" fontId="12" fillId="63" borderId="34" xfId="75" applyFont="1" applyFill="1" applyBorder="1" applyAlignment="1">
      <alignment horizontal="left" vertical="center" wrapText="1"/>
    </xf>
    <xf numFmtId="0" fontId="12" fillId="63" borderId="34" xfId="75" applyFont="1" applyFill="1" applyBorder="1" applyAlignment="1">
      <alignment horizontal="center" vertical="center" wrapText="1"/>
    </xf>
    <xf numFmtId="0" fontId="12" fillId="63" borderId="34" xfId="75" applyFont="1" applyFill="1" applyBorder="1" applyAlignment="1">
      <alignment horizontal="left" vertical="center"/>
    </xf>
    <xf numFmtId="0" fontId="12" fillId="63" borderId="38" xfId="75" applyFont="1" applyFill="1" applyBorder="1" applyAlignment="1">
      <alignment horizontal="left" vertical="center"/>
    </xf>
    <xf numFmtId="0" fontId="12" fillId="63" borderId="0" xfId="75" applyFont="1" applyFill="1" applyAlignment="1">
      <alignment horizontal="left" vertical="center"/>
    </xf>
    <xf numFmtId="0" fontId="12" fillId="63" borderId="40" xfId="75" applyFont="1" applyFill="1" applyBorder="1" applyAlignment="1">
      <alignment horizontal="left" vertical="center"/>
    </xf>
    <xf numFmtId="0" fontId="9" fillId="63" borderId="35" xfId="75" applyFill="1" applyBorder="1" applyAlignment="1">
      <alignment horizontal="left" vertical="center"/>
    </xf>
    <xf numFmtId="0" fontId="9" fillId="63" borderId="34" xfId="75" applyFill="1" applyBorder="1" applyAlignment="1">
      <alignment horizontal="left" vertical="center"/>
    </xf>
    <xf numFmtId="174" fontId="9" fillId="63" borderId="34" xfId="1532" applyNumberFormat="1" applyFill="1" applyBorder="1" applyAlignment="1">
      <alignment horizontal="center" vertical="center"/>
    </xf>
    <xf numFmtId="0" fontId="9" fillId="63" borderId="34" xfId="75" applyFill="1" applyBorder="1"/>
    <xf numFmtId="3" fontId="9" fillId="63" borderId="34" xfId="1532" applyNumberFormat="1" applyFill="1" applyBorder="1" applyAlignment="1">
      <alignment horizontal="center" vertical="center"/>
    </xf>
    <xf numFmtId="180" fontId="9" fillId="63" borderId="34" xfId="1533" applyNumberFormat="1" applyFont="1" applyFill="1" applyBorder="1" applyAlignment="1">
      <alignment horizontal="center" vertical="center"/>
    </xf>
    <xf numFmtId="181" fontId="9" fillId="63" borderId="34" xfId="1533" applyNumberFormat="1" applyFont="1" applyFill="1" applyBorder="1" applyAlignment="1">
      <alignment horizontal="center" vertical="center"/>
    </xf>
    <xf numFmtId="0" fontId="0" fillId="63" borderId="34" xfId="75" applyFont="1" applyFill="1" applyBorder="1" applyAlignment="1">
      <alignment horizontal="left" vertical="center"/>
    </xf>
    <xf numFmtId="0" fontId="12" fillId="63" borderId="35" xfId="75" applyFont="1" applyFill="1" applyBorder="1" applyAlignment="1">
      <alignment horizontal="left" vertical="center" wrapText="1"/>
    </xf>
    <xf numFmtId="0" fontId="12" fillId="63" borderId="0" xfId="75" applyFont="1" applyFill="1" applyAlignment="1">
      <alignment horizontal="left" wrapText="1"/>
    </xf>
    <xf numFmtId="174" fontId="9" fillId="63" borderId="34" xfId="75" applyNumberFormat="1" applyFill="1" applyBorder="1" applyAlignment="1">
      <alignment horizontal="center" vertical="center"/>
    </xf>
    <xf numFmtId="0" fontId="9" fillId="63" borderId="0" xfId="75" applyFill="1"/>
    <xf numFmtId="0" fontId="12" fillId="63" borderId="0" xfId="75" applyFont="1" applyFill="1" applyAlignment="1">
      <alignment wrapText="1"/>
    </xf>
    <xf numFmtId="0" fontId="9" fillId="63" borderId="0" xfId="620" applyFill="1"/>
    <xf numFmtId="0" fontId="80" fillId="63" borderId="0" xfId="1533" applyFill="1"/>
    <xf numFmtId="0" fontId="9" fillId="63" borderId="0" xfId="75" applyFill="1" applyAlignment="1">
      <alignment horizontal="left" wrapText="1"/>
    </xf>
    <xf numFmtId="182" fontId="9" fillId="63" borderId="0" xfId="75" applyNumberFormat="1" applyFill="1"/>
    <xf numFmtId="0" fontId="9" fillId="63" borderId="34" xfId="75" applyFill="1" applyBorder="1" applyAlignment="1">
      <alignment horizontal="left" wrapText="1"/>
    </xf>
    <xf numFmtId="49" fontId="9" fillId="63" borderId="34" xfId="75" applyNumberFormat="1" applyFill="1" applyBorder="1" applyAlignment="1">
      <alignment horizontal="left" vertical="center"/>
    </xf>
    <xf numFmtId="0" fontId="9" fillId="63" borderId="38" xfId="75" applyFill="1" applyBorder="1" applyAlignment="1">
      <alignment horizontal="left" wrapText="1"/>
    </xf>
    <xf numFmtId="0" fontId="9" fillId="63" borderId="40" xfId="75" applyFill="1" applyBorder="1" applyAlignment="1">
      <alignment horizontal="left" wrapText="1"/>
    </xf>
    <xf numFmtId="0" fontId="12" fillId="63" borderId="35" xfId="75" applyFont="1" applyFill="1" applyBorder="1" applyAlignment="1">
      <alignment horizontal="center" vertical="center" wrapText="1"/>
    </xf>
    <xf numFmtId="3" fontId="9" fillId="63" borderId="34" xfId="75" applyNumberFormat="1" applyFill="1" applyBorder="1" applyAlignment="1">
      <alignment horizontal="center" vertical="center"/>
    </xf>
    <xf numFmtId="0" fontId="9" fillId="63" borderId="0" xfId="75" applyFill="1" applyAlignment="1">
      <alignment horizontal="center"/>
    </xf>
    <xf numFmtId="0" fontId="9" fillId="63" borderId="0" xfId="75" applyFill="1" applyAlignment="1">
      <alignment horizontal="center" vertical="center"/>
    </xf>
    <xf numFmtId="3" fontId="9" fillId="63" borderId="34" xfId="75" applyNumberFormat="1" applyFill="1" applyBorder="1" applyAlignment="1">
      <alignment horizontal="center" vertical="center" wrapText="1"/>
    </xf>
    <xf numFmtId="0" fontId="9" fillId="63" borderId="34" xfId="75" applyFill="1" applyBorder="1" applyAlignment="1">
      <alignment horizontal="left" vertical="center" wrapText="1"/>
    </xf>
    <xf numFmtId="0" fontId="9" fillId="63" borderId="38" xfId="75" applyFill="1" applyBorder="1" applyAlignment="1">
      <alignment horizontal="center" vertical="center"/>
    </xf>
    <xf numFmtId="0" fontId="9" fillId="63" borderId="38" xfId="75" applyFill="1" applyBorder="1" applyAlignment="1">
      <alignment horizontal="center"/>
    </xf>
    <xf numFmtId="0" fontId="9" fillId="63" borderId="40" xfId="75" applyFill="1" applyBorder="1" applyAlignment="1">
      <alignment horizontal="center"/>
    </xf>
    <xf numFmtId="167" fontId="9" fillId="63" borderId="34" xfId="75" applyNumberFormat="1" applyFill="1" applyBorder="1"/>
    <xf numFmtId="3" fontId="9" fillId="63" borderId="34" xfId="75" applyNumberFormat="1" applyFill="1" applyBorder="1"/>
    <xf numFmtId="0" fontId="9" fillId="63" borderId="41" xfId="75" applyFill="1" applyBorder="1"/>
    <xf numFmtId="167" fontId="9" fillId="63" borderId="41" xfId="75" applyNumberFormat="1" applyFill="1" applyBorder="1"/>
    <xf numFmtId="0" fontId="12" fillId="63" borderId="35" xfId="75" applyFont="1" applyFill="1" applyBorder="1"/>
    <xf numFmtId="3" fontId="9" fillId="63" borderId="37" xfId="75" applyNumberFormat="1" applyFill="1" applyBorder="1"/>
    <xf numFmtId="0" fontId="9" fillId="63" borderId="5" xfId="75" applyFill="1" applyBorder="1"/>
    <xf numFmtId="181" fontId="9" fillId="63" borderId="5" xfId="75" applyNumberFormat="1" applyFill="1" applyBorder="1"/>
    <xf numFmtId="181" fontId="9" fillId="63" borderId="34" xfId="75" applyNumberFormat="1" applyFill="1" applyBorder="1"/>
    <xf numFmtId="183" fontId="9" fillId="63" borderId="34" xfId="1532" applyNumberFormat="1" applyFill="1" applyBorder="1" applyAlignment="1">
      <alignment horizontal="center" vertical="center"/>
    </xf>
    <xf numFmtId="169" fontId="9" fillId="63" borderId="34" xfId="75" applyNumberFormat="1" applyFill="1" applyBorder="1" applyAlignment="1">
      <alignment horizontal="center"/>
    </xf>
    <xf numFmtId="174" fontId="0" fillId="0" borderId="0" xfId="0" applyNumberFormat="1" applyAlignment="1">
      <alignment horizontal="center"/>
    </xf>
    <xf numFmtId="0" fontId="82" fillId="63" borderId="35" xfId="4" applyFont="1" applyFill="1" applyBorder="1" applyAlignment="1">
      <alignment vertical="center"/>
    </xf>
    <xf numFmtId="0" fontId="82" fillId="63" borderId="36" xfId="4" applyFont="1" applyFill="1" applyBorder="1" applyAlignment="1">
      <alignment vertical="center"/>
    </xf>
    <xf numFmtId="0" fontId="82" fillId="63" borderId="37" xfId="4" applyFont="1" applyFill="1" applyBorder="1" applyAlignment="1">
      <alignment vertical="center"/>
    </xf>
    <xf numFmtId="0" fontId="41" fillId="63" borderId="34" xfId="4" applyFont="1" applyFill="1" applyBorder="1" applyAlignment="1">
      <alignment horizontal="left" vertical="center"/>
    </xf>
    <xf numFmtId="3" fontId="41" fillId="63" borderId="34" xfId="4" applyNumberFormat="1" applyFont="1" applyFill="1" applyBorder="1" applyAlignment="1">
      <alignment horizontal="center" vertical="center" wrapText="1"/>
    </xf>
    <xf numFmtId="0" fontId="12" fillId="63" borderId="35" xfId="4" applyFont="1" applyFill="1" applyBorder="1" applyAlignment="1">
      <alignment vertical="center"/>
    </xf>
    <xf numFmtId="0" fontId="12" fillId="63" borderId="36" xfId="4" applyFont="1" applyFill="1" applyBorder="1" applyAlignment="1">
      <alignment vertical="center"/>
    </xf>
    <xf numFmtId="0" fontId="12" fillId="63" borderId="37" xfId="4" applyFont="1" applyFill="1" applyBorder="1" applyAlignment="1">
      <alignment vertical="center"/>
    </xf>
    <xf numFmtId="0" fontId="9" fillId="63" borderId="39" xfId="4" applyFill="1" applyBorder="1" applyAlignment="1">
      <alignment horizontal="left" vertical="center"/>
    </xf>
    <xf numFmtId="183" fontId="9" fillId="63" borderId="34" xfId="4" applyNumberFormat="1" applyFill="1" applyBorder="1" applyAlignment="1">
      <alignment horizontal="center" vertical="center" wrapText="1"/>
    </xf>
    <xf numFmtId="0" fontId="12" fillId="63" borderId="35" xfId="4" applyFont="1" applyFill="1" applyBorder="1" applyAlignment="1">
      <alignment horizontal="left" vertical="center"/>
    </xf>
    <xf numFmtId="183" fontId="12" fillId="63" borderId="34" xfId="4" applyNumberFormat="1" applyFont="1" applyFill="1" applyBorder="1" applyAlignment="1">
      <alignment horizontal="center" vertical="center" wrapText="1"/>
    </xf>
    <xf numFmtId="0" fontId="12" fillId="63" borderId="34" xfId="620" applyFont="1" applyFill="1" applyBorder="1" applyAlignment="1">
      <alignment horizontal="center" vertical="center" wrapText="1"/>
    </xf>
    <xf numFmtId="0" fontId="0" fillId="63" borderId="34" xfId="4" applyFont="1" applyFill="1" applyBorder="1" applyAlignment="1">
      <alignment horizontal="left" vertical="center" wrapText="1"/>
    </xf>
    <xf numFmtId="3" fontId="0" fillId="63" borderId="34" xfId="4" applyNumberFormat="1" applyFont="1" applyFill="1" applyBorder="1" applyAlignment="1">
      <alignment horizontal="center" vertical="center" wrapText="1"/>
    </xf>
    <xf numFmtId="0" fontId="12" fillId="63" borderId="34" xfId="620" applyFont="1" applyFill="1" applyBorder="1" applyAlignment="1">
      <alignment horizontal="left" vertical="center" wrapText="1"/>
    </xf>
    <xf numFmtId="174" fontId="9" fillId="63" borderId="34" xfId="75" applyNumberFormat="1" applyFill="1" applyBorder="1" applyAlignment="1">
      <alignment horizontal="center" vertical="center" wrapText="1"/>
    </xf>
    <xf numFmtId="181" fontId="9" fillId="63" borderId="34" xfId="75" applyNumberFormat="1" applyFill="1" applyBorder="1" applyAlignment="1">
      <alignment horizontal="center" vertical="center" wrapText="1"/>
    </xf>
    <xf numFmtId="184" fontId="9" fillId="63" borderId="34" xfId="75" applyNumberFormat="1" applyFill="1" applyBorder="1" applyAlignment="1">
      <alignment horizontal="center" vertical="center" wrapText="1"/>
    </xf>
    <xf numFmtId="171" fontId="9" fillId="63" borderId="34" xfId="2" applyNumberFormat="1" applyFont="1" applyFill="1" applyBorder="1" applyAlignment="1">
      <alignment horizontal="center" vertical="center"/>
    </xf>
    <xf numFmtId="185" fontId="12" fillId="63" borderId="34" xfId="75" applyNumberFormat="1" applyFont="1" applyFill="1" applyBorder="1" applyAlignment="1">
      <alignment horizontal="center" vertical="center" wrapText="1"/>
    </xf>
    <xf numFmtId="183" fontId="9" fillId="63" borderId="34" xfId="75" applyNumberFormat="1" applyFill="1" applyBorder="1" applyAlignment="1">
      <alignment horizontal="center" vertical="center" wrapText="1"/>
    </xf>
    <xf numFmtId="0" fontId="12" fillId="63" borderId="34" xfId="75" applyFont="1" applyFill="1" applyBorder="1" applyAlignment="1">
      <alignment vertical="center"/>
    </xf>
    <xf numFmtId="183" fontId="12" fillId="63" borderId="34" xfId="1532" applyNumberFormat="1" applyFont="1" applyFill="1" applyBorder="1" applyAlignment="1">
      <alignment horizontal="center" vertical="center"/>
    </xf>
    <xf numFmtId="0" fontId="9" fillId="63" borderId="34" xfId="75" applyFill="1" applyBorder="1" applyAlignment="1">
      <alignment vertical="center"/>
    </xf>
    <xf numFmtId="169" fontId="9" fillId="63" borderId="34" xfId="75" applyNumberFormat="1" applyFill="1" applyBorder="1" applyAlignment="1">
      <alignment horizontal="center" vertical="center"/>
    </xf>
    <xf numFmtId="3" fontId="9" fillId="63" borderId="34" xfId="75" applyNumberFormat="1" applyFill="1" applyBorder="1" applyAlignment="1">
      <alignment horizontal="left" vertical="center"/>
    </xf>
    <xf numFmtId="172" fontId="9" fillId="63" borderId="33" xfId="1" applyNumberFormat="1" applyFill="1" applyBorder="1"/>
    <xf numFmtId="0" fontId="9" fillId="63" borderId="34" xfId="620" applyFill="1" applyBorder="1" applyAlignment="1">
      <alignment horizontal="right"/>
    </xf>
    <xf numFmtId="172" fontId="9" fillId="63" borderId="50" xfId="620" applyNumberFormat="1" applyFill="1" applyBorder="1" applyAlignment="1">
      <alignment horizontal="center" vertical="center"/>
    </xf>
    <xf numFmtId="167" fontId="9" fillId="63" borderId="34" xfId="2" applyNumberFormat="1" applyFill="1" applyBorder="1"/>
    <xf numFmtId="0" fontId="9" fillId="63" borderId="34" xfId="620" applyFill="1" applyBorder="1" applyAlignment="1">
      <alignment horizontal="center" vertical="center"/>
    </xf>
    <xf numFmtId="172" fontId="9" fillId="63" borderId="47" xfId="620" applyNumberFormat="1" applyFill="1" applyBorder="1"/>
    <xf numFmtId="0" fontId="12" fillId="63" borderId="0" xfId="75" applyFont="1" applyFill="1" applyAlignment="1">
      <alignment vertical="center"/>
    </xf>
    <xf numFmtId="187" fontId="9" fillId="63" borderId="34" xfId="620" applyNumberFormat="1" applyFill="1" applyBorder="1"/>
    <xf numFmtId="172" fontId="9" fillId="63" borderId="30" xfId="620" applyNumberFormat="1" applyFill="1" applyBorder="1" applyAlignment="1">
      <alignment horizontal="center" vertical="center"/>
    </xf>
    <xf numFmtId="167" fontId="9" fillId="63" borderId="5" xfId="2" applyNumberFormat="1" applyFill="1" applyBorder="1"/>
    <xf numFmtId="0" fontId="9" fillId="63" borderId="30" xfId="620" applyFill="1" applyBorder="1" applyAlignment="1">
      <alignment horizontal="center" vertical="center"/>
    </xf>
    <xf numFmtId="0" fontId="12" fillId="63" borderId="0" xfId="620" applyFont="1" applyFill="1" applyAlignment="1">
      <alignment horizontal="right"/>
    </xf>
    <xf numFmtId="172" fontId="9" fillId="63" borderId="5" xfId="1" applyNumberFormat="1" applyFill="1" applyBorder="1"/>
    <xf numFmtId="0" fontId="12" fillId="64" borderId="34" xfId="620" applyFont="1" applyFill="1" applyBorder="1" applyAlignment="1">
      <alignment horizontal="center" vertical="center" wrapText="1"/>
    </xf>
    <xf numFmtId="172" fontId="9" fillId="63" borderId="34" xfId="1" applyNumberFormat="1" applyFont="1" applyFill="1" applyBorder="1"/>
    <xf numFmtId="0" fontId="9" fillId="63" borderId="47" xfId="620" applyFill="1" applyBorder="1"/>
    <xf numFmtId="0" fontId="12" fillId="63" borderId="47" xfId="620" applyFont="1" applyFill="1" applyBorder="1" applyAlignment="1">
      <alignment horizontal="right"/>
    </xf>
    <xf numFmtId="167" fontId="9" fillId="63" borderId="30" xfId="2" applyNumberFormat="1" applyFill="1" applyBorder="1" applyAlignment="1">
      <alignment horizontal="right" vertical="center"/>
    </xf>
    <xf numFmtId="172" fontId="9" fillId="63" borderId="34" xfId="1" applyNumberFormat="1" applyFill="1" applyBorder="1"/>
    <xf numFmtId="3" fontId="9" fillId="63" borderId="34" xfId="620" applyNumberFormat="1" applyFill="1" applyBorder="1"/>
    <xf numFmtId="169" fontId="9" fillId="0" borderId="53" xfId="620" applyNumberFormat="1" applyBorder="1" applyAlignment="1">
      <alignment horizontal="center"/>
    </xf>
    <xf numFmtId="167" fontId="9" fillId="63" borderId="34" xfId="2" applyNumberFormat="1" applyFill="1" applyBorder="1" applyAlignment="1">
      <alignment horizontal="right" vertical="center"/>
    </xf>
    <xf numFmtId="172" fontId="9" fillId="63" borderId="27" xfId="620" applyNumberFormat="1" applyFill="1" applyBorder="1" applyAlignment="1">
      <alignment horizontal="center" vertical="center"/>
    </xf>
    <xf numFmtId="172" fontId="9" fillId="63" borderId="30" xfId="1" applyNumberFormat="1" applyFont="1" applyFill="1" applyBorder="1"/>
    <xf numFmtId="172" fontId="9" fillId="63" borderId="34" xfId="620" applyNumberFormat="1" applyFill="1" applyBorder="1" applyAlignment="1">
      <alignment horizontal="center" vertical="center"/>
    </xf>
    <xf numFmtId="3" fontId="9" fillId="63" borderId="30" xfId="620" applyNumberFormat="1" applyFill="1" applyBorder="1"/>
    <xf numFmtId="172" fontId="9" fillId="63" borderId="5" xfId="620" applyNumberFormat="1" applyFill="1" applyBorder="1"/>
    <xf numFmtId="167" fontId="9" fillId="63" borderId="33" xfId="2" applyNumberFormat="1" applyFill="1" applyBorder="1" applyAlignment="1">
      <alignment horizontal="right" vertical="center"/>
    </xf>
    <xf numFmtId="187" fontId="9" fillId="63" borderId="30" xfId="620" applyNumberFormat="1" applyFill="1" applyBorder="1"/>
    <xf numFmtId="172" fontId="9" fillId="63" borderId="29" xfId="1" applyNumberFormat="1" applyFill="1" applyBorder="1"/>
    <xf numFmtId="0" fontId="9" fillId="63" borderId="32" xfId="620" applyFill="1" applyBorder="1" applyAlignment="1">
      <alignment horizontal="right"/>
    </xf>
    <xf numFmtId="172" fontId="9" fillId="63" borderId="30" xfId="1" applyNumberFormat="1" applyFill="1" applyBorder="1"/>
    <xf numFmtId="0" fontId="12" fillId="63" borderId="5" xfId="620" applyFont="1" applyFill="1" applyBorder="1" applyAlignment="1">
      <alignment horizontal="right"/>
    </xf>
    <xf numFmtId="167" fontId="9" fillId="63" borderId="30" xfId="2" applyNumberFormat="1" applyFill="1" applyBorder="1"/>
    <xf numFmtId="167" fontId="9" fillId="63" borderId="26" xfId="2" applyNumberFormat="1" applyFill="1" applyBorder="1" applyAlignment="1">
      <alignment horizontal="right" vertical="center"/>
    </xf>
    <xf numFmtId="167" fontId="9" fillId="63" borderId="29" xfId="2" applyNumberFormat="1" applyFill="1" applyBorder="1" applyAlignment="1">
      <alignment horizontal="right" vertical="center"/>
    </xf>
    <xf numFmtId="0" fontId="9" fillId="63" borderId="30" xfId="620" applyFill="1" applyBorder="1" applyAlignment="1">
      <alignment horizontal="right"/>
    </xf>
    <xf numFmtId="0" fontId="12" fillId="63" borderId="52" xfId="620" applyFont="1" applyFill="1" applyBorder="1" applyAlignment="1">
      <alignment horizontal="right"/>
    </xf>
    <xf numFmtId="167" fontId="9" fillId="63" borderId="51" xfId="2" applyNumberFormat="1" applyFill="1" applyBorder="1" applyAlignment="1">
      <alignment horizontal="right" vertical="center"/>
    </xf>
    <xf numFmtId="172" fontId="0" fillId="0" borderId="34" xfId="1" applyNumberFormat="1" applyFont="1" applyBorder="1"/>
    <xf numFmtId="172" fontId="9" fillId="4" borderId="34" xfId="1" applyNumberFormat="1" applyFont="1" applyFill="1" applyBorder="1"/>
    <xf numFmtId="172" fontId="0" fillId="4" borderId="34" xfId="1" applyNumberFormat="1" applyFont="1" applyFill="1" applyBorder="1"/>
    <xf numFmtId="172" fontId="9" fillId="4" borderId="5" xfId="620" applyNumberFormat="1" applyFill="1" applyBorder="1"/>
    <xf numFmtId="0" fontId="0" fillId="63" borderId="0" xfId="0" applyFill="1"/>
    <xf numFmtId="3" fontId="10" fillId="0" borderId="1" xfId="0" applyNumberFormat="1" applyFont="1" applyBorder="1" applyAlignment="1">
      <alignment horizontal="center"/>
    </xf>
    <xf numFmtId="3" fontId="10" fillId="4" borderId="46" xfId="0" applyNumberFormat="1" applyFont="1" applyFill="1" applyBorder="1" applyAlignment="1">
      <alignment horizontal="center"/>
    </xf>
    <xf numFmtId="37" fontId="0" fillId="0" borderId="0" xfId="0" applyNumberFormat="1"/>
    <xf numFmtId="3" fontId="9" fillId="65" borderId="0" xfId="0" applyNumberFormat="1" applyFont="1" applyFill="1" applyAlignment="1">
      <alignment horizontal="center"/>
    </xf>
    <xf numFmtId="3" fontId="0" fillId="65" borderId="0" xfId="0" applyNumberFormat="1" applyFill="1" applyAlignment="1">
      <alignment horizontal="center"/>
    </xf>
    <xf numFmtId="3" fontId="9" fillId="65" borderId="46" xfId="0" applyNumberFormat="1" applyFont="1" applyFill="1" applyBorder="1" applyAlignment="1">
      <alignment horizontal="center"/>
    </xf>
    <xf numFmtId="0" fontId="11" fillId="0" borderId="0" xfId="0" applyFont="1" applyAlignment="1">
      <alignment horizontal="center" vertical="center" wrapText="1"/>
    </xf>
    <xf numFmtId="0" fontId="11" fillId="0" borderId="59" xfId="0" applyFont="1" applyBorder="1" applyAlignment="1">
      <alignment horizontal="center" vertical="center" wrapText="1"/>
    </xf>
    <xf numFmtId="169" fontId="0" fillId="0" borderId="0" xfId="0" applyNumberFormat="1"/>
    <xf numFmtId="167" fontId="0" fillId="0" borderId="0" xfId="0" applyNumberFormat="1"/>
    <xf numFmtId="37" fontId="10" fillId="66" borderId="1" xfId="0" applyNumberFormat="1" applyFont="1" applyFill="1" applyBorder="1" applyAlignment="1">
      <alignment horizontal="center"/>
    </xf>
    <xf numFmtId="188" fontId="0" fillId="0" borderId="0" xfId="0" applyNumberFormat="1" applyAlignment="1">
      <alignment horizontal="center"/>
    </xf>
    <xf numFmtId="3" fontId="9" fillId="4" borderId="47" xfId="0" applyNumberFormat="1" applyFont="1" applyFill="1" applyBorder="1" applyAlignment="1">
      <alignment horizontal="center"/>
    </xf>
    <xf numFmtId="189" fontId="0" fillId="0" borderId="0" xfId="0" applyNumberFormat="1"/>
    <xf numFmtId="9" fontId="0" fillId="0" borderId="0" xfId="0" applyNumberFormat="1"/>
    <xf numFmtId="190" fontId="0" fillId="0" borderId="0" xfId="0" applyNumberFormat="1"/>
    <xf numFmtId="10" fontId="0" fillId="0" borderId="0" xfId="0" applyNumberFormat="1"/>
    <xf numFmtId="0" fontId="9" fillId="63" borderId="46" xfId="75" applyFill="1" applyBorder="1" applyAlignment="1">
      <alignment horizontal="left" vertical="center"/>
    </xf>
    <xf numFmtId="174" fontId="9" fillId="63" borderId="46" xfId="1532" applyNumberFormat="1" applyFill="1" applyBorder="1" applyAlignment="1">
      <alignment horizontal="center" vertical="center"/>
    </xf>
    <xf numFmtId="3" fontId="9" fillId="63" borderId="46" xfId="1532" applyNumberFormat="1" applyFill="1" applyBorder="1" applyAlignment="1">
      <alignment horizontal="center" vertical="center"/>
    </xf>
    <xf numFmtId="0" fontId="0" fillId="63" borderId="0" xfId="75" applyFont="1" applyFill="1" applyAlignment="1">
      <alignment horizontal="left" vertical="center"/>
    </xf>
    <xf numFmtId="0" fontId="9" fillId="63" borderId="46" xfId="75" applyFill="1" applyBorder="1" applyAlignment="1">
      <alignment horizontal="left" vertical="center" wrapText="1"/>
    </xf>
    <xf numFmtId="3" fontId="9" fillId="63" borderId="46" xfId="75" applyNumberFormat="1" applyFill="1" applyBorder="1" applyAlignment="1">
      <alignment horizontal="center" vertical="center"/>
    </xf>
    <xf numFmtId="3" fontId="9" fillId="63" borderId="0" xfId="75" applyNumberFormat="1" applyFill="1" applyAlignment="1">
      <alignment horizontal="center" vertical="center" wrapText="1"/>
    </xf>
    <xf numFmtId="181" fontId="9" fillId="63" borderId="37" xfId="75" applyNumberFormat="1" applyFill="1" applyBorder="1" applyAlignment="1">
      <alignment horizontal="center" vertical="center" wrapText="1"/>
    </xf>
    <xf numFmtId="0" fontId="9" fillId="63" borderId="59" xfId="75" applyFill="1" applyBorder="1" applyAlignment="1">
      <alignment vertical="center"/>
    </xf>
    <xf numFmtId="171" fontId="9" fillId="63" borderId="46" xfId="2" applyNumberFormat="1" applyFont="1" applyFill="1" applyBorder="1" applyAlignment="1">
      <alignment horizontal="center" vertical="center"/>
    </xf>
    <xf numFmtId="0" fontId="0" fillId="0" borderId="2" xfId="0" applyBorder="1"/>
    <xf numFmtId="0" fontId="14" fillId="0" borderId="3" xfId="0" applyFont="1" applyBorder="1" applyAlignment="1">
      <alignment horizontal="center"/>
    </xf>
    <xf numFmtId="0" fontId="14" fillId="0" borderId="3" xfId="0" applyFont="1" applyBorder="1" applyAlignment="1">
      <alignment horizontal="centerContinuous"/>
    </xf>
    <xf numFmtId="166" fontId="0" fillId="0" borderId="0" xfId="1" applyFont="1" applyFill="1" applyBorder="1" applyAlignment="1"/>
    <xf numFmtId="0" fontId="9" fillId="63" borderId="46" xfId="75" applyFill="1" applyBorder="1"/>
    <xf numFmtId="0" fontId="12" fillId="63" borderId="35" xfId="75" applyFont="1" applyFill="1" applyBorder="1" applyAlignment="1">
      <alignment vertical="center"/>
    </xf>
    <xf numFmtId="0" fontId="12" fillId="63" borderId="36" xfId="75" applyFont="1" applyFill="1" applyBorder="1" applyAlignment="1">
      <alignment vertical="center"/>
    </xf>
    <xf numFmtId="0" fontId="12" fillId="63" borderId="37" xfId="75" applyFont="1" applyFill="1" applyBorder="1" applyAlignment="1">
      <alignment vertical="center"/>
    </xf>
    <xf numFmtId="0" fontId="12" fillId="63" borderId="46" xfId="75" applyFont="1" applyFill="1" applyBorder="1" applyAlignment="1">
      <alignment vertical="center"/>
    </xf>
    <xf numFmtId="0" fontId="9" fillId="63" borderId="46" xfId="75" applyFill="1" applyBorder="1" applyAlignment="1">
      <alignment vertical="center"/>
    </xf>
    <xf numFmtId="3" fontId="0" fillId="67" borderId="0" xfId="0" applyNumberFormat="1" applyFill="1" applyAlignment="1">
      <alignment horizontal="center" wrapText="1"/>
    </xf>
    <xf numFmtId="0" fontId="0" fillId="0" borderId="46" xfId="0" applyBorder="1" applyAlignment="1">
      <alignment horizontal="center" vertical="center"/>
    </xf>
    <xf numFmtId="3" fontId="11" fillId="0" borderId="46" xfId="0" applyNumberFormat="1" applyFont="1" applyBorder="1" applyAlignment="1">
      <alignment horizontal="center" vertical="center" wrapText="1"/>
    </xf>
    <xf numFmtId="0" fontId="11" fillId="0" borderId="46" xfId="0" applyFont="1" applyBorder="1" applyAlignment="1">
      <alignment horizontal="center" vertical="center" wrapText="1"/>
    </xf>
    <xf numFmtId="12" fontId="11" fillId="0" borderId="46" xfId="0" applyNumberFormat="1" applyFont="1" applyBorder="1" applyAlignment="1">
      <alignment horizontal="center" vertical="center" wrapText="1"/>
    </xf>
    <xf numFmtId="0" fontId="11" fillId="0" borderId="36" xfId="0" applyFont="1" applyBorder="1" applyAlignment="1">
      <alignment horizontal="center" vertical="center" wrapText="1"/>
    </xf>
    <xf numFmtId="17" fontId="0" fillId="0" borderId="46" xfId="0" applyNumberFormat="1" applyBorder="1" applyAlignment="1">
      <alignment horizontal="left"/>
    </xf>
    <xf numFmtId="37" fontId="9" fillId="0" borderId="46" xfId="0" applyNumberFormat="1" applyFont="1" applyBorder="1" applyAlignment="1">
      <alignment horizontal="center"/>
    </xf>
    <xf numFmtId="12" fontId="9" fillId="0" borderId="46" xfId="0" applyNumberFormat="1" applyFont="1" applyBorder="1" applyAlignment="1">
      <alignment horizontal="center" vertical="center"/>
    </xf>
    <xf numFmtId="167" fontId="9" fillId="0" borderId="0" xfId="0" applyNumberFormat="1" applyFont="1" applyAlignment="1">
      <alignment horizontal="center"/>
    </xf>
    <xf numFmtId="37" fontId="9" fillId="0" borderId="0" xfId="0" applyNumberFormat="1" applyFont="1" applyAlignment="1">
      <alignment horizontal="center"/>
    </xf>
    <xf numFmtId="172" fontId="9" fillId="63" borderId="0" xfId="620" applyNumberFormat="1" applyFill="1" applyAlignment="1">
      <alignment horizontal="center" vertical="center"/>
    </xf>
    <xf numFmtId="167" fontId="9" fillId="63" borderId="0" xfId="2" applyNumberFormat="1" applyFill="1" applyBorder="1" applyAlignment="1">
      <alignment horizontal="right" vertical="center"/>
    </xf>
    <xf numFmtId="10" fontId="0" fillId="0" borderId="0" xfId="2" applyNumberFormat="1" applyFont="1" applyFill="1" applyBorder="1" applyAlignment="1"/>
    <xf numFmtId="172" fontId="0" fillId="0" borderId="0" xfId="1" applyNumberFormat="1" applyFont="1" applyFill="1" applyBorder="1" applyAlignment="1"/>
    <xf numFmtId="166" fontId="0" fillId="0" borderId="2" xfId="1" applyFont="1" applyFill="1" applyBorder="1" applyAlignment="1"/>
    <xf numFmtId="172" fontId="0" fillId="0" borderId="2" xfId="1" applyNumberFormat="1" applyFont="1" applyFill="1" applyBorder="1" applyAlignment="1"/>
    <xf numFmtId="3" fontId="0" fillId="63" borderId="46" xfId="4" applyNumberFormat="1" applyFont="1" applyFill="1" applyBorder="1" applyAlignment="1">
      <alignment horizontal="center" vertical="center" wrapText="1"/>
    </xf>
    <xf numFmtId="174" fontId="9" fillId="63" borderId="46" xfId="75" applyNumberFormat="1" applyFill="1" applyBorder="1" applyAlignment="1">
      <alignment horizontal="center" vertical="center" wrapText="1"/>
    </xf>
    <xf numFmtId="187" fontId="9" fillId="0" borderId="0" xfId="620" applyNumberFormat="1"/>
    <xf numFmtId="187" fontId="80" fillId="0" borderId="0" xfId="1533" applyNumberFormat="1"/>
    <xf numFmtId="172" fontId="80" fillId="0" borderId="0" xfId="1533" applyNumberFormat="1"/>
    <xf numFmtId="0" fontId="9" fillId="4" borderId="35" xfId="75" applyFill="1" applyBorder="1" applyAlignment="1">
      <alignment horizontal="left" vertical="center"/>
    </xf>
    <xf numFmtId="186" fontId="9" fillId="4" borderId="36" xfId="75" applyNumberFormat="1" applyFill="1" applyBorder="1" applyAlignment="1">
      <alignment horizontal="center" vertical="center"/>
    </xf>
    <xf numFmtId="0" fontId="9" fillId="4" borderId="36" xfId="75" applyFill="1" applyBorder="1" applyAlignment="1">
      <alignment horizontal="center" vertical="center"/>
    </xf>
    <xf numFmtId="3" fontId="9" fillId="4" borderId="36" xfId="1532" applyNumberFormat="1" applyFill="1" applyBorder="1" applyAlignment="1">
      <alignment horizontal="center" vertical="center"/>
    </xf>
    <xf numFmtId="0" fontId="9" fillId="4" borderId="37" xfId="75" applyFill="1" applyBorder="1" applyAlignment="1">
      <alignment horizontal="center" vertical="center"/>
    </xf>
    <xf numFmtId="191" fontId="0" fillId="0" borderId="0" xfId="0" applyNumberFormat="1"/>
    <xf numFmtId="172" fontId="9" fillId="0" borderId="34" xfId="1" applyNumberFormat="1" applyFont="1" applyFill="1" applyBorder="1"/>
    <xf numFmtId="172" fontId="0" fillId="0" borderId="34" xfId="1" applyNumberFormat="1" applyFont="1" applyFill="1" applyBorder="1"/>
    <xf numFmtId="172" fontId="9" fillId="0" borderId="30" xfId="1" applyNumberFormat="1" applyFont="1" applyFill="1" applyBorder="1"/>
    <xf numFmtId="172" fontId="9" fillId="0" borderId="5" xfId="620" applyNumberFormat="1" applyBorder="1"/>
    <xf numFmtId="172" fontId="0" fillId="0" borderId="0" xfId="1" applyNumberFormat="1" applyFont="1"/>
    <xf numFmtId="172" fontId="0" fillId="68" borderId="0" xfId="1" applyNumberFormat="1" applyFont="1" applyFill="1"/>
    <xf numFmtId="172" fontId="0" fillId="0" borderId="0" xfId="0" applyNumberFormat="1"/>
    <xf numFmtId="181" fontId="9" fillId="63" borderId="0" xfId="75" applyNumberFormat="1" applyFill="1" applyAlignment="1">
      <alignment horizontal="center" vertical="center" wrapText="1"/>
    </xf>
    <xf numFmtId="0" fontId="12" fillId="0" borderId="35" xfId="75" applyFont="1" applyBorder="1" applyAlignment="1">
      <alignment vertical="center"/>
    </xf>
    <xf numFmtId="0" fontId="12" fillId="0" borderId="36" xfId="75" applyFont="1" applyBorder="1" applyAlignment="1">
      <alignment vertical="center"/>
    </xf>
    <xf numFmtId="0" fontId="12" fillId="63" borderId="36" xfId="75" applyFont="1" applyFill="1" applyBorder="1" applyAlignment="1">
      <alignment wrapText="1"/>
    </xf>
    <xf numFmtId="0" fontId="12" fillId="63" borderId="37" xfId="75" applyFont="1" applyFill="1" applyBorder="1" applyAlignment="1">
      <alignment wrapText="1"/>
    </xf>
    <xf numFmtId="3" fontId="9" fillId="0" borderId="34" xfId="75" applyNumberFormat="1" applyBorder="1" applyAlignment="1">
      <alignment horizontal="center" vertical="center"/>
    </xf>
    <xf numFmtId="183" fontId="9" fillId="0" borderId="34" xfId="75" applyNumberFormat="1" applyBorder="1" applyAlignment="1">
      <alignment horizontal="center" vertical="center" wrapText="1"/>
    </xf>
    <xf numFmtId="0" fontId="12" fillId="0" borderId="34" xfId="75" applyFont="1" applyBorder="1" applyAlignment="1">
      <alignment vertical="center"/>
    </xf>
    <xf numFmtId="0" fontId="9" fillId="0" borderId="34" xfId="75" applyBorder="1"/>
    <xf numFmtId="3" fontId="9" fillId="0" borderId="34" xfId="1532" applyNumberFormat="1" applyBorder="1" applyAlignment="1">
      <alignment horizontal="center" vertical="center"/>
    </xf>
    <xf numFmtId="0" fontId="12" fillId="69" borderId="34" xfId="75" applyFont="1" applyFill="1" applyBorder="1" applyAlignment="1">
      <alignment horizontal="center" vertical="center" wrapText="1"/>
    </xf>
    <xf numFmtId="0" fontId="12" fillId="69" borderId="34" xfId="75" applyFont="1" applyFill="1" applyBorder="1" applyAlignment="1">
      <alignment horizontal="left" vertical="center" wrapText="1"/>
    </xf>
    <xf numFmtId="0" fontId="12" fillId="63" borderId="35" xfId="4" applyFont="1" applyFill="1" applyBorder="1" applyAlignment="1">
      <alignment horizontal="left" vertical="center" wrapText="1"/>
    </xf>
    <xf numFmtId="0" fontId="12" fillId="69" borderId="34" xfId="620" applyFont="1" applyFill="1" applyBorder="1" applyAlignment="1">
      <alignment horizontal="center" vertical="center" wrapText="1"/>
    </xf>
    <xf numFmtId="0" fontId="9" fillId="63" borderId="46" xfId="4" applyFill="1" applyBorder="1" applyAlignment="1">
      <alignment horizontal="left" vertical="center" wrapText="1"/>
    </xf>
    <xf numFmtId="184" fontId="9" fillId="63" borderId="0" xfId="75" applyNumberFormat="1" applyFill="1" applyAlignment="1">
      <alignment horizontal="center" vertical="center" wrapText="1"/>
    </xf>
    <xf numFmtId="166" fontId="9" fillId="63" borderId="34" xfId="1" applyFill="1" applyBorder="1" applyAlignment="1">
      <alignment horizontal="center" vertical="center" wrapText="1"/>
    </xf>
    <xf numFmtId="172" fontId="9" fillId="0" borderId="34" xfId="1" applyNumberFormat="1" applyFill="1" applyBorder="1"/>
    <xf numFmtId="172" fontId="9" fillId="0" borderId="30" xfId="1" applyNumberFormat="1" applyFill="1" applyBorder="1"/>
    <xf numFmtId="172" fontId="9" fillId="0" borderId="47" xfId="620" applyNumberFormat="1" applyBorder="1"/>
    <xf numFmtId="0" fontId="12" fillId="69" borderId="33" xfId="620" applyFont="1" applyFill="1" applyBorder="1" applyAlignment="1">
      <alignment horizontal="center" vertical="center" wrapText="1"/>
    </xf>
    <xf numFmtId="0" fontId="12" fillId="69" borderId="34" xfId="620" applyFont="1" applyFill="1" applyBorder="1" applyAlignment="1">
      <alignment horizontal="center" vertical="center"/>
    </xf>
    <xf numFmtId="0" fontId="9" fillId="69" borderId="34" xfId="620" applyFill="1" applyBorder="1"/>
    <xf numFmtId="0" fontId="9" fillId="63" borderId="32" xfId="620" applyFill="1" applyBorder="1" applyAlignment="1">
      <alignment horizontal="right" wrapText="1"/>
    </xf>
    <xf numFmtId="0" fontId="9" fillId="63" borderId="28" xfId="620" applyFill="1" applyBorder="1" applyAlignment="1">
      <alignment horizontal="right" wrapText="1"/>
    </xf>
    <xf numFmtId="0" fontId="12" fillId="63" borderId="47" xfId="620" applyFont="1" applyFill="1" applyBorder="1" applyAlignment="1">
      <alignment horizontal="right" wrapText="1"/>
    </xf>
    <xf numFmtId="0" fontId="12" fillId="69" borderId="34" xfId="620" applyFont="1" applyFill="1" applyBorder="1" applyAlignment="1">
      <alignment wrapText="1"/>
    </xf>
    <xf numFmtId="0" fontId="12" fillId="63" borderId="25" xfId="620" applyFont="1" applyFill="1" applyBorder="1" applyAlignment="1">
      <alignment horizontal="right" wrapText="1"/>
    </xf>
    <xf numFmtId="0" fontId="12" fillId="63" borderId="52" xfId="620" applyFont="1" applyFill="1" applyBorder="1" applyAlignment="1">
      <alignment horizontal="right" wrapText="1"/>
    </xf>
    <xf numFmtId="0" fontId="12" fillId="69" borderId="49" xfId="620" applyFont="1" applyFill="1" applyBorder="1" applyAlignment="1">
      <alignment wrapText="1"/>
    </xf>
    <xf numFmtId="0" fontId="12" fillId="69" borderId="48" xfId="620" applyFont="1" applyFill="1" applyBorder="1" applyAlignment="1">
      <alignment horizontal="center" vertical="center"/>
    </xf>
    <xf numFmtId="0" fontId="9" fillId="69" borderId="48" xfId="620" applyFill="1" applyBorder="1"/>
    <xf numFmtId="0" fontId="12" fillId="69" borderId="54" xfId="620" applyFont="1" applyFill="1" applyBorder="1" applyAlignment="1">
      <alignment horizontal="center" vertical="center"/>
    </xf>
    <xf numFmtId="0" fontId="12" fillId="69" borderId="49" xfId="620" applyFont="1" applyFill="1" applyBorder="1"/>
    <xf numFmtId="10" fontId="9" fillId="0" borderId="0" xfId="2" applyNumberFormat="1"/>
    <xf numFmtId="167" fontId="9" fillId="63" borderId="51" xfId="2" applyNumberFormat="1" applyFill="1" applyBorder="1" applyAlignment="1">
      <alignment horizontal="right" vertical="center" wrapText="1"/>
    </xf>
    <xf numFmtId="0" fontId="9" fillId="63" borderId="0" xfId="620" applyFill="1" applyAlignment="1">
      <alignment horizontal="center" vertical="center"/>
    </xf>
    <xf numFmtId="0" fontId="12" fillId="63" borderId="39" xfId="4" applyFont="1" applyFill="1" applyBorder="1" applyAlignment="1">
      <alignment horizontal="left" vertical="center"/>
    </xf>
    <xf numFmtId="183" fontId="12" fillId="63" borderId="46" xfId="4" applyNumberFormat="1" applyFont="1" applyFill="1" applyBorder="1" applyAlignment="1">
      <alignment horizontal="center" vertical="center" wrapText="1"/>
    </xf>
    <xf numFmtId="0" fontId="12" fillId="69" borderId="35" xfId="75" applyFont="1" applyFill="1" applyBorder="1" applyAlignment="1">
      <alignment vertical="center"/>
    </xf>
    <xf numFmtId="0" fontId="12" fillId="69" borderId="36" xfId="75" applyFont="1" applyFill="1" applyBorder="1" applyAlignment="1">
      <alignment vertical="center"/>
    </xf>
    <xf numFmtId="0" fontId="9" fillId="0" borderId="34" xfId="75" applyBorder="1" applyAlignment="1">
      <alignment horizontal="center" vertical="center" wrapText="1"/>
    </xf>
    <xf numFmtId="0" fontId="9" fillId="0" borderId="34" xfId="75" applyBorder="1" applyAlignment="1">
      <alignment horizontal="left" wrapText="1"/>
    </xf>
    <xf numFmtId="186" fontId="9" fillId="0" borderId="34" xfId="75" applyNumberFormat="1" applyBorder="1" applyAlignment="1">
      <alignment horizontal="center" vertical="center" wrapText="1"/>
    </xf>
    <xf numFmtId="0" fontId="12" fillId="69" borderId="36" xfId="75" applyFont="1" applyFill="1" applyBorder="1" applyAlignment="1">
      <alignment wrapText="1"/>
    </xf>
    <xf numFmtId="0" fontId="12" fillId="69" borderId="35" xfId="75" applyFont="1" applyFill="1" applyBorder="1"/>
    <xf numFmtId="0" fontId="12" fillId="69" borderId="37" xfId="75" applyFont="1" applyFill="1" applyBorder="1" applyAlignment="1">
      <alignment wrapText="1"/>
    </xf>
    <xf numFmtId="3" fontId="9" fillId="0" borderId="34" xfId="75" applyNumberFormat="1" applyBorder="1" applyAlignment="1">
      <alignment horizontal="center"/>
    </xf>
    <xf numFmtId="3" fontId="9" fillId="0" borderId="34" xfId="75" applyNumberFormat="1" applyBorder="1" applyAlignment="1">
      <alignment horizontal="center" vertical="center" wrapText="1"/>
    </xf>
    <xf numFmtId="0" fontId="12" fillId="69" borderId="37" xfId="75" applyFont="1" applyFill="1" applyBorder="1" applyAlignment="1">
      <alignment vertical="center"/>
    </xf>
    <xf numFmtId="0" fontId="9" fillId="0" borderId="34" xfId="75" applyBorder="1" applyAlignment="1">
      <alignment horizontal="center" wrapText="1"/>
    </xf>
    <xf numFmtId="0" fontId="9" fillId="69" borderId="38" xfId="75" applyFill="1" applyBorder="1" applyAlignment="1">
      <alignment horizontal="center" vertical="center"/>
    </xf>
    <xf numFmtId="0" fontId="79" fillId="69" borderId="34" xfId="75" applyFont="1" applyFill="1" applyBorder="1" applyAlignment="1">
      <alignment horizontal="center" vertical="center" wrapText="1"/>
    </xf>
    <xf numFmtId="0" fontId="79" fillId="69" borderId="46" xfId="75" applyFont="1" applyFill="1" applyBorder="1" applyAlignment="1">
      <alignment horizontal="center" vertical="center" wrapText="1"/>
    </xf>
    <xf numFmtId="0" fontId="79" fillId="69" borderId="35" xfId="620" applyFont="1" applyFill="1" applyBorder="1" applyAlignment="1">
      <alignment horizontal="left" vertical="center" wrapText="1"/>
    </xf>
    <xf numFmtId="0" fontId="79" fillId="69" borderId="35" xfId="620" applyFont="1" applyFill="1" applyBorder="1" applyAlignment="1">
      <alignment horizontal="center" vertical="center" wrapText="1"/>
    </xf>
    <xf numFmtId="0" fontId="79" fillId="69" borderId="34" xfId="620" applyFont="1" applyFill="1" applyBorder="1" applyAlignment="1">
      <alignment horizontal="center" vertical="center" wrapText="1"/>
    </xf>
    <xf numFmtId="0" fontId="79" fillId="69" borderId="34" xfId="620" applyFont="1" applyFill="1" applyBorder="1" applyAlignment="1">
      <alignment horizontal="left" vertical="center" wrapText="1"/>
    </xf>
    <xf numFmtId="0" fontId="12" fillId="0" borderId="37" xfId="75" applyFont="1" applyBorder="1" applyAlignment="1">
      <alignment vertical="center"/>
    </xf>
    <xf numFmtId="0" fontId="9" fillId="0" borderId="46" xfId="75" applyBorder="1" applyAlignment="1">
      <alignment horizontal="left" vertical="center"/>
    </xf>
    <xf numFmtId="0" fontId="79" fillId="69" borderId="34" xfId="75" applyFont="1" applyFill="1" applyBorder="1" applyAlignment="1">
      <alignment horizontal="left" vertical="center" wrapText="1"/>
    </xf>
    <xf numFmtId="0" fontId="12" fillId="0" borderId="46" xfId="75" applyFont="1" applyBorder="1" applyAlignment="1">
      <alignment horizontal="left" vertical="center"/>
    </xf>
    <xf numFmtId="3" fontId="79" fillId="69" borderId="34" xfId="75" applyNumberFormat="1" applyFont="1" applyFill="1" applyBorder="1" applyAlignment="1">
      <alignment horizontal="center" vertical="center" wrapText="1"/>
    </xf>
    <xf numFmtId="0" fontId="79" fillId="69" borderId="35" xfId="75" applyFont="1" applyFill="1" applyBorder="1"/>
    <xf numFmtId="0" fontId="79" fillId="69" borderId="33" xfId="620" applyFont="1" applyFill="1" applyBorder="1" applyAlignment="1">
      <alignment horizontal="center" vertical="center" wrapText="1"/>
    </xf>
    <xf numFmtId="166" fontId="0" fillId="70" borderId="0" xfId="1" applyFont="1" applyFill="1"/>
    <xf numFmtId="37" fontId="10" fillId="70" borderId="1" xfId="0" applyNumberFormat="1" applyFont="1" applyFill="1" applyBorder="1" applyAlignment="1">
      <alignment horizontal="center"/>
    </xf>
    <xf numFmtId="3" fontId="0" fillId="70" borderId="0" xfId="0" applyNumberFormat="1" applyFill="1" applyAlignment="1">
      <alignment horizontal="center" vertical="center"/>
    </xf>
    <xf numFmtId="192" fontId="0" fillId="0" borderId="0" xfId="2" applyNumberFormat="1" applyFont="1"/>
    <xf numFmtId="171" fontId="0" fillId="0" borderId="0" xfId="2" applyNumberFormat="1" applyFont="1"/>
    <xf numFmtId="37" fontId="10" fillId="65" borderId="1" xfId="0" applyNumberFormat="1" applyFont="1" applyFill="1" applyBorder="1" applyAlignment="1">
      <alignment horizontal="center"/>
    </xf>
    <xf numFmtId="17" fontId="0" fillId="0" borderId="0" xfId="0" applyNumberFormat="1" applyAlignment="1">
      <alignment horizontal="right"/>
    </xf>
    <xf numFmtId="0" fontId="0" fillId="4" borderId="0" xfId="0" applyFill="1" applyAlignment="1">
      <alignment horizontal="center"/>
    </xf>
    <xf numFmtId="0" fontId="0" fillId="40" borderId="0" xfId="0" applyFill="1" applyAlignment="1">
      <alignment horizontal="center"/>
    </xf>
    <xf numFmtId="0" fontId="79" fillId="69" borderId="64" xfId="620" applyFont="1" applyFill="1" applyBorder="1" applyAlignment="1">
      <alignment horizontal="center" vertical="center"/>
    </xf>
    <xf numFmtId="0" fontId="79" fillId="69" borderId="65" xfId="620" applyFont="1" applyFill="1" applyBorder="1" applyAlignment="1">
      <alignment horizontal="center" vertical="center"/>
    </xf>
    <xf numFmtId="0" fontId="79" fillId="69" borderId="60" xfId="620" applyFont="1" applyFill="1" applyBorder="1" applyAlignment="1">
      <alignment horizontal="center" vertical="center"/>
    </xf>
    <xf numFmtId="0" fontId="79" fillId="69" borderId="62" xfId="620" applyFont="1" applyFill="1" applyBorder="1" applyAlignment="1">
      <alignment horizontal="center" vertical="center"/>
    </xf>
    <xf numFmtId="0" fontId="79" fillId="69" borderId="63" xfId="620" applyFont="1" applyFill="1" applyBorder="1" applyAlignment="1">
      <alignment horizontal="center" vertical="center"/>
    </xf>
    <xf numFmtId="0" fontId="79" fillId="69" borderId="5" xfId="620" applyFont="1" applyFill="1" applyBorder="1" applyAlignment="1">
      <alignment horizontal="center" vertical="center"/>
    </xf>
    <xf numFmtId="0" fontId="79" fillId="69" borderId="60" xfId="620" applyFont="1" applyFill="1" applyBorder="1" applyAlignment="1">
      <alignment horizontal="center" vertical="center" wrapText="1"/>
    </xf>
    <xf numFmtId="0" fontId="79" fillId="69" borderId="62" xfId="620" applyFont="1" applyFill="1" applyBorder="1" applyAlignment="1">
      <alignment horizontal="center" vertical="center" wrapText="1"/>
    </xf>
    <xf numFmtId="0" fontId="79" fillId="69" borderId="61" xfId="620" applyFont="1" applyFill="1" applyBorder="1" applyAlignment="1">
      <alignment horizontal="center" vertical="center" wrapText="1"/>
    </xf>
    <xf numFmtId="0" fontId="12" fillId="69" borderId="64" xfId="620" applyFont="1" applyFill="1" applyBorder="1" applyAlignment="1">
      <alignment horizontal="center" vertical="center"/>
    </xf>
    <xf numFmtId="0" fontId="12" fillId="69" borderId="65" xfId="620" applyFont="1" applyFill="1" applyBorder="1" applyAlignment="1">
      <alignment horizontal="center" vertical="center"/>
    </xf>
    <xf numFmtId="0" fontId="12" fillId="69" borderId="60" xfId="620" applyFont="1" applyFill="1" applyBorder="1" applyAlignment="1">
      <alignment horizontal="center" vertical="center"/>
    </xf>
    <xf numFmtId="0" fontId="12" fillId="69" borderId="62" xfId="620" applyFont="1" applyFill="1" applyBorder="1" applyAlignment="1">
      <alignment horizontal="center" vertical="center"/>
    </xf>
    <xf numFmtId="0" fontId="12" fillId="69" borderId="63" xfId="620" applyFont="1" applyFill="1" applyBorder="1" applyAlignment="1">
      <alignment horizontal="center" vertical="center"/>
    </xf>
    <xf numFmtId="0" fontId="12" fillId="69" borderId="5" xfId="620" applyFont="1" applyFill="1" applyBorder="1" applyAlignment="1">
      <alignment horizontal="center" vertical="center"/>
    </xf>
    <xf numFmtId="0" fontId="12" fillId="69" borderId="60" xfId="620" applyFont="1" applyFill="1" applyBorder="1" applyAlignment="1">
      <alignment horizontal="center" vertical="center" wrapText="1"/>
    </xf>
    <xf numFmtId="0" fontId="12" fillId="69" borderId="62" xfId="620" applyFont="1" applyFill="1" applyBorder="1" applyAlignment="1">
      <alignment horizontal="center" vertical="center" wrapText="1"/>
    </xf>
    <xf numFmtId="0" fontId="12" fillId="69" borderId="61" xfId="620" applyFont="1" applyFill="1" applyBorder="1" applyAlignment="1">
      <alignment horizontal="center" vertical="center" wrapText="1"/>
    </xf>
    <xf numFmtId="0" fontId="79" fillId="69" borderId="64" xfId="620" applyFont="1" applyFill="1" applyBorder="1" applyAlignment="1">
      <alignment horizontal="center" vertical="center" wrapText="1"/>
    </xf>
    <xf numFmtId="0" fontId="79" fillId="69" borderId="65" xfId="620" applyFont="1" applyFill="1" applyBorder="1" applyAlignment="1">
      <alignment horizontal="center" vertical="center" wrapText="1"/>
    </xf>
    <xf numFmtId="0" fontId="12" fillId="0" borderId="31" xfId="75" applyFont="1" applyBorder="1" applyAlignment="1">
      <alignment horizontal="left" vertical="center"/>
    </xf>
    <xf numFmtId="0" fontId="12" fillId="0" borderId="31" xfId="75" applyFont="1" applyBorder="1" applyAlignment="1">
      <alignment horizontal="left" vertical="center" wrapText="1"/>
    </xf>
    <xf numFmtId="0" fontId="12" fillId="0" borderId="39" xfId="4" applyFont="1" applyBorder="1" applyAlignment="1">
      <alignment horizontal="left" vertical="center"/>
    </xf>
    <xf numFmtId="0" fontId="12" fillId="0" borderId="31" xfId="4" applyFont="1" applyBorder="1" applyAlignment="1">
      <alignment horizontal="left" vertical="center"/>
    </xf>
    <xf numFmtId="0" fontId="12" fillId="0" borderId="0" xfId="75" applyFont="1" applyAlignment="1">
      <alignment horizontal="left" vertical="center"/>
    </xf>
    <xf numFmtId="0" fontId="12" fillId="63" borderId="31" xfId="75" applyFont="1" applyFill="1" applyBorder="1" applyAlignment="1">
      <alignment horizontal="left" vertical="center"/>
    </xf>
    <xf numFmtId="0" fontId="0" fillId="39" borderId="0" xfId="0" applyFill="1" applyAlignment="1">
      <alignment horizontal="center"/>
    </xf>
    <xf numFmtId="3" fontId="9" fillId="0" borderId="1" xfId="0" applyNumberFormat="1" applyFont="1" applyBorder="1" applyAlignment="1">
      <alignment horizontal="center"/>
    </xf>
    <xf numFmtId="3" fontId="0" fillId="0" borderId="1" xfId="0" applyNumberFormat="1" applyBorder="1" applyAlignment="1">
      <alignment horizontal="center"/>
    </xf>
    <xf numFmtId="0" fontId="79" fillId="0" borderId="0" xfId="0" applyFont="1" applyAlignment="1">
      <alignment horizontal="center"/>
    </xf>
  </cellXfs>
  <cellStyles count="1651">
    <cellStyle name="$" xfId="14" xr:uid="{00000000-0005-0000-0000-000000000000}"/>
    <cellStyle name="$.00" xfId="15" xr:uid="{00000000-0005-0000-0000-000001000000}"/>
    <cellStyle name="$_9. Rev2Cost_GDPIPI" xfId="16" xr:uid="{00000000-0005-0000-0000-000002000000}"/>
    <cellStyle name="$_lists" xfId="17" xr:uid="{00000000-0005-0000-0000-000003000000}"/>
    <cellStyle name="$_lists_4. Current Monthly Fixed Charge" xfId="18" xr:uid="{00000000-0005-0000-0000-000004000000}"/>
    <cellStyle name="$_Sheet4" xfId="19" xr:uid="{00000000-0005-0000-0000-000005000000}"/>
    <cellStyle name="$M" xfId="20" xr:uid="{00000000-0005-0000-0000-000006000000}"/>
    <cellStyle name="$M.00" xfId="21" xr:uid="{00000000-0005-0000-0000-000007000000}"/>
    <cellStyle name="$M_9. Rev2Cost_GDPIPI" xfId="22" xr:uid="{00000000-0005-0000-0000-000008000000}"/>
    <cellStyle name="20% - Accent1 10" xfId="104" xr:uid="{3FA1FFCA-BE3F-41A7-8993-95B3F773BA7C}"/>
    <cellStyle name="20% - Accent1 11" xfId="105" xr:uid="{5649297F-154B-4C02-A181-973285B19D7D}"/>
    <cellStyle name="20% - Accent1 12" xfId="106" xr:uid="{E383FC1D-9847-4DFF-966B-4A3C321502F6}"/>
    <cellStyle name="20% - Accent1 13" xfId="107" xr:uid="{1217E4AB-7DED-403D-A5CC-F233870FFAD1}"/>
    <cellStyle name="20% - Accent1 14" xfId="108" xr:uid="{94913466-AC2B-4CA2-A0C2-791B5ABBC469}"/>
    <cellStyle name="20% - Accent1 15" xfId="109" xr:uid="{8AB6D119-F782-40E6-9646-B552CB37096B}"/>
    <cellStyle name="20% - Accent1 16" xfId="769" xr:uid="{45FBF829-0047-4ADB-BC05-C028DF6644DA}"/>
    <cellStyle name="20% - Accent1 2" xfId="23" xr:uid="{00000000-0005-0000-0000-000009000000}"/>
    <cellStyle name="20% - Accent1 2 2" xfId="815" xr:uid="{1EAF84D8-4755-4733-849D-1BFF4F73BD94}"/>
    <cellStyle name="20% - Accent1 2 2 2" xfId="1587" xr:uid="{7089DDAD-30FE-43D1-A6B6-6696F1921C22}"/>
    <cellStyle name="20% - Accent1 2 3" xfId="110" xr:uid="{4A647E3F-96F3-4D22-89D1-F5D064BBDC62}"/>
    <cellStyle name="20% - Accent1 2 3 2" xfId="1620" xr:uid="{54F2DDC7-871E-4AAE-A9C8-03C7FEFF7255}"/>
    <cellStyle name="20% - Accent1 2 4" xfId="1551" xr:uid="{6498D3B7-D895-4F43-ACAE-CBC25968B0C0}"/>
    <cellStyle name="20% - Accent1 3" xfId="111" xr:uid="{BBBC7D0B-BD48-4D03-AA8A-2C01413CC7B2}"/>
    <cellStyle name="20% - Accent1 4" xfId="112" xr:uid="{967EE2E3-4945-4801-8E05-BC4B5DE50086}"/>
    <cellStyle name="20% - Accent1 5" xfId="113" xr:uid="{7E251424-5435-4D56-B08E-62A05FE87F7E}"/>
    <cellStyle name="20% - Accent1 6" xfId="114" xr:uid="{376DAE87-F0AA-4C7C-9983-5B8780A7A441}"/>
    <cellStyle name="20% - Accent1 7" xfId="115" xr:uid="{443E02D2-0543-42C4-875F-F2E9B3167F6C}"/>
    <cellStyle name="20% - Accent1 8" xfId="116" xr:uid="{E2A56F3A-271E-4A07-8608-251A3D42C601}"/>
    <cellStyle name="20% - Accent1 9" xfId="117" xr:uid="{2CB79A3F-4E62-4EAE-9F90-44BF93F1D182}"/>
    <cellStyle name="20% - Accent2 10" xfId="118" xr:uid="{6C190751-8BFA-4BAD-AFD5-DC099043E3FC}"/>
    <cellStyle name="20% - Accent2 11" xfId="119" xr:uid="{A10CC3DB-1218-4CDC-9E9D-72567D40C1B9}"/>
    <cellStyle name="20% - Accent2 12" xfId="120" xr:uid="{1EB12AEB-951A-4D60-87C9-8A7E59E24A01}"/>
    <cellStyle name="20% - Accent2 13" xfId="121" xr:uid="{473F8E8B-6183-4F6C-B892-4BD1091F10E0}"/>
    <cellStyle name="20% - Accent2 14" xfId="122" xr:uid="{13696E75-2D2C-4621-955F-23F7900D4AAA}"/>
    <cellStyle name="20% - Accent2 15" xfId="123" xr:uid="{F0E2D41A-B837-46EC-BBEA-2CAE487D301E}"/>
    <cellStyle name="20% - Accent2 16" xfId="770" xr:uid="{D6013404-A408-4AAB-80F1-09258BC9B437}"/>
    <cellStyle name="20% - Accent2 2" xfId="24" xr:uid="{00000000-0005-0000-0000-00000A000000}"/>
    <cellStyle name="20% - Accent2 2 2" xfId="819" xr:uid="{88E9716D-ED26-4B0C-B13D-E8B8E843EB65}"/>
    <cellStyle name="20% - Accent2 2 2 2" xfId="1589" xr:uid="{A07D000B-63F8-4381-8F55-D2158DEAC585}"/>
    <cellStyle name="20% - Accent2 2 3" xfId="124" xr:uid="{9A2CCDBD-6CEB-439D-8ED1-7C033D7D4909}"/>
    <cellStyle name="20% - Accent2 2 3 2" xfId="1622" xr:uid="{76DE2459-9BEA-46E7-BF77-DBCF127487BC}"/>
    <cellStyle name="20% - Accent2 2 4" xfId="1553" xr:uid="{E01A7A15-6DB9-43B1-8D8A-36D88C34E8CA}"/>
    <cellStyle name="20% - Accent2 3" xfId="125" xr:uid="{55000463-8A6F-4E5F-895F-1D6836E3F798}"/>
    <cellStyle name="20% - Accent2 4" xfId="126" xr:uid="{AF859086-CC51-40A1-9C3C-6366AA79F1FF}"/>
    <cellStyle name="20% - Accent2 5" xfId="127" xr:uid="{832429B3-E619-4DDA-B4A3-64363250CB45}"/>
    <cellStyle name="20% - Accent2 6" xfId="128" xr:uid="{B89B8E96-1DD4-4C95-A573-00A44AE3E0E0}"/>
    <cellStyle name="20% - Accent2 7" xfId="129" xr:uid="{7EE69995-BB3B-41D4-8136-EBAEC511BB7C}"/>
    <cellStyle name="20% - Accent2 8" xfId="130" xr:uid="{2725C661-C278-4344-B0A1-619B40DB1CEF}"/>
    <cellStyle name="20% - Accent2 9" xfId="131" xr:uid="{48AAB1AD-A964-4460-92AD-A040CBF8F10D}"/>
    <cellStyle name="20% - Accent3 10" xfId="132" xr:uid="{7ACE94B7-11FE-4305-941E-C0B5D6C40E5D}"/>
    <cellStyle name="20% - Accent3 11" xfId="133" xr:uid="{238C467B-9463-4905-866D-FE45FF0EE60B}"/>
    <cellStyle name="20% - Accent3 12" xfId="134" xr:uid="{442C9A86-B726-436B-A8EE-CBE9AFDBF4D7}"/>
    <cellStyle name="20% - Accent3 13" xfId="135" xr:uid="{2CD00547-C846-4ECE-B078-3A0B79C7A7F7}"/>
    <cellStyle name="20% - Accent3 14" xfId="136" xr:uid="{223898B6-3510-4569-AEE2-C0DBD9EC9E21}"/>
    <cellStyle name="20% - Accent3 15" xfId="137" xr:uid="{ECFD3754-2839-443F-93D6-2988AB81F926}"/>
    <cellStyle name="20% - Accent3 16" xfId="771" xr:uid="{12D4EFAA-CEF6-43E3-AECD-3B0EF030DC19}"/>
    <cellStyle name="20% - Accent3 2" xfId="25" xr:uid="{00000000-0005-0000-0000-00000B000000}"/>
    <cellStyle name="20% - Accent3 2 2" xfId="823" xr:uid="{BC8980A8-10CB-4C9B-80DC-B668AC15844F}"/>
    <cellStyle name="20% - Accent3 2 2 2" xfId="1591" xr:uid="{08C4068D-4012-4C4F-A4FE-0129FE1B9182}"/>
    <cellStyle name="20% - Accent3 2 3" xfId="138" xr:uid="{0A9F25B4-70CA-4082-AB6C-473346FA893F}"/>
    <cellStyle name="20% - Accent3 2 3 2" xfId="1624" xr:uid="{6D9E4497-9EB6-4B97-91BE-D818E8C0AFF1}"/>
    <cellStyle name="20% - Accent3 2 4" xfId="1555" xr:uid="{DA771738-C36E-41D2-A2E4-894437A3D247}"/>
    <cellStyle name="20% - Accent3 3" xfId="139" xr:uid="{FC3BB4A7-30D5-4C60-A940-C9F97270670D}"/>
    <cellStyle name="20% - Accent3 4" xfId="140" xr:uid="{9BFF5A1D-111E-40A5-846A-74F9CC4C6F78}"/>
    <cellStyle name="20% - Accent3 5" xfId="141" xr:uid="{6ED29ED2-D5FA-4F82-8DDE-AC56B37D1B7B}"/>
    <cellStyle name="20% - Accent3 6" xfId="142" xr:uid="{2EE88B77-B4ED-4224-8F5A-1F5F717E398A}"/>
    <cellStyle name="20% - Accent3 7" xfId="143" xr:uid="{7FE3F72A-B20C-4FA5-8174-BF46E31A47FA}"/>
    <cellStyle name="20% - Accent3 8" xfId="144" xr:uid="{26BDBDB6-96C4-4DE8-8498-1D3EDB6B5361}"/>
    <cellStyle name="20% - Accent3 9" xfId="145" xr:uid="{58ACF6E2-883C-4F05-A549-358FF04DE678}"/>
    <cellStyle name="20% - Accent4 10" xfId="146" xr:uid="{91A615A8-05D8-4E89-9B9D-40BB1EBF12DF}"/>
    <cellStyle name="20% - Accent4 11" xfId="147" xr:uid="{4BF0B27D-D287-4453-B607-E298CBF863AC}"/>
    <cellStyle name="20% - Accent4 12" xfId="148" xr:uid="{7B996A7E-4836-4E27-8B5A-D813B5202EE1}"/>
    <cellStyle name="20% - Accent4 13" xfId="149" xr:uid="{37B53B62-2DCD-4744-95D8-F12FA4004CB2}"/>
    <cellStyle name="20% - Accent4 14" xfId="150" xr:uid="{E09126FA-9152-4B23-9983-B1F228217BF6}"/>
    <cellStyle name="20% - Accent4 15" xfId="151" xr:uid="{2FAAE852-EEC6-4346-A0B9-174305E14DEC}"/>
    <cellStyle name="20% - Accent4 16" xfId="772" xr:uid="{85D136F8-EEB5-44EA-BB38-A6FEF4273F13}"/>
    <cellStyle name="20% - Accent4 2" xfId="26" xr:uid="{00000000-0005-0000-0000-00000C000000}"/>
    <cellStyle name="20% - Accent4 2 2" xfId="827" xr:uid="{D06E2F48-0918-4986-B898-28978AD07AFD}"/>
    <cellStyle name="20% - Accent4 2 2 2" xfId="1593" xr:uid="{BABAB920-5CE9-4824-B9B7-8C254707DBA8}"/>
    <cellStyle name="20% - Accent4 2 3" xfId="152" xr:uid="{628FC5C7-725D-4262-97F4-6C2D4880CC12}"/>
    <cellStyle name="20% - Accent4 2 3 2" xfId="1626" xr:uid="{1F438915-B1D6-4253-A49A-73B79C77A3E6}"/>
    <cellStyle name="20% - Accent4 2 4" xfId="1557" xr:uid="{89CF9E7C-B510-4722-919E-C2D754DA4997}"/>
    <cellStyle name="20% - Accent4 3" xfId="153" xr:uid="{67E18104-DDA9-43A1-8F21-8E27D7C24A4F}"/>
    <cellStyle name="20% - Accent4 4" xfId="154" xr:uid="{53918B96-84C3-4AA2-ABA4-AFB5DA482B70}"/>
    <cellStyle name="20% - Accent4 5" xfId="155" xr:uid="{03FA5905-9E5F-405E-AEB8-80E98202F63F}"/>
    <cellStyle name="20% - Accent4 6" xfId="156" xr:uid="{34A83AA0-64AF-4F94-A503-6B66AF786291}"/>
    <cellStyle name="20% - Accent4 7" xfId="157" xr:uid="{F133B68C-37B6-4046-B43A-51FDE6B78839}"/>
    <cellStyle name="20% - Accent4 8" xfId="158" xr:uid="{C6135576-4E9B-4065-8B00-004EF1FCA6D1}"/>
    <cellStyle name="20% - Accent4 9" xfId="159" xr:uid="{40EED231-805A-4BF5-97A3-F43A32E53F31}"/>
    <cellStyle name="20% - Accent5 10" xfId="160" xr:uid="{556A4AC5-934D-4EE2-937B-B4B7DFF7734B}"/>
    <cellStyle name="20% - Accent5 11" xfId="161" xr:uid="{A6203A92-BE82-4D71-B8FB-C8951C6F6557}"/>
    <cellStyle name="20% - Accent5 12" xfId="162" xr:uid="{B3C0FFAB-84FF-4C68-A0EA-EE0C344E5FE2}"/>
    <cellStyle name="20% - Accent5 13" xfId="163" xr:uid="{3EBDDB24-F2EE-474D-B752-BE8BE3DE5A38}"/>
    <cellStyle name="20% - Accent5 14" xfId="164" xr:uid="{27F55098-EFEC-46E3-BDA7-4277FDD475BC}"/>
    <cellStyle name="20% - Accent5 15" xfId="165" xr:uid="{04EFEFEB-0B30-4830-805D-7D5774D404E0}"/>
    <cellStyle name="20% - Accent5 16" xfId="773" xr:uid="{B58B696C-1AD8-4BE3-AD63-BCF4319CEA5A}"/>
    <cellStyle name="20% - Accent5 2" xfId="27" xr:uid="{00000000-0005-0000-0000-00000D000000}"/>
    <cellStyle name="20% - Accent5 2 2" xfId="831" xr:uid="{652E9BFD-81A6-4A19-BEF1-E7BFF3FAB0F1}"/>
    <cellStyle name="20% - Accent5 2 2 2" xfId="1595" xr:uid="{4AE6DEF4-F3EC-425B-8CDA-F19E7D3532C2}"/>
    <cellStyle name="20% - Accent5 2 3" xfId="166" xr:uid="{23D49ADB-2FF4-4148-9B22-B3C738EA11E9}"/>
    <cellStyle name="20% - Accent5 2 3 2" xfId="1628" xr:uid="{BD299D98-DE77-4417-8E64-941CAEE74941}"/>
    <cellStyle name="20% - Accent5 2 4" xfId="1560" xr:uid="{7F06C8FB-B421-4555-BD2B-9E1A2A0046C0}"/>
    <cellStyle name="20% - Accent5 3" xfId="167" xr:uid="{E98098AD-5A8D-48A7-8DE0-9ADC2266105D}"/>
    <cellStyle name="20% - Accent5 4" xfId="168" xr:uid="{1C1E91C7-7042-429F-B1C5-411ACF9CBBCF}"/>
    <cellStyle name="20% - Accent5 5" xfId="169" xr:uid="{422A26CC-E4B4-4336-AA0F-8359A04D7B83}"/>
    <cellStyle name="20% - Accent5 6" xfId="170" xr:uid="{1B4D09BC-54C5-442E-ADA7-412AA2DFD1A5}"/>
    <cellStyle name="20% - Accent5 7" xfId="171" xr:uid="{B4CFA23B-E802-4FB4-AB99-BD62BDE3BEB2}"/>
    <cellStyle name="20% - Accent5 8" xfId="172" xr:uid="{5B8A6E2A-2E41-4FF2-AEC8-5756A286555C}"/>
    <cellStyle name="20% - Accent5 9" xfId="173" xr:uid="{FF94B448-1F47-4F55-9AD1-ABAD8D916933}"/>
    <cellStyle name="20% - Accent6 10" xfId="174" xr:uid="{B0B014D6-3453-46F5-B2FE-B2959DF45DFB}"/>
    <cellStyle name="20% - Accent6 11" xfId="175" xr:uid="{AC3EC00E-9E37-44DC-9918-23252D168BF2}"/>
    <cellStyle name="20% - Accent6 12" xfId="176" xr:uid="{58693F19-3FFD-4B09-A291-A5F2514A84CD}"/>
    <cellStyle name="20% - Accent6 13" xfId="177" xr:uid="{3198F183-ADFC-4503-9E1D-F891D7E566AF}"/>
    <cellStyle name="20% - Accent6 14" xfId="178" xr:uid="{B60C7443-327B-4F8E-9518-15019205241A}"/>
    <cellStyle name="20% - Accent6 15" xfId="179" xr:uid="{45E4AECC-F318-4938-BD9F-65DC08E5D592}"/>
    <cellStyle name="20% - Accent6 16" xfId="774" xr:uid="{4F2E5720-5564-4734-A561-D6DED9723019}"/>
    <cellStyle name="20% - Accent6 2" xfId="28" xr:uid="{00000000-0005-0000-0000-00000E000000}"/>
    <cellStyle name="20% - Accent6 2 2" xfId="835" xr:uid="{E1ACEB4D-35CF-439A-A936-4E9FAADC3D97}"/>
    <cellStyle name="20% - Accent6 2 2 2" xfId="1597" xr:uid="{3075ADD5-0903-4333-B0D3-9D0A3F295BD3}"/>
    <cellStyle name="20% - Accent6 2 3" xfId="180" xr:uid="{23858E14-2CB1-44A7-B23D-E19C6229B1E9}"/>
    <cellStyle name="20% - Accent6 2 3 2" xfId="1630" xr:uid="{B0CF4784-D695-4E5F-9DB8-004F80EE0D0F}"/>
    <cellStyle name="20% - Accent6 2 4" xfId="1562" xr:uid="{704C47E1-284A-4BB6-BEBE-CAAE08985FEB}"/>
    <cellStyle name="20% - Accent6 3" xfId="181" xr:uid="{C954C1DA-9CC4-4F08-ADE4-65A5EFF632AE}"/>
    <cellStyle name="20% - Accent6 4" xfId="182" xr:uid="{D27369D7-1364-455F-97A9-5A80947173E2}"/>
    <cellStyle name="20% - Accent6 5" xfId="183" xr:uid="{66135377-1C7B-48AD-BBEB-E351F4E0F924}"/>
    <cellStyle name="20% - Accent6 6" xfId="184" xr:uid="{4389F928-9B8B-4D54-BEC3-08B3FBDA9B3F}"/>
    <cellStyle name="20% - Accent6 7" xfId="185" xr:uid="{C2867C10-48D2-4372-BA82-BD0E35CB215A}"/>
    <cellStyle name="20% - Accent6 8" xfId="186" xr:uid="{D841A974-F1F2-4713-A333-1804D458F962}"/>
    <cellStyle name="20% - Accent6 9" xfId="187" xr:uid="{6025B705-C6CF-44DA-AB4D-B4DE7650F5E3}"/>
    <cellStyle name="40% - Accent1 10" xfId="188" xr:uid="{B0E83834-BEB3-4CE3-97BF-242EE57722C5}"/>
    <cellStyle name="40% - Accent1 11" xfId="189" xr:uid="{B4A2DA17-1254-4028-8D4F-31196E952D02}"/>
    <cellStyle name="40% - Accent1 12" xfId="190" xr:uid="{5A5E40CA-9493-4F17-9194-C528CF9B1274}"/>
    <cellStyle name="40% - Accent1 13" xfId="191" xr:uid="{DFBCE186-3B79-43D4-9BFB-7D3DA7941470}"/>
    <cellStyle name="40% - Accent1 14" xfId="192" xr:uid="{AD3BC8B0-7404-4C7A-AD16-9753D6A66FD7}"/>
    <cellStyle name="40% - Accent1 15" xfId="193" xr:uid="{09743533-13AB-44D0-BB58-9017799A680D}"/>
    <cellStyle name="40% - Accent1 16" xfId="775" xr:uid="{3A388316-DEF4-42F9-ABDC-31C94B0C904F}"/>
    <cellStyle name="40% - Accent1 2" xfId="29" xr:uid="{00000000-0005-0000-0000-00000F000000}"/>
    <cellStyle name="40% - Accent1 2 2" xfId="816" xr:uid="{D5E74BFD-9148-4EE4-B593-8994D85408E0}"/>
    <cellStyle name="40% - Accent1 2 2 2" xfId="1588" xr:uid="{FDFCD76F-69D7-4CCF-8E96-F74921059EAF}"/>
    <cellStyle name="40% - Accent1 2 3" xfId="194" xr:uid="{452896B4-C918-4AB8-BF14-9E16F99BDB5A}"/>
    <cellStyle name="40% - Accent1 2 3 2" xfId="1621" xr:uid="{49E61076-1FAB-43BD-BDBC-ADD837D50EEF}"/>
    <cellStyle name="40% - Accent1 2 4" xfId="1552" xr:uid="{8A17BEDC-C7CC-45C2-A6C8-08155751422E}"/>
    <cellStyle name="40% - Accent1 3" xfId="195" xr:uid="{FBDA3C72-C9BF-4515-B12A-B99BEA22797E}"/>
    <cellStyle name="40% - Accent1 4" xfId="196" xr:uid="{7B5C1FE6-1EB8-4FDE-823F-5809E39BB777}"/>
    <cellStyle name="40% - Accent1 5" xfId="197" xr:uid="{EA059D40-C3A0-47F2-AA34-92AF78C5112C}"/>
    <cellStyle name="40% - Accent1 6" xfId="198" xr:uid="{18438076-76AD-4E68-A52D-25EFD9FD58CB}"/>
    <cellStyle name="40% - Accent1 7" xfId="199" xr:uid="{877D8177-7E96-445E-930E-4EAF5ACB4BC6}"/>
    <cellStyle name="40% - Accent1 8" xfId="200" xr:uid="{45082CB2-B4D3-45AF-8A37-0A1A6BBA137C}"/>
    <cellStyle name="40% - Accent1 9" xfId="201" xr:uid="{FD82306A-7FF0-4AD6-9E20-BB1960E1B9E5}"/>
    <cellStyle name="40% - Accent2 10" xfId="202" xr:uid="{DC766658-E04E-4781-9B3D-9FCA499DF540}"/>
    <cellStyle name="40% - Accent2 11" xfId="203" xr:uid="{6EE2C881-3B9E-4BFE-8D6B-74F958F42483}"/>
    <cellStyle name="40% - Accent2 12" xfId="204" xr:uid="{3A4FEACD-1098-4C34-8887-ED7EFF12A8C3}"/>
    <cellStyle name="40% - Accent2 13" xfId="205" xr:uid="{78FD4142-783D-47E9-961D-AD9F53A84A47}"/>
    <cellStyle name="40% - Accent2 14" xfId="206" xr:uid="{F3905C11-5C6E-407F-9FE4-C2BE4ED27FC1}"/>
    <cellStyle name="40% - Accent2 15" xfId="207" xr:uid="{275C7196-9270-4E11-819A-71265121EB4A}"/>
    <cellStyle name="40% - Accent2 16" xfId="776" xr:uid="{98D98272-F30D-416F-8B22-8ADB03B6A6FD}"/>
    <cellStyle name="40% - Accent2 2" xfId="30" xr:uid="{00000000-0005-0000-0000-000010000000}"/>
    <cellStyle name="40% - Accent2 2 2" xfId="820" xr:uid="{C2D10E15-E426-4108-B85B-6C7DE3C1A0B1}"/>
    <cellStyle name="40% - Accent2 2 2 2" xfId="1590" xr:uid="{188FA989-C024-4A9A-8007-A4C2294F2D65}"/>
    <cellStyle name="40% - Accent2 2 3" xfId="208" xr:uid="{AE931783-BF8A-406C-9218-F3BDF4370B32}"/>
    <cellStyle name="40% - Accent2 2 3 2" xfId="1623" xr:uid="{7432BC28-DB2D-42BF-BE7F-02BAE911AAEE}"/>
    <cellStyle name="40% - Accent2 2 4" xfId="1554" xr:uid="{D499B9C5-DE17-44A5-83B0-047E3D21F36B}"/>
    <cellStyle name="40% - Accent2 3" xfId="209" xr:uid="{AE954E18-8794-49A9-9415-299F014F3527}"/>
    <cellStyle name="40% - Accent2 4" xfId="210" xr:uid="{19745F1D-242C-4B9C-B9F3-916AFB931858}"/>
    <cellStyle name="40% - Accent2 5" xfId="211" xr:uid="{09233828-006D-4D7D-9EDF-A94417D6147F}"/>
    <cellStyle name="40% - Accent2 6" xfId="212" xr:uid="{04B1B4C5-A88C-4470-82AA-4DF8A01568D5}"/>
    <cellStyle name="40% - Accent2 7" xfId="213" xr:uid="{231EEF1F-0300-4BE4-85CE-ABBF696D4616}"/>
    <cellStyle name="40% - Accent2 8" xfId="214" xr:uid="{4D602BFD-5C21-4733-931F-D2C7D845F201}"/>
    <cellStyle name="40% - Accent2 9" xfId="215" xr:uid="{202359F1-545B-4030-8153-D7B0A55D1230}"/>
    <cellStyle name="40% - Accent3 10" xfId="216" xr:uid="{5878F044-561C-41C6-9C91-123ABCFDB6F3}"/>
    <cellStyle name="40% - Accent3 11" xfId="217" xr:uid="{0E1C3A02-FACD-48C2-B8F2-CBEDA32FEA63}"/>
    <cellStyle name="40% - Accent3 12" xfId="218" xr:uid="{205049EA-A559-4F65-9A9F-92C97EDD3397}"/>
    <cellStyle name="40% - Accent3 13" xfId="219" xr:uid="{A076CB8B-D8B6-4B16-86C2-8BDE586D8BF9}"/>
    <cellStyle name="40% - Accent3 14" xfId="220" xr:uid="{6E255168-72C6-47AA-AAE6-7EC8F79CB76F}"/>
    <cellStyle name="40% - Accent3 15" xfId="221" xr:uid="{3933DF1D-A360-4D2B-AE67-695AA53DA308}"/>
    <cellStyle name="40% - Accent3 16" xfId="777" xr:uid="{D2E2E13A-FC2E-4B8B-A8C3-A662CCA596DB}"/>
    <cellStyle name="40% - Accent3 2" xfId="31" xr:uid="{00000000-0005-0000-0000-000011000000}"/>
    <cellStyle name="40% - Accent3 2 2" xfId="824" xr:uid="{3FFE699D-FF22-4CD8-8F49-961EC3463774}"/>
    <cellStyle name="40% - Accent3 2 2 2" xfId="1592" xr:uid="{DE6EA67E-539E-4BFE-B115-3CAF6927CF67}"/>
    <cellStyle name="40% - Accent3 2 3" xfId="222" xr:uid="{CA5F1453-1410-43C5-A45C-F86291F2E44F}"/>
    <cellStyle name="40% - Accent3 2 3 2" xfId="1625" xr:uid="{3C60E394-618C-4F51-A5AC-31F4FDAF3678}"/>
    <cellStyle name="40% - Accent3 2 4" xfId="1556" xr:uid="{FF22FCF6-3DFD-469F-A56C-D7B00378EFF6}"/>
    <cellStyle name="40% - Accent3 3" xfId="223" xr:uid="{00545917-E985-4949-A135-C0069F2F5964}"/>
    <cellStyle name="40% - Accent3 4" xfId="224" xr:uid="{373FD863-FF50-420B-A6A3-4C553869201B}"/>
    <cellStyle name="40% - Accent3 5" xfId="225" xr:uid="{7B0301B7-EBBE-4B25-9875-AB0F581B3909}"/>
    <cellStyle name="40% - Accent3 6" xfId="226" xr:uid="{C97DF1CF-8857-464C-BF5B-4571AF10A22A}"/>
    <cellStyle name="40% - Accent3 7" xfId="227" xr:uid="{9ED2E067-CF4B-41D8-8695-210DD1ED4E22}"/>
    <cellStyle name="40% - Accent3 8" xfId="228" xr:uid="{D9516C01-C1C0-4BEA-AF36-6AC586D99DD9}"/>
    <cellStyle name="40% - Accent3 9" xfId="229" xr:uid="{1557B7B0-3521-4375-A1F2-1FCE64DA907E}"/>
    <cellStyle name="40% - Accent4 10" xfId="230" xr:uid="{FCC8DAE6-7C6C-4C69-83C0-E6494C8B087E}"/>
    <cellStyle name="40% - Accent4 11" xfId="231" xr:uid="{710562A4-BDAA-474B-8C7A-E4207F04BDF2}"/>
    <cellStyle name="40% - Accent4 12" xfId="232" xr:uid="{A8FC7048-3047-4266-997A-9AC419A602D4}"/>
    <cellStyle name="40% - Accent4 13" xfId="233" xr:uid="{2840B729-B5EE-4D9B-BDD5-DA990CC2D323}"/>
    <cellStyle name="40% - Accent4 14" xfId="234" xr:uid="{E21DA2E5-CA4F-4300-8540-BD274395AB98}"/>
    <cellStyle name="40% - Accent4 15" xfId="235" xr:uid="{5F076097-3A67-4408-A0B3-27E99AED263A}"/>
    <cellStyle name="40% - Accent4 16" xfId="778" xr:uid="{9C7A0D89-12CC-4951-A852-99B7293D9A6E}"/>
    <cellStyle name="40% - Accent4 2" xfId="32" xr:uid="{00000000-0005-0000-0000-000012000000}"/>
    <cellStyle name="40% - Accent4 2 2" xfId="828" xr:uid="{DE96DD59-C572-4829-9421-70ACC85D81E7}"/>
    <cellStyle name="40% - Accent4 2 2 2" xfId="1594" xr:uid="{8E8CEB07-B999-4ABE-A31A-BA8F1D368004}"/>
    <cellStyle name="40% - Accent4 2 3" xfId="236" xr:uid="{5FB646AB-A516-4BDF-BFE6-9741474BEB55}"/>
    <cellStyle name="40% - Accent4 2 3 2" xfId="1627" xr:uid="{303559DD-BB15-4F0D-9F93-71F277BF63D0}"/>
    <cellStyle name="40% - Accent4 2 4" xfId="1558" xr:uid="{5F637F9F-4AC8-48B4-9B58-68E4B0E18EC9}"/>
    <cellStyle name="40% - Accent4 3" xfId="237" xr:uid="{447B0CD2-53AC-46E0-9B9A-0E0BB08CFE6A}"/>
    <cellStyle name="40% - Accent4 4" xfId="238" xr:uid="{3B7BF122-F8C8-49C7-B305-63AE385C82DE}"/>
    <cellStyle name="40% - Accent4 5" xfId="239" xr:uid="{C4F3B33C-40F7-4211-86F9-2A5435ABE83C}"/>
    <cellStyle name="40% - Accent4 6" xfId="240" xr:uid="{3C1C6561-A7F6-422A-B8D6-2AE50DA1EF28}"/>
    <cellStyle name="40% - Accent4 7" xfId="241" xr:uid="{9F58035A-5FDA-42DA-AD9E-4290B130CD8D}"/>
    <cellStyle name="40% - Accent4 8" xfId="242" xr:uid="{F8347329-2424-479F-B0FB-36BB9B9677F2}"/>
    <cellStyle name="40% - Accent4 9" xfId="243" xr:uid="{A7A92B1F-77C3-466D-ADF9-21AFB314A7BB}"/>
    <cellStyle name="40% - Accent5 10" xfId="244" xr:uid="{81D1D75A-6C36-43A8-9C12-2A10964CFFB6}"/>
    <cellStyle name="40% - Accent5 11" xfId="245" xr:uid="{AB6006B8-9245-460E-9CFC-248A22873C75}"/>
    <cellStyle name="40% - Accent5 12" xfId="246" xr:uid="{39A08134-1E5A-4F3F-9E4C-749CA259A973}"/>
    <cellStyle name="40% - Accent5 13" xfId="247" xr:uid="{D157AAF2-DB8C-469C-BDED-CF9D6A27508D}"/>
    <cellStyle name="40% - Accent5 14" xfId="248" xr:uid="{E27E1984-D386-4E38-A113-807A7FC56898}"/>
    <cellStyle name="40% - Accent5 15" xfId="249" xr:uid="{36634722-E327-4BC0-9113-C77D84A48DC0}"/>
    <cellStyle name="40% - Accent5 16" xfId="779" xr:uid="{E29A45F4-D81A-4E2B-8C48-738596DD8264}"/>
    <cellStyle name="40% - Accent5 2" xfId="33" xr:uid="{00000000-0005-0000-0000-000013000000}"/>
    <cellStyle name="40% - Accent5 2 2" xfId="832" xr:uid="{3A0664EE-7C38-43B4-B8FD-5C6C0FC3BDE3}"/>
    <cellStyle name="40% - Accent5 2 2 2" xfId="1596" xr:uid="{7FF59556-460A-4210-94B8-13AE8C7EA909}"/>
    <cellStyle name="40% - Accent5 2 3" xfId="250" xr:uid="{F82C0BC5-6E74-4D55-9F8B-18ADB943D5E2}"/>
    <cellStyle name="40% - Accent5 2 3 2" xfId="1629" xr:uid="{CD8D4BD0-6AB3-4F96-BDA4-3DF56BB6BDE6}"/>
    <cellStyle name="40% - Accent5 2 4" xfId="1561" xr:uid="{23DDFA9C-3BAD-4889-81B1-1ADB24ACB357}"/>
    <cellStyle name="40% - Accent5 3" xfId="251" xr:uid="{BED4D3FC-DB10-446F-9B58-67F7BB355728}"/>
    <cellStyle name="40% - Accent5 4" xfId="252" xr:uid="{146C250D-9876-48CC-A43A-80CCE03EAF69}"/>
    <cellStyle name="40% - Accent5 5" xfId="253" xr:uid="{2E069F66-4FD1-485F-812E-2D334075FE3F}"/>
    <cellStyle name="40% - Accent5 6" xfId="254" xr:uid="{A67D1C26-A7E1-4249-8F0A-B74EE22C90FC}"/>
    <cellStyle name="40% - Accent5 7" xfId="255" xr:uid="{BB2E3FCE-8470-4A39-B0B0-06985E6FAF0C}"/>
    <cellStyle name="40% - Accent5 8" xfId="256" xr:uid="{CF48EE0B-3D9A-4E8D-BA4B-93DCA00AC744}"/>
    <cellStyle name="40% - Accent5 9" xfId="257" xr:uid="{EE2A0F91-D9F0-402D-A570-F1F403F262AD}"/>
    <cellStyle name="40% - Accent6 10" xfId="258" xr:uid="{063FF286-593A-43F4-A6A4-C5FAF1B7496C}"/>
    <cellStyle name="40% - Accent6 11" xfId="259" xr:uid="{3A0D6BD3-2517-47F4-ACF6-063BCFEA6422}"/>
    <cellStyle name="40% - Accent6 12" xfId="260" xr:uid="{AFAEDE9C-9F9B-4894-8747-392B027FD40C}"/>
    <cellStyle name="40% - Accent6 13" xfId="261" xr:uid="{66721FAF-ACD8-4D7A-ACA0-DE12C31F562A}"/>
    <cellStyle name="40% - Accent6 14" xfId="262" xr:uid="{24DC32D0-C8F7-4E3B-8854-2AA9EEB4903D}"/>
    <cellStyle name="40% - Accent6 15" xfId="263" xr:uid="{5D979095-49EC-40DE-9D27-4F2C3CF8FC56}"/>
    <cellStyle name="40% - Accent6 16" xfId="780" xr:uid="{D226C986-725A-4430-BB2E-923F5DB35BE0}"/>
    <cellStyle name="40% - Accent6 2" xfId="34" xr:uid="{00000000-0005-0000-0000-000014000000}"/>
    <cellStyle name="40% - Accent6 2 2" xfId="836" xr:uid="{55D6C8D3-8343-4C9B-AF9D-E057025C2BCB}"/>
    <cellStyle name="40% - Accent6 2 2 2" xfId="1598" xr:uid="{C49DF089-6320-497B-8554-472A9BDCE42F}"/>
    <cellStyle name="40% - Accent6 2 3" xfId="264" xr:uid="{66A8F444-729A-480D-91B8-2A2A0AEADE80}"/>
    <cellStyle name="40% - Accent6 2 3 2" xfId="1631" xr:uid="{068EBA13-23E2-42BC-B850-48EE2CA1B17F}"/>
    <cellStyle name="40% - Accent6 2 4" xfId="1563" xr:uid="{94B5F9E4-8293-4E34-BF06-542E69FD43F8}"/>
    <cellStyle name="40% - Accent6 3" xfId="265" xr:uid="{30099454-2072-4D8D-A920-2C35B492A4D9}"/>
    <cellStyle name="40% - Accent6 4" xfId="266" xr:uid="{CF27A3A7-120B-4E2B-8CD6-64D7A7BC6399}"/>
    <cellStyle name="40% - Accent6 5" xfId="267" xr:uid="{A557B3E1-5E14-4490-9399-C90860D40BF4}"/>
    <cellStyle name="40% - Accent6 6" xfId="268" xr:uid="{DF3145FD-ABB6-4AD0-A84E-8B8FE4DE779A}"/>
    <cellStyle name="40% - Accent6 7" xfId="269" xr:uid="{EBA005D8-ACE1-451A-98F8-07DA1AA4DB1D}"/>
    <cellStyle name="40% - Accent6 8" xfId="270" xr:uid="{4CB26E9C-9ECA-4043-A3A1-22AA5784988E}"/>
    <cellStyle name="40% - Accent6 9" xfId="271" xr:uid="{4CCF379F-2F25-4939-A225-C4B8453ECE3A}"/>
    <cellStyle name="60% - Accent1 10" xfId="272" xr:uid="{121D0AB9-CE72-4784-9393-8E3D367A5FC1}"/>
    <cellStyle name="60% - Accent1 11" xfId="273" xr:uid="{B7F2F6D3-662C-4B06-81D7-AA81CDFFE44C}"/>
    <cellStyle name="60% - Accent1 12" xfId="274" xr:uid="{CF0770D2-01E8-4E33-BAF7-91F084A95505}"/>
    <cellStyle name="60% - Accent1 13" xfId="275" xr:uid="{7CEC125A-2191-4C31-8E75-FA3AA08AF528}"/>
    <cellStyle name="60% - Accent1 14" xfId="276" xr:uid="{4F76651C-E0C6-4828-8638-CCE7CBEF79BC}"/>
    <cellStyle name="60% - Accent1 15" xfId="277" xr:uid="{8CA670D0-8B0E-4D89-B2A5-E65A4631E0D0}"/>
    <cellStyle name="60% - Accent1 16" xfId="781" xr:uid="{EE15427E-4B7D-46C4-A810-A0149D768BE3}"/>
    <cellStyle name="60% - Accent1 2" xfId="35" xr:uid="{00000000-0005-0000-0000-000015000000}"/>
    <cellStyle name="60% - Accent1 2 2" xfId="817" xr:uid="{DA53280A-48A4-4C8D-B351-917BE633AA11}"/>
    <cellStyle name="60% - Accent1 2 3" xfId="278" xr:uid="{B22BB10A-14FF-4849-A0B3-5F4CFF0AD886}"/>
    <cellStyle name="60% - Accent1 3" xfId="279" xr:uid="{F081065D-FB71-4871-914C-CE127F402382}"/>
    <cellStyle name="60% - Accent1 4" xfId="280" xr:uid="{B2DAFC0D-440B-4325-81DF-8AACD2800598}"/>
    <cellStyle name="60% - Accent1 5" xfId="281" xr:uid="{DC694C4B-078D-4F35-B8DF-EF8AD1F9CBB4}"/>
    <cellStyle name="60% - Accent1 6" xfId="282" xr:uid="{73B8B9D5-1E27-4E10-ADCD-1AB4364307CA}"/>
    <cellStyle name="60% - Accent1 7" xfId="283" xr:uid="{04916911-431D-4FD8-AEB9-9527C7EA90A5}"/>
    <cellStyle name="60% - Accent1 8" xfId="284" xr:uid="{BEC5E216-0D73-4287-B87E-A081C003DB91}"/>
    <cellStyle name="60% - Accent1 9" xfId="285" xr:uid="{6EC31DE2-92E7-4685-8893-10EC7B245FFB}"/>
    <cellStyle name="60% - Accent2 10" xfId="286" xr:uid="{5A4C17A8-4857-4C00-BAD5-907895B2A795}"/>
    <cellStyle name="60% - Accent2 11" xfId="287" xr:uid="{AAAB4EF6-1227-4703-935B-E1144856CDEB}"/>
    <cellStyle name="60% - Accent2 12" xfId="288" xr:uid="{C8E65D39-1F04-4C71-BC79-C3FD8B4C739D}"/>
    <cellStyle name="60% - Accent2 13" xfId="289" xr:uid="{75D766B4-751F-4E61-937A-B29967B28276}"/>
    <cellStyle name="60% - Accent2 14" xfId="290" xr:uid="{B6CBCFDE-2995-4D82-A44C-9F34B0AC89A7}"/>
    <cellStyle name="60% - Accent2 15" xfId="291" xr:uid="{FCB55BF2-48F1-4DF2-B95F-AE5172C28027}"/>
    <cellStyle name="60% - Accent2 16" xfId="782" xr:uid="{77D578A0-FD5A-49D6-94E0-3A5E3FFC73D9}"/>
    <cellStyle name="60% - Accent2 2" xfId="36" xr:uid="{00000000-0005-0000-0000-000016000000}"/>
    <cellStyle name="60% - Accent2 2 2" xfId="821" xr:uid="{0000B17A-C06A-4F22-907A-3FF328F00F86}"/>
    <cellStyle name="60% - Accent2 2 3" xfId="292" xr:uid="{958FB846-B3E0-48B1-98D9-EA000ED18435}"/>
    <cellStyle name="60% - Accent2 3" xfId="293" xr:uid="{1E6A68D4-E7D6-45D5-8321-239EECB71DBD}"/>
    <cellStyle name="60% - Accent2 4" xfId="294" xr:uid="{1AB2AFBD-AA6A-41C7-8244-42E5F5D3FD1C}"/>
    <cellStyle name="60% - Accent2 5" xfId="295" xr:uid="{1C19E159-F86C-42A9-ABE1-591CDBC84F90}"/>
    <cellStyle name="60% - Accent2 6" xfId="296" xr:uid="{9EE756B7-D35D-45CE-8233-30596E37DD24}"/>
    <cellStyle name="60% - Accent2 7" xfId="297" xr:uid="{4C09B745-4F30-4B03-BF81-47729DB3CF3A}"/>
    <cellStyle name="60% - Accent2 8" xfId="298" xr:uid="{B94AA458-577F-4CDE-9BE3-2EC500D97A78}"/>
    <cellStyle name="60% - Accent2 9" xfId="299" xr:uid="{669F84EE-6D47-4B43-95F9-E73081B36D62}"/>
    <cellStyle name="60% - Accent3 10" xfId="300" xr:uid="{E004A4EC-F1DD-46A4-B225-11995009ACD1}"/>
    <cellStyle name="60% - Accent3 11" xfId="301" xr:uid="{39BED4F6-819E-4365-8C8B-40178C8674D1}"/>
    <cellStyle name="60% - Accent3 12" xfId="302" xr:uid="{49B92048-6C3F-4A6B-B81F-749B819D0DE2}"/>
    <cellStyle name="60% - Accent3 13" xfId="303" xr:uid="{89E54486-4DB7-4A0E-807A-CC52AEC1AE84}"/>
    <cellStyle name="60% - Accent3 14" xfId="304" xr:uid="{3729815D-C0C0-44FE-B70F-512CB7FC63E9}"/>
    <cellStyle name="60% - Accent3 15" xfId="305" xr:uid="{E3BCEA63-A2DB-4B83-AC76-8977550F608C}"/>
    <cellStyle name="60% - Accent3 16" xfId="783" xr:uid="{CB624445-18FF-43B8-971E-E4297F509989}"/>
    <cellStyle name="60% - Accent3 2" xfId="37" xr:uid="{00000000-0005-0000-0000-000017000000}"/>
    <cellStyle name="60% - Accent3 2 2" xfId="825" xr:uid="{44DD17FD-58C8-4F15-8A99-9B8CF79411B3}"/>
    <cellStyle name="60% - Accent3 2 3" xfId="306" xr:uid="{D6AF060B-685D-4A0E-ADAF-C6E5982631E4}"/>
    <cellStyle name="60% - Accent3 3" xfId="307" xr:uid="{066235C4-8112-4190-9BB8-40460448C492}"/>
    <cellStyle name="60% - Accent3 4" xfId="308" xr:uid="{FB275DE9-577B-4B6B-B7EB-0300703382DB}"/>
    <cellStyle name="60% - Accent3 5" xfId="309" xr:uid="{21626179-22AF-4425-B3E3-D323B8D89A3B}"/>
    <cellStyle name="60% - Accent3 6" xfId="310" xr:uid="{F2DDA026-78E1-4C8D-A288-3C57E26AD150}"/>
    <cellStyle name="60% - Accent3 7" xfId="311" xr:uid="{83E38BA6-8E54-4ABC-91A3-3ED49925CD9D}"/>
    <cellStyle name="60% - Accent3 8" xfId="312" xr:uid="{26390211-D61D-45BF-BBC5-7FE49861737C}"/>
    <cellStyle name="60% - Accent3 9" xfId="313" xr:uid="{B612C642-70BE-4649-930A-BBD649C8A156}"/>
    <cellStyle name="60% - Accent4 10" xfId="314" xr:uid="{AAF16347-5166-4508-BA3F-D490E39D1490}"/>
    <cellStyle name="60% - Accent4 11" xfId="315" xr:uid="{EB04CC85-EF0F-448E-B94C-16E0F738326D}"/>
    <cellStyle name="60% - Accent4 12" xfId="316" xr:uid="{87018657-7442-4BF1-A854-F7EF377F7D05}"/>
    <cellStyle name="60% - Accent4 13" xfId="317" xr:uid="{9F1F49B9-CB22-4964-8A30-06E5D0B30654}"/>
    <cellStyle name="60% - Accent4 14" xfId="318" xr:uid="{AD06B357-9DA6-4627-8EC8-A5220D680CE6}"/>
    <cellStyle name="60% - Accent4 15" xfId="319" xr:uid="{361052E9-8026-4A4E-A7FB-42F9CB6ED48F}"/>
    <cellStyle name="60% - Accent4 16" xfId="784" xr:uid="{47C94269-E3DE-4187-8087-4B76933C7F34}"/>
    <cellStyle name="60% - Accent4 2" xfId="38" xr:uid="{00000000-0005-0000-0000-000018000000}"/>
    <cellStyle name="60% - Accent4 2 2" xfId="829" xr:uid="{9A15E3F0-3BDC-4AE9-A088-651919D69ED0}"/>
    <cellStyle name="60% - Accent4 2 3" xfId="320" xr:uid="{72D010D9-7502-45D0-B05F-B92BABA26233}"/>
    <cellStyle name="60% - Accent4 3" xfId="321" xr:uid="{ADFC752E-942C-43E0-BF1D-F592C797999E}"/>
    <cellStyle name="60% - Accent4 4" xfId="322" xr:uid="{55B6F08B-7D92-4A8E-B30C-65C9C70CD56A}"/>
    <cellStyle name="60% - Accent4 5" xfId="323" xr:uid="{62F88DA3-F11D-4E51-9969-77F5BDD6C53F}"/>
    <cellStyle name="60% - Accent4 6" xfId="324" xr:uid="{7155239E-D1BE-44CB-8A50-536C5CC3A744}"/>
    <cellStyle name="60% - Accent4 7" xfId="325" xr:uid="{D393407F-B740-4E6D-B506-76010AAD788B}"/>
    <cellStyle name="60% - Accent4 8" xfId="326" xr:uid="{66A852E5-31EB-4F6D-8728-E8A2B5CE781F}"/>
    <cellStyle name="60% - Accent4 9" xfId="327" xr:uid="{BA84BE9B-99F1-4CD6-9C7E-856F335BE3C2}"/>
    <cellStyle name="60% - Accent5 10" xfId="328" xr:uid="{A963E034-9E64-4E89-B8F0-F115F5AAA65A}"/>
    <cellStyle name="60% - Accent5 11" xfId="329" xr:uid="{904852EA-FFB1-47CB-AE94-51F5FBF89AAD}"/>
    <cellStyle name="60% - Accent5 12" xfId="330" xr:uid="{50A01703-8CA0-48E6-98FA-415610CB0F41}"/>
    <cellStyle name="60% - Accent5 13" xfId="331" xr:uid="{E0836346-B2E1-46BA-BA3D-166D1B4193B2}"/>
    <cellStyle name="60% - Accent5 14" xfId="332" xr:uid="{31B79357-0BC4-418C-8617-8F732A50488E}"/>
    <cellStyle name="60% - Accent5 15" xfId="333" xr:uid="{4561D9AC-BAD1-4061-9A9F-6F4CC6D8E7BC}"/>
    <cellStyle name="60% - Accent5 16" xfId="785" xr:uid="{62921C0F-003F-4EB3-82B7-62379FA6FA2F}"/>
    <cellStyle name="60% - Accent5 2" xfId="39" xr:uid="{00000000-0005-0000-0000-000019000000}"/>
    <cellStyle name="60% - Accent5 2 2" xfId="833" xr:uid="{81D9616E-F32A-4263-8427-204776A10764}"/>
    <cellStyle name="60% - Accent5 2 3" xfId="334" xr:uid="{2B160FDD-523E-44FA-BBF2-A885ABBFA819}"/>
    <cellStyle name="60% - Accent5 3" xfId="335" xr:uid="{228875CA-4A37-4DD6-B065-693F85C8A0B2}"/>
    <cellStyle name="60% - Accent5 4" xfId="336" xr:uid="{03B501A0-8915-47F7-989C-079DCC58520A}"/>
    <cellStyle name="60% - Accent5 5" xfId="337" xr:uid="{DBBAEAE6-E755-4C0F-8909-F7E95E331556}"/>
    <cellStyle name="60% - Accent5 6" xfId="338" xr:uid="{6CBDED8D-5F78-4A1E-8FDF-5124269990F2}"/>
    <cellStyle name="60% - Accent5 7" xfId="339" xr:uid="{BA493134-E102-4C9E-BCA2-4E827A30352D}"/>
    <cellStyle name="60% - Accent5 8" xfId="340" xr:uid="{E5CCAB94-2F4B-4054-831E-E7E2F9CD2073}"/>
    <cellStyle name="60% - Accent5 9" xfId="341" xr:uid="{3B976BA8-CF6A-4E3E-8FE9-9FE1A613DF8A}"/>
    <cellStyle name="60% - Accent6 10" xfId="342" xr:uid="{DC2C7613-3F0A-49D1-AD17-3285665FC348}"/>
    <cellStyle name="60% - Accent6 11" xfId="343" xr:uid="{8EB07F71-F72B-44EE-A412-CA0C9E9CCEB9}"/>
    <cellStyle name="60% - Accent6 12" xfId="344" xr:uid="{CEA9548B-BB37-42BD-8290-27DFFFF7464D}"/>
    <cellStyle name="60% - Accent6 13" xfId="345" xr:uid="{05E0F87D-45F8-4B63-A506-191888AD78D6}"/>
    <cellStyle name="60% - Accent6 14" xfId="346" xr:uid="{EDB37D45-0450-4071-AD0E-5EF631CD35AC}"/>
    <cellStyle name="60% - Accent6 15" xfId="347" xr:uid="{6C7DF8D5-D93F-4C3F-8A1B-B840732D2150}"/>
    <cellStyle name="60% - Accent6 16" xfId="786" xr:uid="{AC620523-7C15-4129-8994-447C11F011E2}"/>
    <cellStyle name="60% - Accent6 2" xfId="40" xr:uid="{00000000-0005-0000-0000-00001A000000}"/>
    <cellStyle name="60% - Accent6 2 2" xfId="837" xr:uid="{C211F60E-4F1E-462D-90B1-D1C59A7CA834}"/>
    <cellStyle name="60% - Accent6 2 3" xfId="348" xr:uid="{8FEDC37A-83AA-453F-B9D4-61E8375107AA}"/>
    <cellStyle name="60% - Accent6 3" xfId="349" xr:uid="{A63D4885-BA94-4853-A7BD-AFFFAC1920B8}"/>
    <cellStyle name="60% - Accent6 4" xfId="350" xr:uid="{8A3CFC16-1705-4DF2-8A6F-AA9875D68BA0}"/>
    <cellStyle name="60% - Accent6 5" xfId="351" xr:uid="{DB292F6C-AB35-4BEF-B436-04DCF7815BDF}"/>
    <cellStyle name="60% - Accent6 6" xfId="352" xr:uid="{5024521E-5F69-4CDE-8085-03959B8B9E73}"/>
    <cellStyle name="60% - Accent6 7" xfId="353" xr:uid="{A2573E77-FB71-4184-9A07-0F342EA9BCFD}"/>
    <cellStyle name="60% - Accent6 8" xfId="354" xr:uid="{FF57B009-A40C-4C40-AD15-1BD3894F9A34}"/>
    <cellStyle name="60% - Accent6 9" xfId="355" xr:uid="{7F460525-0B9B-431B-AC5C-1E2EE8771FBF}"/>
    <cellStyle name="Accent1 10" xfId="356" xr:uid="{5D702F71-5298-448D-95F3-3C43CD194A53}"/>
    <cellStyle name="Accent1 11" xfId="357" xr:uid="{85567DA3-A5FA-4720-9124-13817F6F24CF}"/>
    <cellStyle name="Accent1 12" xfId="358" xr:uid="{9F8CB846-DD76-474F-9C05-DE4B0B7C6A62}"/>
    <cellStyle name="Accent1 13" xfId="359" xr:uid="{D44710D6-FEB4-4B8E-AA73-202B4284C3C8}"/>
    <cellStyle name="Accent1 14" xfId="360" xr:uid="{422053BA-6D94-4F2E-A1B1-ABAC4525B803}"/>
    <cellStyle name="Accent1 15" xfId="361" xr:uid="{A1875704-5ECE-4612-9772-19904B18B858}"/>
    <cellStyle name="Accent1 16" xfId="787" xr:uid="{A97D7B3B-83A4-460F-AF58-77C7E8A85F3B}"/>
    <cellStyle name="Accent1 2" xfId="41" xr:uid="{00000000-0005-0000-0000-00001B000000}"/>
    <cellStyle name="Accent1 2 2" xfId="814" xr:uid="{D8C6A5BA-9C94-42E7-B238-00124BC1E5B7}"/>
    <cellStyle name="Accent1 2 3" xfId="362" xr:uid="{A8C6951A-18E5-4626-BFDA-A274AA07EA64}"/>
    <cellStyle name="Accent1 3" xfId="363" xr:uid="{A7AD30D4-1F8B-4798-A5E8-B007655B61F5}"/>
    <cellStyle name="Accent1 4" xfId="364" xr:uid="{F70D2A21-5E75-427B-9A49-C7879FEFE499}"/>
    <cellStyle name="Accent1 5" xfId="365" xr:uid="{195574B9-FA2C-4D0E-80EC-E9D2B3E99470}"/>
    <cellStyle name="Accent1 6" xfId="366" xr:uid="{35A9CE23-BAE9-4556-9CF8-319451A6CC0B}"/>
    <cellStyle name="Accent1 7" xfId="367" xr:uid="{A92F728B-D892-42C5-9F6B-7F264DED586E}"/>
    <cellStyle name="Accent1 8" xfId="368" xr:uid="{C2C70A46-7D76-4ED2-BEF2-B25DB1E2677B}"/>
    <cellStyle name="Accent1 9" xfId="369" xr:uid="{294B5A8D-A5E3-4272-8D09-3F68D8E68C21}"/>
    <cellStyle name="Accent2 10" xfId="370" xr:uid="{84FF7D4D-1E1C-4BE7-8B9F-039C2BC638A9}"/>
    <cellStyle name="Accent2 11" xfId="371" xr:uid="{843D242C-4647-4C9E-90FD-AE74BE489C3A}"/>
    <cellStyle name="Accent2 12" xfId="372" xr:uid="{603FEADC-D8F0-43D7-89C7-CC59CBF7E923}"/>
    <cellStyle name="Accent2 13" xfId="373" xr:uid="{4B6FC0B0-2125-4593-A694-6D0F2E126E5F}"/>
    <cellStyle name="Accent2 14" xfId="374" xr:uid="{B6DC7C0E-30F8-402E-BF60-5FCEC289BFE8}"/>
    <cellStyle name="Accent2 15" xfId="375" xr:uid="{89B64ED2-BDD2-4F72-A4CB-9C8121043CEC}"/>
    <cellStyle name="Accent2 16" xfId="788" xr:uid="{0F01D3EA-A884-46AF-AF28-8FBCB7DB4F43}"/>
    <cellStyle name="Accent2 2" xfId="42" xr:uid="{00000000-0005-0000-0000-00001C000000}"/>
    <cellStyle name="Accent2 2 2" xfId="818" xr:uid="{F4A32345-D18B-422B-9E95-E9D6BCBFA8DE}"/>
    <cellStyle name="Accent2 2 3" xfId="376" xr:uid="{658ACFBF-F8A5-46A6-A4A8-BB00CA5F6D24}"/>
    <cellStyle name="Accent2 3" xfId="377" xr:uid="{0E04D4DB-0043-4EF3-B1DE-89D122024744}"/>
    <cellStyle name="Accent2 4" xfId="378" xr:uid="{ABEA153E-575F-4599-8F2D-CDDDE8620568}"/>
    <cellStyle name="Accent2 5" xfId="379" xr:uid="{B6F33499-F77A-45F7-88AF-FED3701ABE51}"/>
    <cellStyle name="Accent2 6" xfId="380" xr:uid="{3C76C1D3-42D0-4088-9FDA-A18118ACC297}"/>
    <cellStyle name="Accent2 7" xfId="381" xr:uid="{FEC8E6FD-689B-4A71-A528-6A8837063972}"/>
    <cellStyle name="Accent2 8" xfId="382" xr:uid="{A356D243-8855-4D71-ADEC-7D7F568976C0}"/>
    <cellStyle name="Accent2 9" xfId="383" xr:uid="{505F449A-057A-4060-B5A3-641E3DC0385C}"/>
    <cellStyle name="Accent3 10" xfId="384" xr:uid="{45E2612A-F1E5-49CF-9998-716AE4C7E2F0}"/>
    <cellStyle name="Accent3 11" xfId="385" xr:uid="{951959F2-B7B1-44C7-9976-25CD33D5BCBE}"/>
    <cellStyle name="Accent3 12" xfId="386" xr:uid="{0CF52F73-80A2-426A-AD4F-B3553621461F}"/>
    <cellStyle name="Accent3 13" xfId="387" xr:uid="{31A39ED5-FA8D-421D-9FFA-5B9ACD37FF6B}"/>
    <cellStyle name="Accent3 14" xfId="388" xr:uid="{A947A20A-8F2B-4C56-BF86-4257791EADE9}"/>
    <cellStyle name="Accent3 15" xfId="389" xr:uid="{D41435EB-6E64-4382-8481-BF9E91CBCF12}"/>
    <cellStyle name="Accent3 16" xfId="789" xr:uid="{C8733DC0-B5E6-4232-9A49-46F93C0D4E4F}"/>
    <cellStyle name="Accent3 2" xfId="43" xr:uid="{00000000-0005-0000-0000-00001D000000}"/>
    <cellStyle name="Accent3 2 2" xfId="822" xr:uid="{B60E2D03-5380-4C79-985E-C82533A9F749}"/>
    <cellStyle name="Accent3 2 3" xfId="390" xr:uid="{2CBCA5EE-BE77-4470-897F-E80E0D5DF163}"/>
    <cellStyle name="Accent3 3" xfId="391" xr:uid="{7E5E41E5-0AAC-4B04-8490-B57402A0F4BA}"/>
    <cellStyle name="Accent3 4" xfId="392" xr:uid="{F95D2CCE-8F67-4454-A2EA-427DF7044C56}"/>
    <cellStyle name="Accent3 5" xfId="393" xr:uid="{904401F1-D588-4BF1-8332-30B44D2882A5}"/>
    <cellStyle name="Accent3 6" xfId="394" xr:uid="{51445725-488F-4395-9089-4CD2E9935CCB}"/>
    <cellStyle name="Accent3 7" xfId="395" xr:uid="{87034619-7FBA-4BB6-9FD6-0BA43CF303E0}"/>
    <cellStyle name="Accent3 8" xfId="396" xr:uid="{95F92697-F1BE-4802-8AD6-BB4B4CC0E381}"/>
    <cellStyle name="Accent3 9" xfId="397" xr:uid="{1DC0A8BC-6398-46E9-BA7D-385A0F1E2629}"/>
    <cellStyle name="Accent4 10" xfId="398" xr:uid="{0846C6B3-8DC3-40E9-B253-B876D99D423F}"/>
    <cellStyle name="Accent4 11" xfId="399" xr:uid="{AA8A6EFE-68D5-4939-8663-F4C12ECA1874}"/>
    <cellStyle name="Accent4 12" xfId="400" xr:uid="{BCCE4523-5EAE-4B0A-A908-B2BEF07910AA}"/>
    <cellStyle name="Accent4 13" xfId="401" xr:uid="{BE8BA843-2C3B-498E-AA84-AF0EEA4A9D08}"/>
    <cellStyle name="Accent4 14" xfId="402" xr:uid="{2942FC04-1DCE-4A87-932C-CDFCD7D8C80D}"/>
    <cellStyle name="Accent4 15" xfId="403" xr:uid="{CA723D49-D18A-40A2-B08B-E9563211ABCA}"/>
    <cellStyle name="Accent4 16" xfId="871" xr:uid="{A6928AFA-45D5-4ECE-B72F-01121C16BFEF}"/>
    <cellStyle name="Accent4 2" xfId="44" xr:uid="{00000000-0005-0000-0000-00001E000000}"/>
    <cellStyle name="Accent4 2 2" xfId="826" xr:uid="{46F873C4-B866-4F77-AF9B-F232FFBB5B98}"/>
    <cellStyle name="Accent4 2 3" xfId="404" xr:uid="{975A9701-FA0E-4A13-B8DD-CDF2819CD5A2}"/>
    <cellStyle name="Accent4 3" xfId="405" xr:uid="{5B4974FB-59DB-46B5-BB8E-1D441665E735}"/>
    <cellStyle name="Accent4 4" xfId="406" xr:uid="{F373D766-E62C-4E35-B388-048F69949A2A}"/>
    <cellStyle name="Accent4 5" xfId="407" xr:uid="{2737E294-DCBF-46EF-86B0-FE5C12C02CAA}"/>
    <cellStyle name="Accent4 6" xfId="408" xr:uid="{107DD55B-0855-48BB-8177-89B07261A147}"/>
    <cellStyle name="Accent4 7" xfId="409" xr:uid="{0B450E02-87F3-46FC-ABCF-14FF49675432}"/>
    <cellStyle name="Accent4 8" xfId="410" xr:uid="{FA4F0027-AB48-4607-A2C9-2F6DFA011570}"/>
    <cellStyle name="Accent4 9" xfId="411" xr:uid="{8B350769-DEE4-4AA9-9969-CF5914B7C43B}"/>
    <cellStyle name="Accent5 10" xfId="412" xr:uid="{64E3DEE8-54E1-4E9F-815B-D01BC9343BE8}"/>
    <cellStyle name="Accent5 11" xfId="413" xr:uid="{A1144569-983B-49D4-97FA-47DD60DF1F94}"/>
    <cellStyle name="Accent5 12" xfId="414" xr:uid="{562878AE-DB2E-4827-8199-027B77329B98}"/>
    <cellStyle name="Accent5 13" xfId="415" xr:uid="{EE017235-1C02-41B2-8D9B-E1885733A643}"/>
    <cellStyle name="Accent5 14" xfId="416" xr:uid="{B350A851-0856-4638-8406-23D404FCD8BF}"/>
    <cellStyle name="Accent5 15" xfId="417" xr:uid="{00914131-44F1-47F6-A633-AF50C11D9247}"/>
    <cellStyle name="Accent5 16" xfId="866" xr:uid="{6554CF10-4167-4B33-BF47-88337BEAA272}"/>
    <cellStyle name="Accent5 2" xfId="45" xr:uid="{00000000-0005-0000-0000-00001F000000}"/>
    <cellStyle name="Accent5 2 2" xfId="830" xr:uid="{7569D6EC-EB2F-4158-AB54-D4F60CF9ED0B}"/>
    <cellStyle name="Accent5 2 3" xfId="418" xr:uid="{5179EA49-A272-41FC-993B-E4F55677CBC9}"/>
    <cellStyle name="Accent5 3" xfId="419" xr:uid="{2D1C5A73-024B-4C15-B18B-3D645AB7F0C1}"/>
    <cellStyle name="Accent5 4" xfId="420" xr:uid="{6800D9EF-155D-4AE6-942B-0EED17109F2A}"/>
    <cellStyle name="Accent5 5" xfId="421" xr:uid="{7270F192-3905-4544-A9C9-2686AF21939D}"/>
    <cellStyle name="Accent5 6" xfId="422" xr:uid="{55C18A12-D324-472C-9022-BE401BF33F42}"/>
    <cellStyle name="Accent5 7" xfId="423" xr:uid="{671DBB28-BAA0-4308-95F0-4DE0137BDC9E}"/>
    <cellStyle name="Accent5 8" xfId="424" xr:uid="{6679B65E-5BFB-4FE7-8ADE-052325510415}"/>
    <cellStyle name="Accent5 9" xfId="425" xr:uid="{12E34B9E-05B6-4F21-A899-0C0A36736E6C}"/>
    <cellStyle name="Accent6 10" xfId="426" xr:uid="{5732E225-880B-4B24-BD7E-92655A9BE055}"/>
    <cellStyle name="Accent6 11" xfId="427" xr:uid="{FE1FB0D1-F152-4328-9B56-1AAF63E4E7EC}"/>
    <cellStyle name="Accent6 12" xfId="428" xr:uid="{9F90447A-26B8-4B1E-9139-D9E47F0344C5}"/>
    <cellStyle name="Accent6 13" xfId="429" xr:uid="{A7359480-AD64-405B-8B54-22F2CDC03D6B}"/>
    <cellStyle name="Accent6 14" xfId="430" xr:uid="{5DADB6C9-F700-4288-B5EE-846044C5E251}"/>
    <cellStyle name="Accent6 15" xfId="431" xr:uid="{2F5D5605-A8B0-44BB-AFAB-DEE06114F71F}"/>
    <cellStyle name="Accent6 16" xfId="870" xr:uid="{DC8A7880-3A36-41A4-A73A-F9DB1A061A43}"/>
    <cellStyle name="Accent6 2" xfId="46" xr:uid="{00000000-0005-0000-0000-000020000000}"/>
    <cellStyle name="Accent6 2 2" xfId="834" xr:uid="{3B96CDD7-EE3D-42E0-BFB4-03DD4B8BBD24}"/>
    <cellStyle name="Accent6 2 3" xfId="432" xr:uid="{A6EF0BCD-1951-4469-A103-C10605D9C201}"/>
    <cellStyle name="Accent6 3" xfId="433" xr:uid="{937A6A4B-0827-42B7-94E1-ED48F95052E5}"/>
    <cellStyle name="Accent6 4" xfId="434" xr:uid="{02437E66-BCE1-4A90-A9A2-DA098689900A}"/>
    <cellStyle name="Accent6 5" xfId="435" xr:uid="{577460C7-DC19-4713-88DB-4CA0D0F9C622}"/>
    <cellStyle name="Accent6 6" xfId="436" xr:uid="{D59A24A9-41A8-46BF-B9B3-6D69CD3561C7}"/>
    <cellStyle name="Accent6 7" xfId="437" xr:uid="{8CBEE71B-01B1-4BCD-B271-33421739FAFD}"/>
    <cellStyle name="Accent6 8" xfId="438" xr:uid="{B7D34C19-695B-432D-910D-448C2F6E7189}"/>
    <cellStyle name="Accent6 9" xfId="439" xr:uid="{9FD4DBF2-7929-4247-B3EE-5DBD075A23D5}"/>
    <cellStyle name="Bad 10" xfId="440" xr:uid="{566576D2-7204-4BE5-8BDC-957672F81708}"/>
    <cellStyle name="Bad 11" xfId="441" xr:uid="{559A247D-7B62-4A49-9CF0-FBF489CDC04A}"/>
    <cellStyle name="Bad 12" xfId="442" xr:uid="{BF16EEDD-25D2-4EA4-8E63-E658C7170B27}"/>
    <cellStyle name="Bad 13" xfId="443" xr:uid="{98093839-534A-40C9-93AC-6ED13E1668EA}"/>
    <cellStyle name="Bad 14" xfId="444" xr:uid="{BBFC7792-30AF-4045-8C74-F38D575C7A15}"/>
    <cellStyle name="Bad 15" xfId="445" xr:uid="{4C1240DB-66C6-4BAB-8C54-D3C7417CC4C7}"/>
    <cellStyle name="Bad 16" xfId="855" xr:uid="{B7F14968-FE81-46C2-9311-818578C2F573}"/>
    <cellStyle name="Bad 2" xfId="47" xr:uid="{00000000-0005-0000-0000-000021000000}"/>
    <cellStyle name="Bad 2 2" xfId="803" xr:uid="{74E993D3-BC7E-4377-88D7-775701107076}"/>
    <cellStyle name="Bad 2 3" xfId="446" xr:uid="{41A6028F-ABDC-42B2-A98C-558E769DDBB8}"/>
    <cellStyle name="Bad 3" xfId="447" xr:uid="{D76F6138-44C3-441E-875B-A4F2C607CE4C}"/>
    <cellStyle name="Bad 4" xfId="448" xr:uid="{85042327-E6F6-4E0C-A834-E27C1FB2195B}"/>
    <cellStyle name="Bad 5" xfId="449" xr:uid="{71EA3BCB-4953-42EF-A94D-10BF71005792}"/>
    <cellStyle name="Bad 6" xfId="450" xr:uid="{EBC9A3A2-CE6B-425B-A05F-6EAEE22CBFDA}"/>
    <cellStyle name="Bad 7" xfId="451" xr:uid="{0243F4B2-A7ED-47C9-8377-E8C0C97F2BB8}"/>
    <cellStyle name="Bad 8" xfId="452" xr:uid="{5A3E1F77-EF22-4CCE-BC13-7D962668A6D2}"/>
    <cellStyle name="Bad 9" xfId="453" xr:uid="{E5DAD6C6-2824-45DA-A0AF-07DD62140BD5}"/>
    <cellStyle name="Calculation 10" xfId="454" xr:uid="{B082A5D2-CBF8-447D-9EFD-F50F2FC0995D}"/>
    <cellStyle name="Calculation 11" xfId="455" xr:uid="{47971860-E666-4C29-97F9-161A08A9FF1E}"/>
    <cellStyle name="Calculation 12" xfId="456" xr:uid="{2FC89415-36AF-4353-B5B7-78192B53DA51}"/>
    <cellStyle name="Calculation 13" xfId="457" xr:uid="{726743D5-765F-4053-A7B0-CF1E385961A9}"/>
    <cellStyle name="Calculation 14" xfId="458" xr:uid="{E82CFC78-EA29-42A0-8624-BC3BB0C4CF1B}"/>
    <cellStyle name="Calculation 15" xfId="459" xr:uid="{599CDEE9-E7D5-4FCC-9B2A-54F4711FE356}"/>
    <cellStyle name="Calculation 16" xfId="790" xr:uid="{712A35D0-6342-4FA3-89E2-CC72CF61E961}"/>
    <cellStyle name="Calculation 17" xfId="1538" xr:uid="{2EDE4944-FD14-46AE-8D88-08C84DBAA993}"/>
    <cellStyle name="Calculation 18" xfId="1541" xr:uid="{B43EC870-A144-4BBF-BFA9-B9480390D328}"/>
    <cellStyle name="Calculation 2" xfId="48" xr:uid="{00000000-0005-0000-0000-000022000000}"/>
    <cellStyle name="Calculation 2 2" xfId="807" xr:uid="{B42AAE89-5EA0-4B4D-BAFF-47773D7B4CFD}"/>
    <cellStyle name="Calculation 2 3" xfId="460" xr:uid="{C4C74B5B-8AE0-4EC3-9C78-1196B7B6FD0D}"/>
    <cellStyle name="Calculation 3" xfId="461" xr:uid="{1F8CEF80-6E40-44C7-B96B-7343048F4087}"/>
    <cellStyle name="Calculation 4" xfId="462" xr:uid="{701D28DE-684A-499C-A8BF-54C60C03DEAE}"/>
    <cellStyle name="Calculation 5" xfId="463" xr:uid="{408654D6-6674-41DB-91CE-F0969FF2081D}"/>
    <cellStyle name="Calculation 6" xfId="464" xr:uid="{5D482EDF-5266-43FF-9B1C-CBC5E37E3E6E}"/>
    <cellStyle name="Calculation 7" xfId="465" xr:uid="{083EBA3B-C5DE-464E-A820-DEC2E0B9B615}"/>
    <cellStyle name="Calculation 8" xfId="466" xr:uid="{B78FAE0F-4228-4CAA-8791-909755D8B289}"/>
    <cellStyle name="Calculation 9" xfId="467" xr:uid="{51BC4678-9144-4C80-A553-F021F0AAEB43}"/>
    <cellStyle name="Check Cell 10" xfId="468" xr:uid="{997FE835-F944-429F-9F23-526FFEECE3BE}"/>
    <cellStyle name="Check Cell 11" xfId="469" xr:uid="{DF114F21-C2B3-403B-B0D3-2CC3E61E0EE8}"/>
    <cellStyle name="Check Cell 12" xfId="470" xr:uid="{339E30AC-96AA-4CBD-A482-6CC6FCE29AC4}"/>
    <cellStyle name="Check Cell 13" xfId="471" xr:uid="{76D427B1-8257-473F-9191-F6852C679A79}"/>
    <cellStyle name="Check Cell 14" xfId="472" xr:uid="{3EBAAF24-5E78-4BDD-AFFE-0605609C6746}"/>
    <cellStyle name="Check Cell 15" xfId="473" xr:uid="{E29C7AF3-6982-4C26-A85C-9CC17498033A}"/>
    <cellStyle name="Check Cell 16" xfId="851" xr:uid="{DA86EF6C-96DC-4468-A9D7-A2B132A5CBC6}"/>
    <cellStyle name="Check Cell 2" xfId="49" xr:uid="{00000000-0005-0000-0000-000023000000}"/>
    <cellStyle name="Check Cell 2 2" xfId="809" xr:uid="{0834D282-C2F0-4E40-9F46-AC121EABF6EC}"/>
    <cellStyle name="Check Cell 2 3" xfId="474" xr:uid="{BBE0D81B-B04F-47B8-B9D9-7E418AE7ADCE}"/>
    <cellStyle name="Check Cell 3" xfId="475" xr:uid="{DC684159-56B1-431F-9DF0-56BB473ACBA0}"/>
    <cellStyle name="Check Cell 4" xfId="476" xr:uid="{F67AF96B-4B3A-4B61-B6F6-814D18FE2440}"/>
    <cellStyle name="Check Cell 5" xfId="477" xr:uid="{CB29AD73-0E65-4DA4-A542-081E7B0B7621}"/>
    <cellStyle name="Check Cell 6" xfId="478" xr:uid="{ABEDE31E-2C1B-4954-8E7C-7236B4512FFA}"/>
    <cellStyle name="Check Cell 7" xfId="479" xr:uid="{991EF724-160F-4B20-A41E-4A1F071082EB}"/>
    <cellStyle name="Check Cell 8" xfId="480" xr:uid="{6A1F5257-F00B-4E36-AD85-EBEF8E88730A}"/>
    <cellStyle name="Check Cell 9" xfId="481" xr:uid="{6B69CF47-0A5A-46F4-9DAF-FB4BA3D27483}"/>
    <cellStyle name="Comma" xfId="1" builtinId="3"/>
    <cellStyle name="Comma 10" xfId="482" xr:uid="{8FECAEF1-0324-4522-B12C-14CA6AF8D6F9}"/>
    <cellStyle name="Comma 2" xfId="5" xr:uid="{00000000-0005-0000-0000-000025000000}"/>
    <cellStyle name="Comma 2 10" xfId="1527" xr:uid="{0BC537A4-BE34-44C8-AA9F-9D29E2B272D0}"/>
    <cellStyle name="Comma 2 2" xfId="696" xr:uid="{5C884EC2-A2E8-4501-80D2-1AD62416BE05}"/>
    <cellStyle name="Comma 2 2 2" xfId="695" xr:uid="{45356556-BBB8-4BAC-AD32-6D82C625287D}"/>
    <cellStyle name="Comma 2 2 3" xfId="1600" xr:uid="{6B31B1F2-0BE4-40C6-9AA7-6AC72AA3B3EE}"/>
    <cellStyle name="Comma 2 3" xfId="734" xr:uid="{27F51AD3-0C7D-4B0F-B4B0-08BB7C60AE6D}"/>
    <cellStyle name="Comma 2 3 2" xfId="1633" xr:uid="{97BACC60-7486-4E1C-9DEF-041ACF924BB4}"/>
    <cellStyle name="Comma 2 4" xfId="839" xr:uid="{51C41699-2F14-4740-B30A-17757AFCA611}"/>
    <cellStyle name="Comma 2 5" xfId="1529" xr:uid="{D042C698-5BF5-4C4E-A832-9FA411884923}"/>
    <cellStyle name="Comma 2 6" xfId="1565" xr:uid="{711DB856-27D7-4708-B216-B536633DE10D}"/>
    <cellStyle name="Comma 3" xfId="6" xr:uid="{00000000-0005-0000-0000-000026000000}"/>
    <cellStyle name="Comma 3 2" xfId="50" xr:uid="{00000000-0005-0000-0000-000027000000}"/>
    <cellStyle name="Comma 3 2 2" xfId="845" xr:uid="{06F33135-4716-4593-9B2D-3B6B69144D17}"/>
    <cellStyle name="Comma 3 2 2 2" xfId="1613" xr:uid="{9D697535-BF40-42F1-B8DA-2257CEB21307}"/>
    <cellStyle name="Comma 3 2 3" xfId="697" xr:uid="{2385347A-A18A-44FB-B93F-BA54E6114382}"/>
    <cellStyle name="Comma 3 2 3 2" xfId="1643" xr:uid="{768B1C9F-FA1F-4427-A789-A0C74DA40ECD}"/>
    <cellStyle name="Comma 3 2 4" xfId="1578" xr:uid="{3138837E-8DD2-4EA7-9C15-583C8E21D09D}"/>
    <cellStyle name="Comma 3 2 5" xfId="98" xr:uid="{00000000-0005-0000-0000-000028000000}"/>
    <cellStyle name="Comma 3 3" xfId="841" xr:uid="{6F3B3E26-3FC8-4A18-8614-A92B20C5AF9B}"/>
    <cellStyle name="Comma 3 3 2" xfId="1603" xr:uid="{AA3C8A3C-D478-4AA2-8E24-619BEA3F7829}"/>
    <cellStyle name="Comma 3 4" xfId="1013" xr:uid="{93DBB256-1BC0-48FF-9C75-641FCC229582}"/>
    <cellStyle name="Comma 3 4 2" xfId="1636" xr:uid="{C034EDFB-859B-4BB2-BD5F-1B572BB2EDDF}"/>
    <cellStyle name="Comma 3 5" xfId="483" xr:uid="{F7718869-6A96-4AF3-81D7-69A99B2C7D27}"/>
    <cellStyle name="Comma 3 6" xfId="1568" xr:uid="{0341A5C9-6337-4E00-8AD0-91A483843BFF}"/>
    <cellStyle name="Comma 4" xfId="13" xr:uid="{00000000-0005-0000-0000-000029000000}"/>
    <cellStyle name="Comma 4 10" xfId="1573" xr:uid="{59A05CAD-A77A-404C-9BCA-17D6F7F90762}"/>
    <cellStyle name="Comma 4 2" xfId="718" xr:uid="{D0DD6974-E7F0-4910-AA4F-6BBA504B5857}"/>
    <cellStyle name="Comma 4 2 2" xfId="755" xr:uid="{F6DD45F6-AA08-4067-8760-3140FB1C46EE}"/>
    <cellStyle name="Comma 4 2 2 2" xfId="910" xr:uid="{AB3D9A1D-98A3-4322-A683-8C09853113F7}"/>
    <cellStyle name="Comma 4 2 2 2 2" xfId="1241" xr:uid="{AA2F7961-ECF3-4EBC-90A1-9D7D8B40F223}"/>
    <cellStyle name="Comma 4 2 2 2 2 2" xfId="1474" xr:uid="{21270ADF-E7D8-464A-BC26-DE8E50AFECD9}"/>
    <cellStyle name="Comma 4 2 2 2 3" xfId="1358" xr:uid="{BA5C24C9-1D6A-4368-8680-4AE2FCDC3F8B}"/>
    <cellStyle name="Comma 4 2 2 2 4" xfId="1122" xr:uid="{10FB19E0-5D9C-41C7-8B76-8FD8F1367963}"/>
    <cellStyle name="Comma 4 2 2 3" xfId="980" xr:uid="{124C35C6-121E-48BC-B4E2-4A86CAACA293}"/>
    <cellStyle name="Comma 4 2 2 3 2" xfId="1418" xr:uid="{E9D209CB-A116-47DC-82B1-A39F9EE0AFEE}"/>
    <cellStyle name="Comma 4 2 2 3 3" xfId="1185" xr:uid="{0326AC30-ABE8-4986-8663-1F0E856C12E3}"/>
    <cellStyle name="Comma 4 2 2 4" xfId="1302" xr:uid="{D8140800-B9AD-48FE-A30D-80226EB45111}"/>
    <cellStyle name="Comma 4 2 2 5" xfId="1065" xr:uid="{CD31EEDF-D1FF-431C-9685-02F421699DC0}"/>
    <cellStyle name="Comma 4 2 3" xfId="877" xr:uid="{911F8651-F3EA-4CE8-8564-FEF8B0403898}"/>
    <cellStyle name="Comma 4 2 3 2" xfId="1211" xr:uid="{DA551323-8739-4FD7-A3C1-37A7F4683952}"/>
    <cellStyle name="Comma 4 2 3 2 2" xfId="1444" xr:uid="{6D689856-4D13-4705-A1DF-6BA472F4AF93}"/>
    <cellStyle name="Comma 4 2 3 3" xfId="1328" xr:uid="{2664CE71-23FD-4C73-97D7-14BF4346EA3D}"/>
    <cellStyle name="Comma 4 2 3 4" xfId="1092" xr:uid="{F1050FED-08FE-46E5-A0B9-3619004886D2}"/>
    <cellStyle name="Comma 4 2 4" xfId="950" xr:uid="{537C12F2-00D3-490C-B1C6-0FF5719159D3}"/>
    <cellStyle name="Comma 4 2 4 2" xfId="1392" xr:uid="{C7AF5BEC-A755-4741-8E3C-C34268932174}"/>
    <cellStyle name="Comma 4 2 4 3" xfId="1159" xr:uid="{212B962E-FEA4-4A3E-9652-0DDE300E3E39}"/>
    <cellStyle name="Comma 4 2 5" xfId="1276" xr:uid="{D5CAA9EF-8912-4D00-BF61-F9BC7A4772B2}"/>
    <cellStyle name="Comma 4 2 6" xfId="1039" xr:uid="{CE49E489-05BC-4A71-8EC3-FD661246633E}"/>
    <cellStyle name="Comma 4 2 7" xfId="1609" xr:uid="{4E30939D-2574-440C-8B14-B830349B47A9}"/>
    <cellStyle name="Comma 4 3" xfId="726" xr:uid="{67127201-94F5-40AA-8AE2-FB81460347C4}"/>
    <cellStyle name="Comma 4 3 2" xfId="763" xr:uid="{5B7EC4E5-ECF7-4B15-A09D-23B645B4F88C}"/>
    <cellStyle name="Comma 4 3 2 2" xfId="918" xr:uid="{E658FB33-1557-4651-8E1C-BA142126A1E8}"/>
    <cellStyle name="Comma 4 3 2 2 2" xfId="1249" xr:uid="{C596C76D-ECDE-4A0D-9747-26845C136FB2}"/>
    <cellStyle name="Comma 4 3 2 2 2 2" xfId="1482" xr:uid="{92D06D19-0813-437A-80F1-ED18C108F715}"/>
    <cellStyle name="Comma 4 3 2 2 3" xfId="1366" xr:uid="{A7B0B188-956E-4DBD-99A4-E5758BECC5FE}"/>
    <cellStyle name="Comma 4 3 2 2 4" xfId="1130" xr:uid="{8A0EEEAE-AE6C-4963-BBA5-59EDC018D60A}"/>
    <cellStyle name="Comma 4 3 2 3" xfId="988" xr:uid="{C03078A6-19C3-4289-81C7-E8AA019F220E}"/>
    <cellStyle name="Comma 4 3 2 3 2" xfId="1426" xr:uid="{FFEE48A5-F665-4DF0-B7B7-4E37A8A4A939}"/>
    <cellStyle name="Comma 4 3 2 3 3" xfId="1193" xr:uid="{09AAF5DC-B974-42A4-AF2D-32BD1EC925FE}"/>
    <cellStyle name="Comma 4 3 2 4" xfId="1310" xr:uid="{AF59D94F-F15B-48EA-B21F-AC432AC23454}"/>
    <cellStyle name="Comma 4 3 2 5" xfId="1073" xr:uid="{26067BA4-3E55-4DA0-8E34-9551523DB588}"/>
    <cellStyle name="Comma 4 3 3" xfId="885" xr:uid="{8A87DA2E-AA61-4561-B5E8-4813CC7D4658}"/>
    <cellStyle name="Comma 4 3 3 2" xfId="1219" xr:uid="{575DA251-2CA0-401E-B426-9076F102FB9E}"/>
    <cellStyle name="Comma 4 3 3 2 2" xfId="1452" xr:uid="{4E9F9CAD-E96D-4636-92B0-707D07BC2F48}"/>
    <cellStyle name="Comma 4 3 3 3" xfId="1336" xr:uid="{30E8549D-535B-4380-B876-0EE75E63C991}"/>
    <cellStyle name="Comma 4 3 3 4" xfId="1100" xr:uid="{047C5DE1-2659-45EB-A103-18F7B40CFCE4}"/>
    <cellStyle name="Comma 4 3 4" xfId="958" xr:uid="{85799808-3E9F-42A6-BF19-48433923D002}"/>
    <cellStyle name="Comma 4 3 4 2" xfId="1400" xr:uid="{0550F9F1-B02D-454E-94D7-589ACB208F92}"/>
    <cellStyle name="Comma 4 3 4 3" xfId="1167" xr:uid="{1C29E861-3E06-47A1-94E3-8AF606845AC6}"/>
    <cellStyle name="Comma 4 3 5" xfId="1284" xr:uid="{CF437CAC-360E-4884-AF60-368B11CB6458}"/>
    <cellStyle name="Comma 4 3 6" xfId="1047" xr:uid="{C0A5D906-73E8-49A9-A601-A6CE3F8B5C5D}"/>
    <cellStyle name="Comma 4 3 7" xfId="1641" xr:uid="{161C6614-5553-4531-A455-85DD98A38AB3}"/>
    <cellStyle name="Comma 4 4" xfId="747" xr:uid="{0B9BCA44-DFFA-4CC3-A75B-421218FEFFE8}"/>
    <cellStyle name="Comma 4 4 2" xfId="902" xr:uid="{C8BDA6AB-74B3-4D08-A410-54F4E97BF3FC}"/>
    <cellStyle name="Comma 4 4 2 2" xfId="1233" xr:uid="{E77F1A97-F579-4335-A04C-D57E5835BC85}"/>
    <cellStyle name="Comma 4 4 2 2 2" xfId="1466" xr:uid="{A4D9D4A8-EF3C-496E-9E8D-C9F187AF6641}"/>
    <cellStyle name="Comma 4 4 2 3" xfId="1350" xr:uid="{19A4DDEC-1099-4BCC-BFB7-B0554E937F32}"/>
    <cellStyle name="Comma 4 4 2 4" xfId="1114" xr:uid="{215A50F9-63DE-436F-ABB5-D560B8641C69}"/>
    <cellStyle name="Comma 4 4 3" xfId="972" xr:uid="{01CD0DAF-2A1A-45AC-A428-611E56F68FA8}"/>
    <cellStyle name="Comma 4 4 3 2" xfId="1410" xr:uid="{451E20B6-7523-4933-83F0-6F2A8A63B3C5}"/>
    <cellStyle name="Comma 4 4 3 3" xfId="1177" xr:uid="{01ED00B4-BAD8-4B65-B432-748338A35FA0}"/>
    <cellStyle name="Comma 4 4 4" xfId="1294" xr:uid="{D2908565-DD96-4CD4-A8F9-F79AF8BDE1F7}"/>
    <cellStyle name="Comma 4 4 5" xfId="1057" xr:uid="{E0EAB927-C99B-4228-BC3E-8F0B521DA070}"/>
    <cellStyle name="Comma 4 5" xfId="863" xr:uid="{3EFD697D-D6C4-4CA7-B04E-B6412980BE8E}"/>
    <cellStyle name="Comma 4 5 2" xfId="1203" xr:uid="{AF133694-6241-4138-ABAC-4AB6FC6ECA78}"/>
    <cellStyle name="Comma 4 5 2 2" xfId="1436" xr:uid="{A37C04A3-570D-4FE6-BD1A-17C18A9E005E}"/>
    <cellStyle name="Comma 4 5 3" xfId="1320" xr:uid="{B197301A-741B-4433-973F-5E1E0E023447}"/>
    <cellStyle name="Comma 4 5 4" xfId="1084" xr:uid="{1EE9568E-58C4-415B-AF12-B388F50F8338}"/>
    <cellStyle name="Comma 4 6" xfId="942" xr:uid="{61C3D071-B490-470C-976E-9FEA44632C71}"/>
    <cellStyle name="Comma 4 6 2" xfId="1384" xr:uid="{2AE5B1D2-6D68-4937-9D3D-0CD5365CB6DC}"/>
    <cellStyle name="Comma 4 6 3" xfId="1151" xr:uid="{05EEA04F-4961-47B1-9E84-9A4BFDCDDA3D}"/>
    <cellStyle name="Comma 4 7" xfId="1268" xr:uid="{7F0F30CE-4CA9-4A1E-9660-386E4D681100}"/>
    <cellStyle name="Comma 4 8" xfId="1031" xr:uid="{1C1658A9-D38B-4BE5-916F-FA668E383A19}"/>
    <cellStyle name="Comma 4 9" xfId="698" xr:uid="{403C2BF1-19F8-4B11-8FB8-2357CD776909}"/>
    <cellStyle name="Comma 5" xfId="51" xr:uid="{00000000-0005-0000-0000-00002A000000}"/>
    <cellStyle name="Comma 5 2" xfId="741" xr:uid="{D478268A-DF0C-4B5B-BBEF-00FA1734E830}"/>
    <cellStyle name="Comma 6" xfId="52" xr:uid="{00000000-0005-0000-0000-00002B000000}"/>
    <cellStyle name="Comma 6 2" xfId="895" xr:uid="{F255B425-0280-4CF8-89B6-EBB2DEB02552}"/>
    <cellStyle name="Comma 6 2 2" xfId="1255" xr:uid="{704A244E-5A2F-4111-8E9C-2B938158BD5D}"/>
    <cellStyle name="Comma 6 2 2 2" xfId="1488" xr:uid="{9297EA6E-2CCB-4112-AF77-09EC4E4C5152}"/>
    <cellStyle name="Comma 6 2 3" xfId="1372" xr:uid="{7E23E9E1-6CEE-4A2F-8C5E-CE28F4FE14D3}"/>
    <cellStyle name="Comma 6 2 4" xfId="1136" xr:uid="{350B5B09-4779-4312-8758-D4340CF22AA9}"/>
    <cellStyle name="Comma 6 3" xfId="966" xr:uid="{6A26894F-FD4A-4F90-BFB9-AE902B473A5C}"/>
    <cellStyle name="Comma 6 3 2" xfId="1460" xr:uid="{39475F79-9885-4357-B4C1-05F47188DE1B}"/>
    <cellStyle name="Comma 6 3 3" xfId="1227" xr:uid="{18FF843B-5F8B-4F38-B119-D2C05ADBC0D3}"/>
    <cellStyle name="Comma 6 4" xfId="1344" xr:uid="{DBD9FCEF-F0D2-4017-9B9B-19883A39E7D5}"/>
    <cellStyle name="Comma 6 5" xfId="1108" xr:uid="{F50B1894-6A6C-4E4A-AB3F-58439678ADF2}"/>
    <cellStyle name="Comma 6 6" xfId="738" xr:uid="{A9251E0A-8C2F-49D9-A754-368AFE55B188}"/>
    <cellStyle name="Comma 7" xfId="102" xr:uid="{D5206E47-2A95-4FF1-9589-DA112C04A81A}"/>
    <cellStyle name="Comma 7 2" xfId="1139" xr:uid="{59452356-5177-4B48-872B-45F54E602F39}"/>
    <cellStyle name="Comma 7 3" xfId="872" xr:uid="{E7864F6D-C031-4AC2-9E32-1C2D4D8E89CF}"/>
    <cellStyle name="Comma 7 4" xfId="1528" xr:uid="{9114E8B8-6A58-43C1-A5B1-35829673A44E}"/>
    <cellStyle name="Comma 8" xfId="1143" xr:uid="{0FD88E57-14A1-40FC-9477-C96E25492CE0}"/>
    <cellStyle name="Comma 8 2" xfId="1373" xr:uid="{0BB19685-7025-45A9-8241-45B89BCC565C}"/>
    <cellStyle name="Comma 9" xfId="1257" xr:uid="{971631FA-90B2-4CD7-93DD-3F784E81F85A}"/>
    <cellStyle name="Comma0" xfId="7" xr:uid="{00000000-0005-0000-0000-00002D000000}"/>
    <cellStyle name="Currency 2" xfId="12" xr:uid="{00000000-0005-0000-0000-00002F000000}"/>
    <cellStyle name="Currency 2 2" xfId="699" xr:uid="{CCB3356E-8847-428F-9561-B52CF2B5D2E2}"/>
    <cellStyle name="Currency 2 2 2" xfId="1608" xr:uid="{208E9C23-43B5-4F69-8B65-01537819225E}"/>
    <cellStyle name="Currency 2 3" xfId="690" xr:uid="{9C4D7435-CAEA-4E1C-AF51-D7C33A5A362E}"/>
    <cellStyle name="Currency 2 3 2" xfId="1640" xr:uid="{69C8B5FF-9F26-4822-879B-C9763D573929}"/>
    <cellStyle name="Currency 2 4" xfId="865" xr:uid="{8C3B8BBD-B628-4F2B-8D55-97666F333DE1}"/>
    <cellStyle name="Currency 2 5" xfId="1012" xr:uid="{2B08C812-A7E7-4016-93C8-C0DB4CB6968D}"/>
    <cellStyle name="Currency 2 6" xfId="484" xr:uid="{85D9DD75-2F9D-4F20-9400-0DF1B67F12D8}"/>
    <cellStyle name="Currency 2 7" xfId="1572" xr:uid="{F70DAD11-0C4F-4AEC-8C4F-9D99939DBE4C}"/>
    <cellStyle name="Currency 3" xfId="53" xr:uid="{00000000-0005-0000-0000-000030000000}"/>
    <cellStyle name="Currency 3 2" xfId="700" xr:uid="{F12677A6-4868-46D1-8874-DF53244EE9F2}"/>
    <cellStyle name="Currency 3 3" xfId="691" xr:uid="{8C0C9F5B-7CBC-4E61-B5B1-D7F321083EB5}"/>
    <cellStyle name="Currency 3 4" xfId="847" xr:uid="{A9840730-335F-4017-8C21-E00A0D19E2FE}"/>
    <cellStyle name="Currency 4" xfId="54" xr:uid="{00000000-0005-0000-0000-000031000000}"/>
    <cellStyle name="Currency 4 2" xfId="1024" xr:uid="{C7D9E384-5727-432F-96D9-82CF94516DD6}"/>
    <cellStyle name="Currency 5" xfId="485" xr:uid="{C7B28150-23F3-45C8-963D-555E5B2F35A2}"/>
    <cellStyle name="Currency0" xfId="8" xr:uid="{00000000-0005-0000-0000-000032000000}"/>
    <cellStyle name="Currency0 2" xfId="1574" xr:uid="{A67DA7F1-FDCC-4193-82F7-5AAABD13B541}"/>
    <cellStyle name="Date" xfId="9" xr:uid="{00000000-0005-0000-0000-000033000000}"/>
    <cellStyle name="Explanatory Text 10" xfId="486" xr:uid="{3F568998-35F7-44A2-9AEC-A813F95A59CE}"/>
    <cellStyle name="Explanatory Text 11" xfId="487" xr:uid="{5FC0FBBC-85B9-45FD-8B6D-CA82D2F1478C}"/>
    <cellStyle name="Explanatory Text 12" xfId="488" xr:uid="{444080BA-CCBC-47B4-82A2-112260A77878}"/>
    <cellStyle name="Explanatory Text 13" xfId="489" xr:uid="{2C2D7632-5C19-4DCD-98DD-F85174427DE2}"/>
    <cellStyle name="Explanatory Text 14" xfId="490" xr:uid="{09616D64-CBE4-4F8D-B345-186D66FA5AFB}"/>
    <cellStyle name="Explanatory Text 15" xfId="491" xr:uid="{C1D71F60-2F1B-47F4-A1FF-22279A29821E}"/>
    <cellStyle name="Explanatory Text 16" xfId="858" xr:uid="{5E0802C2-FAC0-4F40-B18D-7EDA62AA95A1}"/>
    <cellStyle name="Explanatory Text 2" xfId="55" xr:uid="{00000000-0005-0000-0000-000034000000}"/>
    <cellStyle name="Explanatory Text 2 2" xfId="812" xr:uid="{0AC47521-27F7-42DA-B27B-6855D64DA743}"/>
    <cellStyle name="Explanatory Text 2 3" xfId="492" xr:uid="{B8CAF406-178C-404F-AE8E-50A5F2C419F4}"/>
    <cellStyle name="Explanatory Text 3" xfId="493" xr:uid="{3DE7E739-A21D-4074-8DD5-9A974430DDFB}"/>
    <cellStyle name="Explanatory Text 4" xfId="494" xr:uid="{156BF659-3287-4DEB-BCA8-8C04E0893A73}"/>
    <cellStyle name="Explanatory Text 5" xfId="495" xr:uid="{48106F97-63CD-40B9-9462-C458763860F2}"/>
    <cellStyle name="Explanatory Text 6" xfId="496" xr:uid="{EE422B80-A024-477E-8C69-0FAAC5D0CFAC}"/>
    <cellStyle name="Explanatory Text 7" xfId="497" xr:uid="{AFDE6411-3EEE-44AC-B8BF-FA204E5051BF}"/>
    <cellStyle name="Explanatory Text 8" xfId="498" xr:uid="{7BB4893F-B03E-4570-9C80-D4AA4418FA3D}"/>
    <cellStyle name="Explanatory Text 9" xfId="499" xr:uid="{F05F9865-3553-41D8-830A-071B8A90EE20}"/>
    <cellStyle name="Fixed" xfId="10" xr:uid="{00000000-0005-0000-0000-000035000000}"/>
    <cellStyle name="Good 10" xfId="500" xr:uid="{C451AD54-ABF5-4565-B12E-1F6E359DC56B}"/>
    <cellStyle name="Good 11" xfId="501" xr:uid="{477B308C-2A42-4289-8388-841D4F3C01F2}"/>
    <cellStyle name="Good 12" xfId="502" xr:uid="{EED55874-ACA9-43D4-B0F8-9F8CFA3B7EBB}"/>
    <cellStyle name="Good 13" xfId="503" xr:uid="{06738BA4-B842-4E0D-8F29-E7AABAC7C2D0}"/>
    <cellStyle name="Good 14" xfId="504" xr:uid="{F6D303B6-E67A-47E9-8A88-DA7D3C546EB6}"/>
    <cellStyle name="Good 15" xfId="505" xr:uid="{07A1B848-DAF0-4DF4-A5A8-C1DA38F2899A}"/>
    <cellStyle name="Good 16" xfId="854" xr:uid="{99305D87-F9C9-4A92-A870-2CE2C13B233B}"/>
    <cellStyle name="Good 2" xfId="56" xr:uid="{00000000-0005-0000-0000-000036000000}"/>
    <cellStyle name="Good 2 2" xfId="802" xr:uid="{C8062E05-3AC3-4A7D-B3D2-A8C659F209A7}"/>
    <cellStyle name="Good 2 3" xfId="506" xr:uid="{E6E0D2CD-8100-4FCE-A179-F74656B8C726}"/>
    <cellStyle name="Good 3" xfId="507" xr:uid="{D412163F-CAF5-4F3E-B5D9-154CD32B3649}"/>
    <cellStyle name="Good 4" xfId="508" xr:uid="{5163F374-85F1-45C6-A3BF-73D9F4281B84}"/>
    <cellStyle name="Good 5" xfId="509" xr:uid="{E41196D2-18A9-4FAB-A024-99F795C3A322}"/>
    <cellStyle name="Good 6" xfId="510" xr:uid="{686E4C23-FE4E-424C-86B5-FF2A3875654A}"/>
    <cellStyle name="Good 7" xfId="511" xr:uid="{DDFE59F5-E3FE-489A-A546-D535A98225B7}"/>
    <cellStyle name="Good 8" xfId="512" xr:uid="{1D6A403A-D8BE-4EE0-AF00-FBA64FF55CB2}"/>
    <cellStyle name="Good 9" xfId="513" xr:uid="{BCA1139F-F4D8-4CFA-B409-BE5FF150E196}"/>
    <cellStyle name="Grey" xfId="57" xr:uid="{00000000-0005-0000-0000-000037000000}"/>
    <cellStyle name="Grey 2" xfId="58" xr:uid="{00000000-0005-0000-0000-000038000000}"/>
    <cellStyle name="Heading 1 10" xfId="514" xr:uid="{9E624CDE-0423-440C-A4ED-02BA57126B0A}"/>
    <cellStyle name="Heading 1 11" xfId="515" xr:uid="{420CD4AA-C500-43DA-857C-C54649CDD88B}"/>
    <cellStyle name="Heading 1 12" xfId="516" xr:uid="{ED610558-97CF-4C75-8634-AC453831E2A7}"/>
    <cellStyle name="Heading 1 13" xfId="517" xr:uid="{DF3CBB7A-DAC3-43DE-9208-7E0509BE0979}"/>
    <cellStyle name="Heading 1 14" xfId="518" xr:uid="{E35E3306-7E01-4D7E-A942-2DA12E860C2B}"/>
    <cellStyle name="Heading 1 15" xfId="519" xr:uid="{8A590370-8506-4CB7-9C25-363C8FC5ADB6}"/>
    <cellStyle name="Heading 1 16" xfId="859" xr:uid="{F31F6FF6-09B3-4267-84F6-6FFB2F75E5BE}"/>
    <cellStyle name="Heading 1 2" xfId="59" xr:uid="{00000000-0005-0000-0000-000039000000}"/>
    <cellStyle name="Heading 1 2 2" xfId="798" xr:uid="{42114794-85CD-4DC9-9E32-AF5DC4D513C5}"/>
    <cellStyle name="Heading 1 2 3" xfId="520" xr:uid="{442B69F2-4020-4257-9FF0-33B86FEEF72F}"/>
    <cellStyle name="Heading 1 3" xfId="521" xr:uid="{B734E738-71C1-413E-BBE8-89B6B36CE6B8}"/>
    <cellStyle name="Heading 1 4" xfId="522" xr:uid="{F7EF0496-19E7-4393-998C-58E5A1034A4D}"/>
    <cellStyle name="Heading 1 5" xfId="523" xr:uid="{56A7BF5C-A8A0-425C-95B1-EA1F23847572}"/>
    <cellStyle name="Heading 1 6" xfId="524" xr:uid="{C2B4BA43-BB9D-4D8F-B5DA-134E183331EF}"/>
    <cellStyle name="Heading 1 7" xfId="525" xr:uid="{9F6A45B5-23B9-47B1-AEB6-7E721373A1AC}"/>
    <cellStyle name="Heading 1 8" xfId="526" xr:uid="{798AA96D-96A8-4B59-802A-BA99B94902A4}"/>
    <cellStyle name="Heading 1 9" xfId="527" xr:uid="{EF77EB25-2DAB-4D59-921C-0131F9D0B75F}"/>
    <cellStyle name="Heading 2 10" xfId="528" xr:uid="{B5AA27F0-304F-4E99-B21C-8B8712FA4165}"/>
    <cellStyle name="Heading 2 11" xfId="529" xr:uid="{A1D4FE1F-312F-43DB-8CFD-F201869E9B3C}"/>
    <cellStyle name="Heading 2 12" xfId="530" xr:uid="{4007DB4B-D3E9-426D-A7FA-ED0A696AAAF6}"/>
    <cellStyle name="Heading 2 13" xfId="531" xr:uid="{B28FA389-45DF-4AB1-8897-277C23CC3FA7}"/>
    <cellStyle name="Heading 2 14" xfId="532" xr:uid="{5A8C742C-DB19-4EC4-835D-AFC511F93C94}"/>
    <cellStyle name="Heading 2 15" xfId="533" xr:uid="{FA6DE6E7-A037-4E73-AA35-579E61882E7D}"/>
    <cellStyle name="Heading 2 16" xfId="857" xr:uid="{BAC56A11-6A84-4DC7-8A7C-A95273358D05}"/>
    <cellStyle name="Heading 2 2" xfId="60" xr:uid="{00000000-0005-0000-0000-00003A000000}"/>
    <cellStyle name="Heading 2 2 2" xfId="797" xr:uid="{1EC90361-A88E-41E1-B673-8AE5818ECE13}"/>
    <cellStyle name="Heading 2 2 3" xfId="534" xr:uid="{7FC0C457-DBDB-41AD-BEED-45FB73286358}"/>
    <cellStyle name="Heading 2 3" xfId="535" xr:uid="{CB578845-A402-4794-8ECA-F4A5BC80A61C}"/>
    <cellStyle name="Heading 2 4" xfId="536" xr:uid="{DC34F801-A50C-4B02-8269-B1A07F547300}"/>
    <cellStyle name="Heading 2 5" xfId="537" xr:uid="{E412664C-4AC0-4537-9FDD-E07EFCA87B1B}"/>
    <cellStyle name="Heading 2 6" xfId="538" xr:uid="{D4DB2174-C562-4ADE-9FA7-0FEE935AAAB7}"/>
    <cellStyle name="Heading 2 7" xfId="539" xr:uid="{DEDC2B60-1B69-4826-9336-1B2BC2A3B799}"/>
    <cellStyle name="Heading 2 8" xfId="540" xr:uid="{ECA80A98-A669-4991-B231-3FF18FE8AE11}"/>
    <cellStyle name="Heading 2 9" xfId="541" xr:uid="{74B44C0C-BC2A-46CE-879D-E71314F03F44}"/>
    <cellStyle name="Heading 3 10" xfId="542" xr:uid="{0056499D-0B1B-48E3-AFF7-E47A76DDBBFE}"/>
    <cellStyle name="Heading 3 11" xfId="543" xr:uid="{CC48EB8F-6D56-4FAF-95CE-0BFFDB329924}"/>
    <cellStyle name="Heading 3 12" xfId="544" xr:uid="{ED196745-9F63-4C62-9954-D54724F889B3}"/>
    <cellStyle name="Heading 3 13" xfId="545" xr:uid="{2ADA19A8-28E1-4633-BE46-D04DCBD133BE}"/>
    <cellStyle name="Heading 3 14" xfId="546" xr:uid="{D269FC63-B8A0-4224-A885-4DFBDC82C17F}"/>
    <cellStyle name="Heading 3 15" xfId="547" xr:uid="{5C574794-0860-4AF0-805D-7059BDDF9022}"/>
    <cellStyle name="Heading 3 16" xfId="856" xr:uid="{F9DBED36-4DDE-44EA-B350-14A3ED9668CA}"/>
    <cellStyle name="Heading 3 2" xfId="61" xr:uid="{00000000-0005-0000-0000-00003B000000}"/>
    <cellStyle name="Heading 3 2 2" xfId="800" xr:uid="{E3A44095-41C1-4888-B770-A3C44C563613}"/>
    <cellStyle name="Heading 3 2 3" xfId="548" xr:uid="{CD0C936A-A37F-45B3-A551-1CCD5983472B}"/>
    <cellStyle name="Heading 3 3" xfId="549" xr:uid="{4B632B50-B86A-4BD6-B70A-410C94453E8F}"/>
    <cellStyle name="Heading 3 4" xfId="550" xr:uid="{A35712B7-3017-47E0-81A2-4EB9F398CD91}"/>
    <cellStyle name="Heading 3 5" xfId="551" xr:uid="{14F4B2F7-EA1B-4CD7-8338-A3B55E765F77}"/>
    <cellStyle name="Heading 3 6" xfId="552" xr:uid="{642493DE-887B-4A06-A06A-6297B3FF8999}"/>
    <cellStyle name="Heading 3 7" xfId="553" xr:uid="{6E4F8E46-5828-4BAE-A973-606B191C211D}"/>
    <cellStyle name="Heading 3 8" xfId="554" xr:uid="{DB0E6BED-7A26-4E75-B093-BD43156578FD}"/>
    <cellStyle name="Heading 3 9" xfId="555" xr:uid="{358BCA0B-38E7-4986-A011-02C672C2C349}"/>
    <cellStyle name="Heading 4 10" xfId="556" xr:uid="{8B115146-7BB8-4B81-861F-32A38D1DBE13}"/>
    <cellStyle name="Heading 4 11" xfId="557" xr:uid="{BA5FBD86-1D09-487F-B698-4D3B26279FC9}"/>
    <cellStyle name="Heading 4 12" xfId="558" xr:uid="{AE6058B7-193F-4532-A06B-9F23221B3D5D}"/>
    <cellStyle name="Heading 4 13" xfId="559" xr:uid="{7A980230-E901-4F9D-816D-5ACD164F95CD}"/>
    <cellStyle name="Heading 4 14" xfId="560" xr:uid="{F1EC93E7-7A54-45EF-B8C6-A9AACB5D888E}"/>
    <cellStyle name="Heading 4 15" xfId="561" xr:uid="{8AAD284E-8998-43F6-A97F-9397F17CCAAE}"/>
    <cellStyle name="Heading 4 16" xfId="899" xr:uid="{7CF9C2C5-5603-43A8-932A-DF6B5880F72B}"/>
    <cellStyle name="Heading 4 2" xfId="62" xr:uid="{00000000-0005-0000-0000-00003C000000}"/>
    <cellStyle name="Heading 4 2 2" xfId="801" xr:uid="{AF5481CE-3F5B-4067-AC2F-59C876B89B71}"/>
    <cellStyle name="Heading 4 2 3" xfId="562" xr:uid="{4DBCF3A6-B5C3-4771-885C-DA6694A7F581}"/>
    <cellStyle name="Heading 4 3" xfId="563" xr:uid="{53D5D40A-B907-4F0D-BBC7-B9A14AD06670}"/>
    <cellStyle name="Heading 4 4" xfId="564" xr:uid="{F6074E72-6FB2-42ED-8CA7-1E28CCAA9BD5}"/>
    <cellStyle name="Heading 4 5" xfId="565" xr:uid="{DDA30D74-ADE2-4D38-ADB8-C2E6CF93F16A}"/>
    <cellStyle name="Heading 4 6" xfId="566" xr:uid="{76AC7961-3DBE-4A30-871C-01E62F713E82}"/>
    <cellStyle name="Heading 4 7" xfId="567" xr:uid="{4974BFD7-F728-4875-9874-91F45EDDA4BB}"/>
    <cellStyle name="Heading 4 8" xfId="568" xr:uid="{BB57A0B3-EE28-4776-BAEF-6376EF2FAFC8}"/>
    <cellStyle name="Heading 4 9" xfId="569" xr:uid="{BFED68BB-B5AF-46C2-8CBF-5080D92E4AFB}"/>
    <cellStyle name="Hyperlink 2" xfId="860" xr:uid="{19815D14-47F1-4C40-8908-1673DE960848}"/>
    <cellStyle name="Hyperlink 2 2" xfId="1079" xr:uid="{B7941911-38B4-4FE7-BACD-288A82ABB0C8}"/>
    <cellStyle name="Hyperlink 3" xfId="791" xr:uid="{7A09522E-D196-42F7-B014-32412D80B9F6}"/>
    <cellStyle name="Hyperlink 4" xfId="1523" xr:uid="{235BE327-B228-457D-94C2-FC138186B686}"/>
    <cellStyle name="Hyperlink 5" xfId="1530" xr:uid="{91A199C1-5D5B-498A-9C86-73CB2DB0B42E}"/>
    <cellStyle name="Input [yellow]" xfId="63" xr:uid="{00000000-0005-0000-0000-00003D000000}"/>
    <cellStyle name="Input [yellow] 2" xfId="64" xr:uid="{00000000-0005-0000-0000-00003E000000}"/>
    <cellStyle name="Input [yellow] 3" xfId="1575" xr:uid="{D16E7B25-5563-4B06-ACDF-0D7B628DC97A}"/>
    <cellStyle name="Input [yellow] 4" xfId="1646" xr:uid="{35359276-7EED-4A9F-A48F-A426D1C05BF9}"/>
    <cellStyle name="Input 10" xfId="570" xr:uid="{069DF234-84A1-4E00-A14F-7863896AA320}"/>
    <cellStyle name="Input 11" xfId="571" xr:uid="{CE6A837F-79AF-4FC5-9784-7ED9953EC354}"/>
    <cellStyle name="Input 12" xfId="572" xr:uid="{18AB055D-95D5-40A6-B334-75565775AAAA}"/>
    <cellStyle name="Input 13" xfId="573" xr:uid="{E9EDB48C-7B77-456C-8AAE-14670AEFC864}"/>
    <cellStyle name="Input 14" xfId="574" xr:uid="{373C56A7-1B4E-4846-9B18-50CE4B182894}"/>
    <cellStyle name="Input 15" xfId="575" xr:uid="{EB3C41C1-EA4C-4F90-B9E4-615EC0280012}"/>
    <cellStyle name="Input 16" xfId="852" xr:uid="{AA092E4D-9BD3-4E34-9B51-C1A7AB92F3D9}"/>
    <cellStyle name="Input 17" xfId="928" xr:uid="{A5FC5402-8443-4CFE-B8BB-04E05BF3122A}"/>
    <cellStyle name="Input 18" xfId="927" xr:uid="{5DD1FDA6-9E91-44BF-9711-D61B26D3FD88}"/>
    <cellStyle name="Input 19" xfId="926" xr:uid="{3BB892ED-CF61-4FBA-B3DD-F8D4B74AE053}"/>
    <cellStyle name="Input 2" xfId="65" xr:uid="{00000000-0005-0000-0000-00003F000000}"/>
    <cellStyle name="Input 2 2" xfId="805" xr:uid="{E3715E8F-709E-4A08-AEF7-D54EB62A7FD8}"/>
    <cellStyle name="Input 2 3" xfId="576" xr:uid="{D34BDCDB-1998-43C6-BC40-5E036E8649E0}"/>
    <cellStyle name="Input 20" xfId="934" xr:uid="{38FAA33F-2AF3-476E-B1B1-E5248307639C}"/>
    <cellStyle name="Input 21" xfId="1542" xr:uid="{48F8FE0A-D177-44BC-AC5D-C6B1B009C84D}"/>
    <cellStyle name="Input 22" xfId="1540" xr:uid="{7AC07D71-37BC-48AF-95B4-5171B3D34CD9}"/>
    <cellStyle name="Input 23" xfId="1648" xr:uid="{C4E14F13-BFA4-45FE-9BC7-1AE1E056399D}"/>
    <cellStyle name="Input 24" xfId="1645" xr:uid="{1842796D-12E1-43C2-8712-D61AC4CD2DEA}"/>
    <cellStyle name="Input 25" xfId="1548" xr:uid="{6DFEB0B4-0CAA-48EE-B83F-B3AD170702E4}"/>
    <cellStyle name="Input 26" xfId="1559" xr:uid="{3FA2D9F5-E587-4AEA-9A78-8B0C129D5290}"/>
    <cellStyle name="Input 3" xfId="577" xr:uid="{F53E2F5D-33EB-4FE2-AF79-C2A1FAA86F0E}"/>
    <cellStyle name="Input 4" xfId="578" xr:uid="{49058892-9165-4E66-8EEA-2AFA430B8DEC}"/>
    <cellStyle name="Input 5" xfId="579" xr:uid="{A312C826-AEF1-48B7-AA47-DF7CA0243D79}"/>
    <cellStyle name="Input 6" xfId="580" xr:uid="{7D67E213-7EB0-4F3E-91C3-FA387B1DEDF1}"/>
    <cellStyle name="Input 7" xfId="581" xr:uid="{ECEB7560-00DD-4419-BBFD-1D266401279E}"/>
    <cellStyle name="Input 8" xfId="582" xr:uid="{E9882AD8-260E-4025-B4A7-6164E193ADA4}"/>
    <cellStyle name="Input 9" xfId="583" xr:uid="{A42343CE-E863-4020-9ACF-21FF6F93DA8F}"/>
    <cellStyle name="Linked Cell 10" xfId="584" xr:uid="{B21F4A40-B749-4006-BA69-DD93F4F95645}"/>
    <cellStyle name="Linked Cell 11" xfId="585" xr:uid="{7C5E111D-2754-40AF-85CF-BD920860561D}"/>
    <cellStyle name="Linked Cell 12" xfId="586" xr:uid="{67355B33-B838-4142-A59A-DA682EDD41CA}"/>
    <cellStyle name="Linked Cell 13" xfId="587" xr:uid="{C24ABC20-0F0E-42C9-A66D-46C1DF61572A}"/>
    <cellStyle name="Linked Cell 14" xfId="588" xr:uid="{7BAC505C-1347-47BB-94C1-4BF5F93D8489}"/>
    <cellStyle name="Linked Cell 15" xfId="589" xr:uid="{F2314CE8-4249-40BB-9A62-8E163E0150B8}"/>
    <cellStyle name="Linked Cell 16" xfId="893" xr:uid="{83678AE8-03BC-4101-8573-36E493C3A34D}"/>
    <cellStyle name="Linked Cell 2" xfId="66" xr:uid="{00000000-0005-0000-0000-000040000000}"/>
    <cellStyle name="Linked Cell 2 2" xfId="808" xr:uid="{CFF4BC8D-A982-40A0-B526-0EA910458D3B}"/>
    <cellStyle name="Linked Cell 2 3" xfId="590" xr:uid="{49F0270A-FD95-4073-B548-2A0E4E22E41C}"/>
    <cellStyle name="Linked Cell 3" xfId="591" xr:uid="{A4ABCC8F-849D-4690-826F-522012C9B1E0}"/>
    <cellStyle name="Linked Cell 4" xfId="592" xr:uid="{F5055E08-3357-44CC-8CA5-30AAE9D24F9C}"/>
    <cellStyle name="Linked Cell 5" xfId="593" xr:uid="{D07BE249-6F9C-440A-9641-503066FDD0F7}"/>
    <cellStyle name="Linked Cell 6" xfId="594" xr:uid="{39D6E0B0-9681-4C5A-87A3-87A5B4900297}"/>
    <cellStyle name="Linked Cell 7" xfId="595" xr:uid="{ECFB7E7E-23BD-4786-921E-428DFD12CEC7}"/>
    <cellStyle name="Linked Cell 8" xfId="596" xr:uid="{A13B6203-94E6-465B-88C0-8333B7EFF1CB}"/>
    <cellStyle name="Linked Cell 9" xfId="597" xr:uid="{814C020F-504A-49DB-B60F-40E62953FEEF}"/>
    <cellStyle name="M" xfId="67" xr:uid="{00000000-0005-0000-0000-000041000000}"/>
    <cellStyle name="M.00" xfId="68" xr:uid="{00000000-0005-0000-0000-000042000000}"/>
    <cellStyle name="M_9. Rev2Cost_GDPIPI" xfId="69" xr:uid="{00000000-0005-0000-0000-000043000000}"/>
    <cellStyle name="M_lists" xfId="70" xr:uid="{00000000-0005-0000-0000-000044000000}"/>
    <cellStyle name="M_lists_4. Current Monthly Fixed Charge" xfId="71" xr:uid="{00000000-0005-0000-0000-000045000000}"/>
    <cellStyle name="M_Sheet4" xfId="72" xr:uid="{00000000-0005-0000-0000-000046000000}"/>
    <cellStyle name="Neutral 10" xfId="598" xr:uid="{6F95EAEC-D219-47AA-818A-6412A59B782E}"/>
    <cellStyle name="Neutral 11" xfId="599" xr:uid="{AB5A434D-7685-4E7B-B984-3B12A50B68C8}"/>
    <cellStyle name="Neutral 12" xfId="600" xr:uid="{F94ACB22-8D04-4F3E-98E2-E51863D5BA55}"/>
    <cellStyle name="Neutral 13" xfId="601" xr:uid="{A23CA9BD-6F4B-4D44-82A7-D0BFD3375E7E}"/>
    <cellStyle name="Neutral 14" xfId="602" xr:uid="{4FD47164-5B43-454C-9A4A-9FDC9E9FEA35}"/>
    <cellStyle name="Neutral 15" xfId="603" xr:uid="{66C52A4E-60B4-4372-B326-1C34BBB46852}"/>
    <cellStyle name="Neutral 16" xfId="792" xr:uid="{E81E74C4-7F10-4522-AC98-50BD1DACA006}"/>
    <cellStyle name="Neutral 2" xfId="73" xr:uid="{00000000-0005-0000-0000-000047000000}"/>
    <cellStyle name="Neutral 2 2" xfId="804" xr:uid="{0A0FF0D2-A479-4191-A737-74B8277B8933}"/>
    <cellStyle name="Neutral 2 3" xfId="604" xr:uid="{94DE363B-90BE-4EC8-B725-DBD4849CAC16}"/>
    <cellStyle name="Neutral 3" xfId="605" xr:uid="{F6D2C34F-C9FB-4B15-884C-D3923FF3B004}"/>
    <cellStyle name="Neutral 4" xfId="606" xr:uid="{FB913938-7725-4FCF-B496-056091105E82}"/>
    <cellStyle name="Neutral 5" xfId="607" xr:uid="{5C7C171D-5911-4DC5-A06C-8C9929ECE242}"/>
    <cellStyle name="Neutral 6" xfId="608" xr:uid="{9FAE97F8-66CD-4CC8-BAD3-EC4497EF96E6}"/>
    <cellStyle name="Neutral 7" xfId="609" xr:uid="{8B9C3F4B-0AE1-4039-AE99-0B371EA450AC}"/>
    <cellStyle name="Neutral 8" xfId="610" xr:uid="{EBF9C081-925B-4056-AB2C-324936527996}"/>
    <cellStyle name="Neutral 9" xfId="611" xr:uid="{690673FD-C651-44D2-AAFE-9267319BA234}"/>
    <cellStyle name="Normal" xfId="0" builtinId="0"/>
    <cellStyle name="Normal - Style1" xfId="74" xr:uid="{00000000-0005-0000-0000-000049000000}"/>
    <cellStyle name="Normal 10" xfId="612" xr:uid="{352B99B7-E791-44FE-A409-3B6B22DBC66D}"/>
    <cellStyle name="Normal 10 2" xfId="1616" xr:uid="{9FDA585C-C9A8-49A2-ACEA-42CFE0957DE8}"/>
    <cellStyle name="Normal 11" xfId="613" xr:uid="{893E931D-4E9C-4905-A23B-BFF0440FB9E0}"/>
    <cellStyle name="Normal 11 2" xfId="1611" xr:uid="{DE524E45-84B4-466E-9A9E-98FAF53DA18C}"/>
    <cellStyle name="Normal 12" xfId="614" xr:uid="{8AE0198E-883C-4F6F-97E3-9C75B3AE60CE}"/>
    <cellStyle name="Normal 12 2" xfId="1615" xr:uid="{5B537B38-FD59-4F6C-B84A-A1E356E858B8}"/>
    <cellStyle name="Normal 13" xfId="615" xr:uid="{643DD5FB-F07D-4293-A038-42E059C88DDB}"/>
    <cellStyle name="Normal 13 2" xfId="1610" xr:uid="{BC588223-551B-491E-B4FF-F4EDD1F4A6AB}"/>
    <cellStyle name="Normal 14" xfId="616" xr:uid="{985BC5CD-E9C0-45ED-A7A9-F3178E7A8ACE}"/>
    <cellStyle name="Normal 14 2" xfId="1581" xr:uid="{00C23F26-461F-45C3-ACBC-06EEDF191C88}"/>
    <cellStyle name="Normal 15" xfId="617" xr:uid="{746CEED5-D31C-4B5E-B01C-999F254D400E}"/>
    <cellStyle name="Normal 15 2" xfId="1580" xr:uid="{E4793A64-8823-4FC0-806B-9DBBD0F66E99}"/>
    <cellStyle name="Normal 16" xfId="618" xr:uid="{8DB39564-67F8-484F-B1B0-00D66C338C64}"/>
    <cellStyle name="Normal 16 10" xfId="1259" xr:uid="{D11C47E5-D4E7-45C3-BB82-0A752B1F0015}"/>
    <cellStyle name="Normal 16 11" xfId="1015" xr:uid="{57D040D4-503F-40A1-90CD-1615B5E01440}"/>
    <cellStyle name="Normal 16 12" xfId="1525" xr:uid="{A8C1394D-571A-4DF2-9A7A-F3A896CB1989}"/>
    <cellStyle name="Normal 16 13" xfId="1605" xr:uid="{7393DD1E-A530-4689-AEE2-1C96D163242C}"/>
    <cellStyle name="Normal 16 2" xfId="702" xr:uid="{B5CB81A1-FB5B-4416-AC23-B698BDCF35B9}"/>
    <cellStyle name="Normal 16 2 2" xfId="719" xr:uid="{5B176D0D-6DDB-4F20-AC89-9B6D4F4B0722}"/>
    <cellStyle name="Normal 16 2 2 2" xfId="756" xr:uid="{CCED57E6-7CA4-42AD-800A-C43BD096FC98}"/>
    <cellStyle name="Normal 16 2 2 2 2" xfId="911" xr:uid="{EE8A9668-9D87-4B4A-BE05-070C101A8FA1}"/>
    <cellStyle name="Normal 16 2 2 2 2 2" xfId="1242" xr:uid="{8D2422FC-6AEF-4678-A368-A8C1CFEFEE16}"/>
    <cellStyle name="Normal 16 2 2 2 2 2 2" xfId="1475" xr:uid="{4298163A-3ADA-4F1D-AC69-9D98741656A0}"/>
    <cellStyle name="Normal 16 2 2 2 2 3" xfId="1359" xr:uid="{2E131CCB-E43A-4F00-BA88-6385D22F28ED}"/>
    <cellStyle name="Normal 16 2 2 2 2 4" xfId="1123" xr:uid="{37527739-35E6-4706-BBB9-48C6880812AD}"/>
    <cellStyle name="Normal 16 2 2 2 3" xfId="981" xr:uid="{8BCD1CF9-8159-48C3-A165-AB962B87DDD7}"/>
    <cellStyle name="Normal 16 2 2 2 3 2" xfId="1419" xr:uid="{2E9F9722-3CA5-438D-8D6D-7738B0984467}"/>
    <cellStyle name="Normal 16 2 2 2 3 3" xfId="1186" xr:uid="{0E503507-8660-44E0-94C7-F4E10870FF0B}"/>
    <cellStyle name="Normal 16 2 2 2 4" xfId="1303" xr:uid="{979F8276-91F2-47BD-99EF-32588E3605B6}"/>
    <cellStyle name="Normal 16 2 2 2 5" xfId="1066" xr:uid="{86B17F5B-CA6B-4804-949E-F7C2D7ECC56E}"/>
    <cellStyle name="Normal 16 2 2 3" xfId="878" xr:uid="{6FAF650D-7924-4E92-A807-3B59CA51A462}"/>
    <cellStyle name="Normal 16 2 2 3 2" xfId="1212" xr:uid="{BB7F1923-A612-4363-8D4D-F99B8D66B336}"/>
    <cellStyle name="Normal 16 2 2 3 2 2" xfId="1445" xr:uid="{C0CB804A-C941-42EF-8135-ACB20316F4A0}"/>
    <cellStyle name="Normal 16 2 2 3 3" xfId="1329" xr:uid="{026C5EC5-B00A-428E-B16E-AF795C02B991}"/>
    <cellStyle name="Normal 16 2 2 3 4" xfId="1093" xr:uid="{4214FC4B-0897-4487-97F8-6039ABE03C3E}"/>
    <cellStyle name="Normal 16 2 2 4" xfId="951" xr:uid="{89A58685-58FB-4DDC-81B9-B8F938BFE0FA}"/>
    <cellStyle name="Normal 16 2 2 4 2" xfId="1393" xr:uid="{1005D80C-7C29-4324-AE76-4D671E24769A}"/>
    <cellStyle name="Normal 16 2 2 4 3" xfId="1160" xr:uid="{06DDA56E-8B4F-42F1-ABFE-7C780EBB1C9A}"/>
    <cellStyle name="Normal 16 2 2 5" xfId="1277" xr:uid="{EDBECFEE-4A06-4E5F-AB9B-FDDD8FB34AA6}"/>
    <cellStyle name="Normal 16 2 2 6" xfId="1040" xr:uid="{7A69416D-089B-4BE5-8DA8-8A862B132B79}"/>
    <cellStyle name="Normal 16 2 3" xfId="727" xr:uid="{8181242A-1029-403B-A479-2C6824647F65}"/>
    <cellStyle name="Normal 16 2 3 2" xfId="764" xr:uid="{78E809B7-D6B6-4C18-A303-F0AA97DDBDF7}"/>
    <cellStyle name="Normal 16 2 3 2 2" xfId="919" xr:uid="{357A0A9F-B97F-4B6F-9EBD-E523BC482569}"/>
    <cellStyle name="Normal 16 2 3 2 2 2" xfId="1250" xr:uid="{D598DA34-F80F-4574-BBC9-6E38E030DE9C}"/>
    <cellStyle name="Normal 16 2 3 2 2 2 2" xfId="1483" xr:uid="{D252604A-7F20-4973-8D31-A5183EB044BD}"/>
    <cellStyle name="Normal 16 2 3 2 2 3" xfId="1367" xr:uid="{872C178D-A946-4E4A-A209-F681FC201A68}"/>
    <cellStyle name="Normal 16 2 3 2 2 4" xfId="1131" xr:uid="{4F94F7D6-5F4C-4C58-A10F-3D93FB5A55EC}"/>
    <cellStyle name="Normal 16 2 3 2 3" xfId="989" xr:uid="{1480CC62-9DAF-46C4-AD79-E2B7813983F4}"/>
    <cellStyle name="Normal 16 2 3 2 3 2" xfId="1427" xr:uid="{EEA6FC4A-320C-474D-9ACF-041CAE492F1E}"/>
    <cellStyle name="Normal 16 2 3 2 3 3" xfId="1194" xr:uid="{5FB7FA9C-C8C8-42E6-AE95-C79E305A6BA6}"/>
    <cellStyle name="Normal 16 2 3 2 4" xfId="1311" xr:uid="{1D1584EB-8D99-4475-80BF-CA938E0FF133}"/>
    <cellStyle name="Normal 16 2 3 2 5" xfId="1074" xr:uid="{8CE72E2A-58BB-4597-B672-E5D5D011747D}"/>
    <cellStyle name="Normal 16 2 3 3" xfId="886" xr:uid="{5DA7AE01-DF8F-4A33-A683-FA46AF0BB6FF}"/>
    <cellStyle name="Normal 16 2 3 3 2" xfId="1220" xr:uid="{83029381-99CF-447A-9F99-46DD7D22EBF4}"/>
    <cellStyle name="Normal 16 2 3 3 2 2" xfId="1453" xr:uid="{C29BBBF3-C86B-464A-8894-7BD0B0CE222E}"/>
    <cellStyle name="Normal 16 2 3 3 3" xfId="1337" xr:uid="{FC98BCE8-3FCF-4A57-A930-2B978B575E32}"/>
    <cellStyle name="Normal 16 2 3 3 4" xfId="1101" xr:uid="{7C7F496A-2C9B-4DB1-9C43-F623F0CB6591}"/>
    <cellStyle name="Normal 16 2 3 4" xfId="959" xr:uid="{FDA52B70-09C9-4EA2-A9AE-07EF412D60B4}"/>
    <cellStyle name="Normal 16 2 3 4 2" xfId="1401" xr:uid="{B01EF6BA-5909-47FB-94D8-990C9F7ABCE2}"/>
    <cellStyle name="Normal 16 2 3 4 3" xfId="1168" xr:uid="{87AAA9C8-38FB-4BA1-B6D4-52E6F91A1C4C}"/>
    <cellStyle name="Normal 16 2 3 5" xfId="1285" xr:uid="{97EE116A-7435-49E1-9080-E3B0765CF90B}"/>
    <cellStyle name="Normal 16 2 3 6" xfId="1048" xr:uid="{F1C4B3D3-061F-4A83-9412-5A316539AC10}"/>
    <cellStyle name="Normal 16 2 4" xfId="748" xr:uid="{003B8D2F-52A8-48F4-9228-654CB9468373}"/>
    <cellStyle name="Normal 16 2 4 2" xfId="903" xr:uid="{72E27FE8-97D9-4F89-AE82-E538AEEA42F2}"/>
    <cellStyle name="Normal 16 2 4 2 2" xfId="1234" xr:uid="{E797BDCF-554C-47DF-99C3-F7811DA4E312}"/>
    <cellStyle name="Normal 16 2 4 2 2 2" xfId="1467" xr:uid="{8A537419-5CB5-4956-B41F-351C1B7B1E04}"/>
    <cellStyle name="Normal 16 2 4 2 3" xfId="1351" xr:uid="{4B24532C-C426-4608-99ED-8DE66DB46408}"/>
    <cellStyle name="Normal 16 2 4 2 4" xfId="1115" xr:uid="{F96E555E-18E3-48D0-A7CF-EDFFCF8B6C48}"/>
    <cellStyle name="Normal 16 2 4 3" xfId="973" xr:uid="{80BE72E1-5B95-4FF6-81A6-5C3E36BA1281}"/>
    <cellStyle name="Normal 16 2 4 3 2" xfId="1385" xr:uid="{E1836667-345E-4348-AB82-6807F54570EB}"/>
    <cellStyle name="Normal 16 2 4 3 3" xfId="1152" xr:uid="{48A3CDD0-4359-4D55-A277-EF0A326D1B73}"/>
    <cellStyle name="Normal 16 2 4 4" xfId="1269" xr:uid="{25BE4342-2353-4828-9B45-469672BDA3F8}"/>
    <cellStyle name="Normal 16 2 4 5" xfId="1032" xr:uid="{D8FEFC3C-03C0-436A-B6F0-54ABB8426012}"/>
    <cellStyle name="Normal 16 2 5" xfId="867" xr:uid="{94397E37-06A9-4C98-8C7A-3F080653F666}"/>
    <cellStyle name="Normal 16 2 5 2" xfId="1178" xr:uid="{36857F4C-D30B-45F2-A807-D90702A26108}"/>
    <cellStyle name="Normal 16 2 5 2 2" xfId="1411" xr:uid="{57D3B334-254F-4A04-B084-BF45905564AB}"/>
    <cellStyle name="Normal 16 2 5 3" xfId="1295" xr:uid="{2EB076AC-55BB-4FAD-B567-D01CF76CD668}"/>
    <cellStyle name="Normal 16 2 5 4" xfId="1058" xr:uid="{701C20DC-C784-4E88-BCFC-3A954897E3D8}"/>
    <cellStyle name="Normal 16 2 6" xfId="943" xr:uid="{EB8BF13E-CA49-442A-A21B-491C54C4EF03}"/>
    <cellStyle name="Normal 16 2 6 2" xfId="1204" xr:uid="{6CBAC271-C332-4BB7-9C98-A5674A9D977F}"/>
    <cellStyle name="Normal 16 2 6 2 2" xfId="1437" xr:uid="{58294802-60FB-4308-8041-E761EAD08C59}"/>
    <cellStyle name="Normal 16 2 6 3" xfId="1321" xr:uid="{6AB800DB-38E9-406C-A358-173ABD9F97E2}"/>
    <cellStyle name="Normal 16 2 6 4" xfId="1085" xr:uid="{0800CD92-0CED-44DA-87C1-D87CB2577BE9}"/>
    <cellStyle name="Normal 16 2 7" xfId="1145" xr:uid="{5BEA8471-93C4-4F4A-B01A-D3C2D15F52F8}"/>
    <cellStyle name="Normal 16 2 7 2" xfId="1378" xr:uid="{E286ACE1-416B-4AE7-A618-A2950CA5912D}"/>
    <cellStyle name="Normal 16 2 8" xfId="1262" xr:uid="{9667BC3C-4D98-4C69-85D7-DF0356E78227}"/>
    <cellStyle name="Normal 16 2 9" xfId="1025" xr:uid="{F6FA6B5F-B0B8-4489-A2DF-9B1AA05F7B3E}"/>
    <cellStyle name="Normal 16 3" xfId="692" xr:uid="{75AFC1AB-C96C-4A7A-B1F8-1CBE54E53C8B}"/>
    <cellStyle name="Normal 16 3 2" xfId="745" xr:uid="{7ACC2397-C183-488E-BAB0-A35AF22A0232}"/>
    <cellStyle name="Normal 16 3 2 2" xfId="900" xr:uid="{CC56C255-3000-4976-B11A-C22C6006C2BD}"/>
    <cellStyle name="Normal 16 3 2 2 2" xfId="1231" xr:uid="{9102B0EE-CEED-4C5B-85B3-5CD58E587B30}"/>
    <cellStyle name="Normal 16 3 2 2 2 2" xfId="1464" xr:uid="{FAF5085B-5263-435D-A101-F7DA350026F5}"/>
    <cellStyle name="Normal 16 3 2 2 3" xfId="1348" xr:uid="{7A3F7C50-18E7-4F81-A568-30789E504B05}"/>
    <cellStyle name="Normal 16 3 2 2 4" xfId="1112" xr:uid="{33033AB1-B54C-4D0E-A57A-B5F4EAF19085}"/>
    <cellStyle name="Normal 16 3 2 3" xfId="970" xr:uid="{592E2029-CE45-42F4-A5F0-68CB25F990C5}"/>
    <cellStyle name="Normal 16 3 2 3 2" xfId="1408" xr:uid="{D0BB00D9-8E74-4835-8172-2500BF090980}"/>
    <cellStyle name="Normal 16 3 2 3 3" xfId="1175" xr:uid="{555F11FC-0FFA-4D50-B298-0B2BD0EC417C}"/>
    <cellStyle name="Normal 16 3 2 4" xfId="1292" xr:uid="{9EB1F452-8282-42A8-A521-AED9E558438D}"/>
    <cellStyle name="Normal 16 3 2 5" xfId="1055" xr:uid="{1ECE2BC0-98B3-4C95-9627-9350827B8964}"/>
    <cellStyle name="Normal 16 3 3" xfId="861" xr:uid="{AA74D108-1E6D-4538-BBBF-22C23DEA3B92}"/>
    <cellStyle name="Normal 16 3 3 2" xfId="1201" xr:uid="{3F2079A9-ADA6-474F-8A80-5ABBBFA141E3}"/>
    <cellStyle name="Normal 16 3 3 2 2" xfId="1434" xr:uid="{3610F4DB-46A2-4A87-9212-45C779594343}"/>
    <cellStyle name="Normal 16 3 3 3" xfId="1318" xr:uid="{40650D26-9659-4451-94DE-50DDC58FA0FC}"/>
    <cellStyle name="Normal 16 3 3 4" xfId="1082" xr:uid="{112FBEDC-618C-4338-9BE5-A0890D22D505}"/>
    <cellStyle name="Normal 16 3 4" xfId="940" xr:uid="{DF1E51C7-A3C3-441D-8D06-72D100FFB01E}"/>
    <cellStyle name="Normal 16 3 4 2" xfId="1382" xr:uid="{E5702181-C0C8-4BA9-A193-592F6C671E0E}"/>
    <cellStyle name="Normal 16 3 4 3" xfId="1149" xr:uid="{2596E483-19F4-47AA-BA41-34E801339111}"/>
    <cellStyle name="Normal 16 3 5" xfId="1266" xr:uid="{D9CE3EBE-49F0-4D58-ABE3-0F7215A9BC85}"/>
    <cellStyle name="Normal 16 3 6" xfId="1029" xr:uid="{EE401F4A-9970-4582-83DC-88A28DD98B3C}"/>
    <cellStyle name="Normal 16 4" xfId="716" xr:uid="{F94CDDB1-AC0E-45C9-9E5D-42E8F8937EC7}"/>
    <cellStyle name="Normal 16 4 2" xfId="753" xr:uid="{0F30F6BB-A628-408F-AFF4-147C9727888A}"/>
    <cellStyle name="Normal 16 4 2 2" xfId="908" xr:uid="{C2B5C1E4-D43C-48E5-B24E-A5FE2C7ADE62}"/>
    <cellStyle name="Normal 16 4 2 2 2" xfId="1239" xr:uid="{CDB9DCED-6BC2-47C6-AC63-504FA1793D4C}"/>
    <cellStyle name="Normal 16 4 2 2 2 2" xfId="1472" xr:uid="{29CD4C29-E0CA-4058-A84D-BB1FE7C39A66}"/>
    <cellStyle name="Normal 16 4 2 2 3" xfId="1356" xr:uid="{22F798B6-306F-4DF2-9EDF-C39A69EF75F7}"/>
    <cellStyle name="Normal 16 4 2 2 4" xfId="1120" xr:uid="{918BAB90-6D29-492C-8E36-770CE13C6185}"/>
    <cellStyle name="Normal 16 4 2 3" xfId="978" xr:uid="{C743BE88-30B7-4A77-BFDE-0D65DA21EDF9}"/>
    <cellStyle name="Normal 16 4 2 3 2" xfId="1416" xr:uid="{07469379-CAD4-46AD-913C-9C8844F80971}"/>
    <cellStyle name="Normal 16 4 2 3 3" xfId="1183" xr:uid="{CE51430F-DE24-4741-BF15-4356FEC478DC}"/>
    <cellStyle name="Normal 16 4 2 4" xfId="1300" xr:uid="{13188033-950F-4035-9540-8F761AB2F1BB}"/>
    <cellStyle name="Normal 16 4 2 5" xfId="1063" xr:uid="{E71989F3-B066-4A3D-9A41-D6457AA038F5}"/>
    <cellStyle name="Normal 16 4 3" xfId="875" xr:uid="{6B1972C1-3BDC-4BC2-9C6C-BE908A3AFF67}"/>
    <cellStyle name="Normal 16 4 3 2" xfId="1209" xr:uid="{C2B55D3C-6699-41B9-AB15-5A45144CEFF1}"/>
    <cellStyle name="Normal 16 4 3 2 2" xfId="1442" xr:uid="{1E535E8F-931B-40A4-B39E-B787ECC9506A}"/>
    <cellStyle name="Normal 16 4 3 3" xfId="1326" xr:uid="{BE5C968D-05EC-447B-B945-E2F3CC2206BC}"/>
    <cellStyle name="Normal 16 4 3 4" xfId="1090" xr:uid="{11A2E6CB-F2E4-4E5B-928C-62F98322B322}"/>
    <cellStyle name="Normal 16 4 4" xfId="948" xr:uid="{9B328873-1806-4082-B064-C7A23B75314F}"/>
    <cellStyle name="Normal 16 4 4 2" xfId="1390" xr:uid="{7AEB1605-5FD2-4024-91D9-891CD1546843}"/>
    <cellStyle name="Normal 16 4 4 3" xfId="1157" xr:uid="{0D92C57B-0246-46A8-A079-53C6CB3C8803}"/>
    <cellStyle name="Normal 16 4 5" xfId="1274" xr:uid="{BB64F024-BAC7-44C7-B8F7-13A1FAEC51DD}"/>
    <cellStyle name="Normal 16 4 6" xfId="1037" xr:uid="{A4933E40-6FC5-405E-A940-AA6D0C52D173}"/>
    <cellStyle name="Normal 16 5" xfId="724" xr:uid="{7ABCE511-FB84-43D8-8AFF-E536CB54C775}"/>
    <cellStyle name="Normal 16 5 2" xfId="761" xr:uid="{66781CC8-3178-4CC0-9384-C80324B91394}"/>
    <cellStyle name="Normal 16 5 2 2" xfId="916" xr:uid="{3D47E10A-E3FA-4933-AF77-389A88B36C62}"/>
    <cellStyle name="Normal 16 5 2 2 2" xfId="1247" xr:uid="{9EEE97D1-8904-4026-AFCB-1AE58CA518B4}"/>
    <cellStyle name="Normal 16 5 2 2 2 2" xfId="1480" xr:uid="{65162FBC-5C17-4D71-883C-7E26DC4617E8}"/>
    <cellStyle name="Normal 16 5 2 2 3" xfId="1364" xr:uid="{ECBD7176-25D0-4351-82B7-A206A0C35428}"/>
    <cellStyle name="Normal 16 5 2 2 4" xfId="1128" xr:uid="{B0005392-6A58-4646-9B1C-DB806894FBC0}"/>
    <cellStyle name="Normal 16 5 2 3" xfId="986" xr:uid="{2E26093C-AB4E-4760-B265-60BE2F318FB5}"/>
    <cellStyle name="Normal 16 5 2 3 2" xfId="1424" xr:uid="{1C563250-2DE2-49D5-A64A-CDC7D41AE731}"/>
    <cellStyle name="Normal 16 5 2 3 3" xfId="1191" xr:uid="{81C1BDF8-F98F-4459-AC5A-02C501FB301C}"/>
    <cellStyle name="Normal 16 5 2 4" xfId="1308" xr:uid="{34855590-3299-46E8-8AEF-DB5FAFD98962}"/>
    <cellStyle name="Normal 16 5 2 5" xfId="1071" xr:uid="{9B94545B-F5F1-4BA5-87C1-5BD7763A2A19}"/>
    <cellStyle name="Normal 16 5 3" xfId="883" xr:uid="{C7BEDDA9-3EA0-4519-8044-963237B8C57F}"/>
    <cellStyle name="Normal 16 5 3 2" xfId="1217" xr:uid="{6FD1A33E-7A6D-437F-BAAE-78F5BF240666}"/>
    <cellStyle name="Normal 16 5 3 2 2" xfId="1450" xr:uid="{6A67D5BC-98E4-4E92-A4C5-4B37B80254D6}"/>
    <cellStyle name="Normal 16 5 3 3" xfId="1334" xr:uid="{1C2E214E-6433-4C88-B51A-FCCF7270D323}"/>
    <cellStyle name="Normal 16 5 3 4" xfId="1098" xr:uid="{944A7916-B300-4BE8-92A0-56F7A459E40A}"/>
    <cellStyle name="Normal 16 5 4" xfId="956" xr:uid="{0BF55E71-56B9-4AED-B999-3F4BAD64225C}"/>
    <cellStyle name="Normal 16 5 4 2" xfId="1398" xr:uid="{9372F4C0-4C76-48A7-82FA-4E4DC2B6579C}"/>
    <cellStyle name="Normal 16 5 4 3" xfId="1165" xr:uid="{B6D83829-DBBE-44A9-A070-F40F3B710B59}"/>
    <cellStyle name="Normal 16 5 5" xfId="1282" xr:uid="{C2A1EC7C-8B6D-4FB3-8405-87E4108A8508}"/>
    <cellStyle name="Normal 16 5 6" xfId="1045" xr:uid="{7F9190FF-B1C3-4A13-AC17-4E3DCC037934}"/>
    <cellStyle name="Normal 16 6" xfId="742" xr:uid="{7C4D855B-77D0-4FD9-84A4-C646DB9A1136}"/>
    <cellStyle name="Normal 16 6 2" xfId="897" xr:uid="{92B84C2B-CD15-4FAE-ABCB-7F82DE028B7F}"/>
    <cellStyle name="Normal 16 6 2 2" xfId="1229" xr:uid="{3525B0DE-9753-4275-97BD-E94095C42BDD}"/>
    <cellStyle name="Normal 16 6 2 2 2" xfId="1462" xr:uid="{483AADAC-EDAA-4729-A915-4CFD2899E48B}"/>
    <cellStyle name="Normal 16 6 2 3" xfId="1346" xr:uid="{5E032A8D-DFE9-4B53-81BB-D6592597D222}"/>
    <cellStyle name="Normal 16 6 2 4" xfId="1110" xr:uid="{ED2CFEC9-EF56-4378-9B0A-9239B876CA55}"/>
    <cellStyle name="Normal 16 6 3" xfId="968" xr:uid="{E638FDF6-C53D-4113-883F-5F6B8E25A712}"/>
    <cellStyle name="Normal 16 6 3 2" xfId="1380" xr:uid="{5B87E875-39C3-4476-BC67-131E3C1BCF5D}"/>
    <cellStyle name="Normal 16 6 3 3" xfId="1147" xr:uid="{31A7468B-9D98-4F5A-9CFD-7A85237A6C52}"/>
    <cellStyle name="Normal 16 6 4" xfId="1264" xr:uid="{9031939C-395B-46CA-AC12-69BC813952AD}"/>
    <cellStyle name="Normal 16 6 5" xfId="1027" xr:uid="{E279AB78-14E9-4C44-882F-410D7439A979}"/>
    <cellStyle name="Normal 16 7" xfId="848" xr:uid="{E5C65F03-6086-43BE-9428-3E10061B96C8}"/>
    <cellStyle name="Normal 16 7 2" xfId="1173" xr:uid="{DF7B8223-8079-4A11-AA14-B842A1AB986C}"/>
    <cellStyle name="Normal 16 7 2 2" xfId="1406" xr:uid="{5BD90DF6-C9EE-4E63-B7B5-4243D1A33C2C}"/>
    <cellStyle name="Normal 16 7 3" xfId="1290" xr:uid="{1BB29B83-1557-44DD-829F-12EC44F3FB73}"/>
    <cellStyle name="Normal 16 7 4" xfId="1053" xr:uid="{1FD5B3C2-B6E5-42B2-B381-84051E674AED}"/>
    <cellStyle name="Normal 16 8" xfId="937" xr:uid="{DF0E4876-8E87-423C-BC2F-71A503FB00BC}"/>
    <cellStyle name="Normal 16 8 2" xfId="1199" xr:uid="{E4D6D739-EACB-4E1F-94EC-CA8554E496DF}"/>
    <cellStyle name="Normal 16 8 2 2" xfId="1432" xr:uid="{39ECDD55-84A6-4955-825C-E5B06481C532}"/>
    <cellStyle name="Normal 16 8 3" xfId="1316" xr:uid="{88801C65-8F38-43C1-AA37-1BE4356B18A7}"/>
    <cellStyle name="Normal 16 8 4" xfId="1080" xr:uid="{3D817D99-C614-4377-AB8D-D9735607212A}"/>
    <cellStyle name="Normal 16 9" xfId="1140" xr:uid="{8534E94A-8D28-48DF-973A-AC8924C02445}"/>
    <cellStyle name="Normal 16 9 2" xfId="1375" xr:uid="{7EAD7DFC-98F1-4BD8-8F03-C79EDBB3DB4C}"/>
    <cellStyle name="Normal 17" xfId="619" xr:uid="{0C8ADA19-BD56-4582-8D5B-93133CD00AB2}"/>
    <cellStyle name="Normal 17 10" xfId="1260" xr:uid="{9D0FD28E-A9D9-4E0F-9A5D-B2697CB29779}"/>
    <cellStyle name="Normal 17 11" xfId="1016" xr:uid="{0E12EE3F-6CC6-4ABA-9011-C6505CBD1CB3}"/>
    <cellStyle name="Normal 17 12" xfId="1617" xr:uid="{94E3AD69-6DC5-4B2F-A52C-BADDE5888D4E}"/>
    <cellStyle name="Normal 17 2" xfId="703" xr:uid="{CFA2D5BB-9ED6-4529-AC96-8FE18C873E09}"/>
    <cellStyle name="Normal 17 2 2" xfId="720" xr:uid="{1EBE8604-2098-4E49-B17A-54E83EAC3E11}"/>
    <cellStyle name="Normal 17 2 2 2" xfId="757" xr:uid="{3DAF6FA3-C3EF-4D1F-8BE1-3263E59AC999}"/>
    <cellStyle name="Normal 17 2 2 2 2" xfId="912" xr:uid="{ACD4999E-093B-4FE1-8F29-4A2660D07D12}"/>
    <cellStyle name="Normal 17 2 2 2 2 2" xfId="1243" xr:uid="{502652A6-FAEA-4566-9776-309606FBB2D8}"/>
    <cellStyle name="Normal 17 2 2 2 2 2 2" xfId="1476" xr:uid="{75EE7E14-43D6-4A1A-BC47-72F4E2D9CE68}"/>
    <cellStyle name="Normal 17 2 2 2 2 3" xfId="1360" xr:uid="{BE93CB78-B43F-4E69-9AB5-8A9DFD95F185}"/>
    <cellStyle name="Normal 17 2 2 2 2 4" xfId="1124" xr:uid="{2DB3CD64-076E-4A80-82B3-EF8884AFB89D}"/>
    <cellStyle name="Normal 17 2 2 2 3" xfId="982" xr:uid="{B6605F7C-8B2F-4700-BB67-4306C9A47B08}"/>
    <cellStyle name="Normal 17 2 2 2 3 2" xfId="1420" xr:uid="{B79E8AF8-9E4C-4800-B097-E2D7638853F3}"/>
    <cellStyle name="Normal 17 2 2 2 3 3" xfId="1187" xr:uid="{FD380C7F-5973-4C40-8322-842654ED9E0B}"/>
    <cellStyle name="Normal 17 2 2 2 4" xfId="1304" xr:uid="{1E2B48F7-05F7-429B-9AE4-A67EB43A46A8}"/>
    <cellStyle name="Normal 17 2 2 2 5" xfId="1067" xr:uid="{402E278B-6047-48DA-A4F6-EE347BD0179D}"/>
    <cellStyle name="Normal 17 2 2 3" xfId="879" xr:uid="{05EEBCB2-86EC-4B17-83C9-DE3E35814002}"/>
    <cellStyle name="Normal 17 2 2 3 2" xfId="1213" xr:uid="{B3E7D3E9-7A9F-4382-8FB5-B95996F878C3}"/>
    <cellStyle name="Normal 17 2 2 3 2 2" xfId="1446" xr:uid="{D5A0F440-E2C1-42C3-AA08-F8C78AF7C7DD}"/>
    <cellStyle name="Normal 17 2 2 3 3" xfId="1330" xr:uid="{EFB53BCB-A63D-4239-9B75-96911782A9D1}"/>
    <cellStyle name="Normal 17 2 2 3 4" xfId="1094" xr:uid="{09291D5B-5481-449F-8581-C71B007BA015}"/>
    <cellStyle name="Normal 17 2 2 4" xfId="952" xr:uid="{8F89E512-C697-4EB4-87D5-E20F9B8BE6C5}"/>
    <cellStyle name="Normal 17 2 2 4 2" xfId="1394" xr:uid="{62905811-7623-43EC-AF28-3997FF25E1B7}"/>
    <cellStyle name="Normal 17 2 2 4 3" xfId="1161" xr:uid="{3AE1D3FA-E391-429C-90E3-243DA4DA4CD5}"/>
    <cellStyle name="Normal 17 2 2 5" xfId="1278" xr:uid="{A06D7E4B-18CC-401C-AEF8-F55BE35F20AC}"/>
    <cellStyle name="Normal 17 2 2 6" xfId="1041" xr:uid="{B0335D1D-3383-4AB6-96D4-2C6755759FB6}"/>
    <cellStyle name="Normal 17 2 3" xfId="728" xr:uid="{A5C8C1FC-D8A5-4ABB-8CDB-365D53932044}"/>
    <cellStyle name="Normal 17 2 3 2" xfId="765" xr:uid="{13DD6223-EC1E-44C1-BE8B-37BF2213068C}"/>
    <cellStyle name="Normal 17 2 3 2 2" xfId="920" xr:uid="{337F0F65-7E7A-4069-9F28-F9B76104CDC2}"/>
    <cellStyle name="Normal 17 2 3 2 2 2" xfId="1251" xr:uid="{353A8B5D-C86D-4FD6-A322-69D8086D1BFB}"/>
    <cellStyle name="Normal 17 2 3 2 2 2 2" xfId="1484" xr:uid="{E73AC069-ADB5-42A5-8BED-1D1260F38E0E}"/>
    <cellStyle name="Normal 17 2 3 2 2 3" xfId="1368" xr:uid="{6756039F-96D3-4FF1-9D9A-6916EF4C2BC6}"/>
    <cellStyle name="Normal 17 2 3 2 2 4" xfId="1132" xr:uid="{4456BF40-DE8B-4B1C-8F07-6B5E8CFBFEF9}"/>
    <cellStyle name="Normal 17 2 3 2 3" xfId="990" xr:uid="{4B4725F8-97A7-4550-A7FD-7674EE55DECC}"/>
    <cellStyle name="Normal 17 2 3 2 3 2" xfId="1428" xr:uid="{2FBD4D6E-89E2-432B-AA58-37C443125F2A}"/>
    <cellStyle name="Normal 17 2 3 2 3 3" xfId="1195" xr:uid="{F2302B83-FA35-49F4-B655-6E419E2C146C}"/>
    <cellStyle name="Normal 17 2 3 2 4" xfId="1312" xr:uid="{03BBE647-9889-45E6-8EDE-22D34B532DF4}"/>
    <cellStyle name="Normal 17 2 3 2 5" xfId="1075" xr:uid="{37D26FD2-B030-409E-BC75-B9C9BE9031CB}"/>
    <cellStyle name="Normal 17 2 3 3" xfId="887" xr:uid="{E04AE7F0-ABAA-4296-B02E-E4974C8BF1BA}"/>
    <cellStyle name="Normal 17 2 3 3 2" xfId="1221" xr:uid="{C7C0A8C4-46E2-437A-A238-16A07BA036ED}"/>
    <cellStyle name="Normal 17 2 3 3 2 2" xfId="1454" xr:uid="{610FF6C8-6014-406B-BC99-69F61A1BBAE7}"/>
    <cellStyle name="Normal 17 2 3 3 3" xfId="1338" xr:uid="{24C071E4-3A93-46B3-94AF-F09564D638C2}"/>
    <cellStyle name="Normal 17 2 3 3 4" xfId="1102" xr:uid="{6BCB2BAD-477D-4DBB-9EE6-BE5C5ED5802B}"/>
    <cellStyle name="Normal 17 2 3 4" xfId="960" xr:uid="{FB8C2E85-0E24-45B3-B267-1EEC5CA239CF}"/>
    <cellStyle name="Normal 17 2 3 4 2" xfId="1402" xr:uid="{BD38EF6A-752D-400D-BC68-CCF1F161F409}"/>
    <cellStyle name="Normal 17 2 3 4 3" xfId="1169" xr:uid="{5893B61A-AAF4-43D7-817D-BAAFB720A6EC}"/>
    <cellStyle name="Normal 17 2 3 5" xfId="1286" xr:uid="{014A2F42-A31D-488D-BC4B-F5406149A7EA}"/>
    <cellStyle name="Normal 17 2 3 6" xfId="1049" xr:uid="{88F855C4-35BA-403E-B11A-3CE533AF9D05}"/>
    <cellStyle name="Normal 17 2 4" xfId="749" xr:uid="{3620A05B-98C5-43C6-9109-9F78263B8D89}"/>
    <cellStyle name="Normal 17 2 4 2" xfId="904" xr:uid="{8FA468AB-59EE-4DBE-9073-AB6ACC11F80F}"/>
    <cellStyle name="Normal 17 2 4 2 2" xfId="1235" xr:uid="{FFC613AE-E90A-408D-AC26-98D373A92CF0}"/>
    <cellStyle name="Normal 17 2 4 2 2 2" xfId="1468" xr:uid="{F4A75714-AC0B-4520-B5EF-338128CCE0F1}"/>
    <cellStyle name="Normal 17 2 4 2 3" xfId="1352" xr:uid="{6F86C44D-248C-47A5-BF71-384E7AB9F270}"/>
    <cellStyle name="Normal 17 2 4 2 4" xfId="1116" xr:uid="{C0A56955-4A7A-43FE-A985-1A486B07AA09}"/>
    <cellStyle name="Normal 17 2 4 3" xfId="974" xr:uid="{E07C0DBA-0A41-4290-8C7D-0005CEEF785B}"/>
    <cellStyle name="Normal 17 2 4 3 2" xfId="1386" xr:uid="{BCC36A8E-574A-469C-801E-52339ADF5917}"/>
    <cellStyle name="Normal 17 2 4 3 3" xfId="1153" xr:uid="{F0987453-FE76-41F8-B449-6AAD9F2CD659}"/>
    <cellStyle name="Normal 17 2 4 4" xfId="1270" xr:uid="{9FEBB37E-357F-455A-BEF0-719929976BF5}"/>
    <cellStyle name="Normal 17 2 4 5" xfId="1033" xr:uid="{4615AA88-DC6E-4468-A058-078599A32863}"/>
    <cellStyle name="Normal 17 2 5" xfId="868" xr:uid="{DD595C49-348E-40B5-AF66-7185CB735A47}"/>
    <cellStyle name="Normal 17 2 5 2" xfId="1179" xr:uid="{85575C0E-CFFB-44B5-B935-E86718699990}"/>
    <cellStyle name="Normal 17 2 5 2 2" xfId="1412" xr:uid="{5667843E-41FE-4245-BBAC-FC7BF7B4AFB1}"/>
    <cellStyle name="Normal 17 2 5 3" xfId="1296" xr:uid="{157B2810-8A51-4642-8977-37F15DA19DEF}"/>
    <cellStyle name="Normal 17 2 5 4" xfId="1059" xr:uid="{20F594DB-88CD-46CD-BEA6-662207481C20}"/>
    <cellStyle name="Normal 17 2 6" xfId="944" xr:uid="{AA5B70BC-C7AB-4483-8E85-6EF4B06EDA7D}"/>
    <cellStyle name="Normal 17 2 6 2" xfId="1205" xr:uid="{A522744E-6128-4326-ABDE-67EDC8A47D64}"/>
    <cellStyle name="Normal 17 2 6 2 2" xfId="1438" xr:uid="{52E2928F-B969-4ECA-975A-E325E67F422E}"/>
    <cellStyle name="Normal 17 2 6 3" xfId="1322" xr:uid="{CE4E576F-6AC8-406F-AD31-EBBC5BDF9071}"/>
    <cellStyle name="Normal 17 2 6 4" xfId="1086" xr:uid="{9D5AA504-4ECE-4186-B183-083996743460}"/>
    <cellStyle name="Normal 17 2 7" xfId="1146" xr:uid="{D3EBE66E-40A4-4180-8BA8-68688CEA24BE}"/>
    <cellStyle name="Normal 17 2 7 2" xfId="1379" xr:uid="{7256A73C-A3E1-4713-8FAF-A9C3A42D5B6D}"/>
    <cellStyle name="Normal 17 2 8" xfId="1263" xr:uid="{1F819A75-CA1B-48DC-8079-05677AE1A6E4}"/>
    <cellStyle name="Normal 17 2 9" xfId="1026" xr:uid="{8F222D93-5250-4C15-A997-2EF0D52B852C}"/>
    <cellStyle name="Normal 17 3" xfId="693" xr:uid="{68935E0D-1D5C-4414-8497-28224F03542D}"/>
    <cellStyle name="Normal 17 3 2" xfId="746" xr:uid="{206CDE47-5A3E-423C-A9C3-7B81011D390F}"/>
    <cellStyle name="Normal 17 3 2 2" xfId="901" xr:uid="{4C8DF936-1C1D-4E51-B2E9-F0007B05ACA8}"/>
    <cellStyle name="Normal 17 3 2 2 2" xfId="1232" xr:uid="{8DB694D3-9CD5-4F14-AEB9-FD83367C156C}"/>
    <cellStyle name="Normal 17 3 2 2 2 2" xfId="1465" xr:uid="{42B57218-640D-48F4-975D-DBA82F606C0C}"/>
    <cellStyle name="Normal 17 3 2 2 3" xfId="1349" xr:uid="{08C15CB4-F96C-44B2-BA2F-F254F0255E97}"/>
    <cellStyle name="Normal 17 3 2 2 4" xfId="1113" xr:uid="{698B24CD-66FD-4E57-A84E-E77E663D8542}"/>
    <cellStyle name="Normal 17 3 2 3" xfId="971" xr:uid="{16E6F15B-4210-41DB-B163-B7A34BD63DEB}"/>
    <cellStyle name="Normal 17 3 2 3 2" xfId="1409" xr:uid="{B452BCB9-47C5-459F-A327-3EA043FEA36B}"/>
    <cellStyle name="Normal 17 3 2 3 3" xfId="1176" xr:uid="{ADC19205-746F-4D16-90D9-8DCF15CFD2D9}"/>
    <cellStyle name="Normal 17 3 2 4" xfId="1293" xr:uid="{847C85AA-4340-4C83-B5FC-2DC2B5EF0FBA}"/>
    <cellStyle name="Normal 17 3 2 5" xfId="1056" xr:uid="{59588DBB-D53C-422A-86E6-D973A2EFC67D}"/>
    <cellStyle name="Normal 17 3 3" xfId="862" xr:uid="{E821CCC4-2ED2-48AF-9BE5-9DEDE9BBAA13}"/>
    <cellStyle name="Normal 17 3 3 2" xfId="1202" xr:uid="{88B82FD4-9A99-49FD-B21F-689F1DF79D8C}"/>
    <cellStyle name="Normal 17 3 3 2 2" xfId="1435" xr:uid="{EF2E9229-CECC-4276-BAEE-8672D79758B7}"/>
    <cellStyle name="Normal 17 3 3 3" xfId="1319" xr:uid="{9C8A78C1-845A-4F29-AF1D-56911F602A99}"/>
    <cellStyle name="Normal 17 3 3 4" xfId="1083" xr:uid="{FB019EEA-7D0A-469F-BC6A-1285D612795D}"/>
    <cellStyle name="Normal 17 3 4" xfId="941" xr:uid="{52867957-FFF7-48B6-9B17-A989E6C8A0B2}"/>
    <cellStyle name="Normal 17 3 4 2" xfId="1383" xr:uid="{C48C4861-227D-4B95-85DE-E4C0370B926D}"/>
    <cellStyle name="Normal 17 3 4 3" xfId="1150" xr:uid="{5EFD09B4-E4D0-46F5-90C6-E375600417DC}"/>
    <cellStyle name="Normal 17 3 5" xfId="1267" xr:uid="{62979EED-BD06-46FB-9101-F36E293C0670}"/>
    <cellStyle name="Normal 17 3 6" xfId="1030" xr:uid="{6F40A419-61CA-4C7F-95CA-044B2716B425}"/>
    <cellStyle name="Normal 17 4" xfId="717" xr:uid="{35F0E75A-F324-441A-B6E2-1D0F2335A49B}"/>
    <cellStyle name="Normal 17 4 2" xfId="754" xr:uid="{25264894-6F5F-4DDE-B8F2-8D17C95AA2E7}"/>
    <cellStyle name="Normal 17 4 2 2" xfId="909" xr:uid="{8EEB88AF-EFBC-4D1C-9C5D-E3D185023C8E}"/>
    <cellStyle name="Normal 17 4 2 2 2" xfId="1240" xr:uid="{6F9D1665-4F6D-4EA6-A822-014B836AA3C7}"/>
    <cellStyle name="Normal 17 4 2 2 2 2" xfId="1473" xr:uid="{CD23C841-4A82-4FC3-803B-E1D1DAB2CD2B}"/>
    <cellStyle name="Normal 17 4 2 2 3" xfId="1357" xr:uid="{220BA773-23DF-433E-922E-C9B85B8C8E05}"/>
    <cellStyle name="Normal 17 4 2 2 4" xfId="1121" xr:uid="{865E67F9-CBCC-42D3-9CAF-E63504F7A099}"/>
    <cellStyle name="Normal 17 4 2 3" xfId="979" xr:uid="{8E203D50-73A4-4CF3-8509-EADCB9D4FC31}"/>
    <cellStyle name="Normal 17 4 2 3 2" xfId="1417" xr:uid="{86509580-1F4F-4EAE-9176-4D556341A209}"/>
    <cellStyle name="Normal 17 4 2 3 3" xfId="1184" xr:uid="{E0474D88-2F72-4786-A49E-55F57A32B388}"/>
    <cellStyle name="Normal 17 4 2 4" xfId="1301" xr:uid="{5324FA6F-2DB8-4E3B-BC31-CEEF42E0E3CB}"/>
    <cellStyle name="Normal 17 4 2 5" xfId="1064" xr:uid="{6C4E3330-023B-4453-91BA-B4B6E22DC740}"/>
    <cellStyle name="Normal 17 4 3" xfId="876" xr:uid="{1592777B-A6B4-4F98-8804-6D326395896C}"/>
    <cellStyle name="Normal 17 4 3 2" xfId="1210" xr:uid="{2FD04ACF-6506-4C5D-89DD-748D25DD653A}"/>
    <cellStyle name="Normal 17 4 3 2 2" xfId="1443" xr:uid="{2F2BCFFD-A177-4BBA-AE1F-484628EE067D}"/>
    <cellStyle name="Normal 17 4 3 3" xfId="1327" xr:uid="{42995D10-73E0-49A5-9C20-F37A7928C69F}"/>
    <cellStyle name="Normal 17 4 3 4" xfId="1091" xr:uid="{177943BF-07D7-4559-97FC-3BA18A03138C}"/>
    <cellStyle name="Normal 17 4 4" xfId="949" xr:uid="{DFC7FAE4-3643-41C2-94B8-F090B0519A05}"/>
    <cellStyle name="Normal 17 4 4 2" xfId="1391" xr:uid="{CC7678E2-BDF9-468F-BB28-05D2134E690B}"/>
    <cellStyle name="Normal 17 4 4 3" xfId="1158" xr:uid="{4F1766F4-C329-4FBB-A0C1-7155F5D19FE0}"/>
    <cellStyle name="Normal 17 4 5" xfId="1275" xr:uid="{C8534591-2672-4F75-B65B-7DD9E55B5E39}"/>
    <cellStyle name="Normal 17 4 6" xfId="1038" xr:uid="{77F65398-7BD2-4D4F-BF5A-58102FBB3652}"/>
    <cellStyle name="Normal 17 5" xfId="725" xr:uid="{A24DFF2F-6B8A-4767-997E-88A4AFDD2B85}"/>
    <cellStyle name="Normal 17 5 2" xfId="762" xr:uid="{75CF2383-B76B-4F21-8C17-A0D363E7C3DF}"/>
    <cellStyle name="Normal 17 5 2 2" xfId="917" xr:uid="{ADEBF3E4-E659-4346-8FAE-A828D31F6B43}"/>
    <cellStyle name="Normal 17 5 2 2 2" xfId="1248" xr:uid="{F57928BE-4B83-4A2E-98F1-DB72774D2E88}"/>
    <cellStyle name="Normal 17 5 2 2 2 2" xfId="1481" xr:uid="{2FAD08A2-5C61-45BE-A519-528B62B00B02}"/>
    <cellStyle name="Normal 17 5 2 2 3" xfId="1365" xr:uid="{8B81E238-58EE-45FC-87B8-4D04211DF775}"/>
    <cellStyle name="Normal 17 5 2 2 4" xfId="1129" xr:uid="{97879DD8-2561-4A7A-B6EB-E2414F87926A}"/>
    <cellStyle name="Normal 17 5 2 3" xfId="987" xr:uid="{11F9E366-F13C-4D97-AB0F-D9FB3F32ABC9}"/>
    <cellStyle name="Normal 17 5 2 3 2" xfId="1425" xr:uid="{3E928DE1-B53B-48EF-BA4E-E7A6DD4D737F}"/>
    <cellStyle name="Normal 17 5 2 3 3" xfId="1192" xr:uid="{9FEA8468-90DD-4247-89AA-16FEA54D859D}"/>
    <cellStyle name="Normal 17 5 2 4" xfId="1309" xr:uid="{B43775D6-0ED0-41A4-99D6-150F2F2CC7CB}"/>
    <cellStyle name="Normal 17 5 2 5" xfId="1072" xr:uid="{3F5DC931-95AF-40DD-91E6-BA2EDC3555A9}"/>
    <cellStyle name="Normal 17 5 3" xfId="884" xr:uid="{163864C0-9935-40BE-A215-A01A44F0F7B6}"/>
    <cellStyle name="Normal 17 5 3 2" xfId="1218" xr:uid="{5FB9DEAE-FFF5-4FD2-BAAA-4B6F35C26FE0}"/>
    <cellStyle name="Normal 17 5 3 2 2" xfId="1451" xr:uid="{DE1A967D-9801-4126-AA85-5C8D923D3368}"/>
    <cellStyle name="Normal 17 5 3 3" xfId="1335" xr:uid="{5782A3BC-0B11-47DB-A211-BA8AD8F7FA2C}"/>
    <cellStyle name="Normal 17 5 3 4" xfId="1099" xr:uid="{B7E96E4C-FB8D-4B95-A3B1-62B343EDACF1}"/>
    <cellStyle name="Normal 17 5 4" xfId="957" xr:uid="{EC4AF60B-D2FC-4643-95C3-FEDD34ED0D2F}"/>
    <cellStyle name="Normal 17 5 4 2" xfId="1399" xr:uid="{92A4151B-4D7B-4769-8D96-4EB63D0EA207}"/>
    <cellStyle name="Normal 17 5 4 3" xfId="1166" xr:uid="{067C92E1-A9CF-43C1-BD13-690C7944B320}"/>
    <cellStyle name="Normal 17 5 5" xfId="1283" xr:uid="{065AFA6A-A4F8-464A-9C88-74A22307F767}"/>
    <cellStyle name="Normal 17 5 6" xfId="1046" xr:uid="{4700386D-A247-4FD2-B19D-0B1EA4B0E255}"/>
    <cellStyle name="Normal 17 6" xfId="743" xr:uid="{A4540657-B022-4F85-AFC4-A340C870A792}"/>
    <cellStyle name="Normal 17 6 2" xfId="898" xr:uid="{7A42F428-6670-4A18-BB59-CAFEFAE0DE1A}"/>
    <cellStyle name="Normal 17 6 2 2" xfId="1230" xr:uid="{67370C1E-DAD0-487F-B6E6-B41F8D1B508C}"/>
    <cellStyle name="Normal 17 6 2 2 2" xfId="1463" xr:uid="{0CF29D3F-9D6B-4765-B508-332F6BEE3D7D}"/>
    <cellStyle name="Normal 17 6 2 3" xfId="1347" xr:uid="{1E92CFAF-5D1E-43E9-9250-8BA75DEB512A}"/>
    <cellStyle name="Normal 17 6 2 4" xfId="1111" xr:uid="{4D229EF9-1901-4FC3-865F-ABAFD90C1AA5}"/>
    <cellStyle name="Normal 17 6 3" xfId="969" xr:uid="{EE84494F-BDA9-4741-98DD-9C7ED8C29EF0}"/>
    <cellStyle name="Normal 17 6 3 2" xfId="1381" xr:uid="{5D7C942F-AA4C-4336-B1FD-810FF7D084B2}"/>
    <cellStyle name="Normal 17 6 3 3" xfId="1148" xr:uid="{42620923-1847-4C00-9464-5952F4800321}"/>
    <cellStyle name="Normal 17 6 4" xfId="1265" xr:uid="{B873A1EC-0097-40D5-83B2-AF5FC909A94A}"/>
    <cellStyle name="Normal 17 6 5" xfId="1028" xr:uid="{AC834ABA-6672-425E-9FA4-10EBC7E2196A}"/>
    <cellStyle name="Normal 17 7" xfId="849" xr:uid="{34B84DEA-A298-4EA0-A7A7-95D392CD29F1}"/>
    <cellStyle name="Normal 17 7 2" xfId="1174" xr:uid="{04B7D608-EB86-4A13-9654-42CD872B979A}"/>
    <cellStyle name="Normal 17 7 2 2" xfId="1407" xr:uid="{1956920F-67E2-4BC9-B803-A34B5EA324CA}"/>
    <cellStyle name="Normal 17 7 3" xfId="1291" xr:uid="{B5DCE034-9942-40F8-98A6-73AEE4016414}"/>
    <cellStyle name="Normal 17 7 4" xfId="1054" xr:uid="{26FCC237-0C2F-4CB3-891B-D0324D0D6621}"/>
    <cellStyle name="Normal 17 8" xfId="938" xr:uid="{863D58B4-67A7-46A3-BE9F-33041A17C191}"/>
    <cellStyle name="Normal 17 8 2" xfId="1200" xr:uid="{90782097-25FB-4664-8A77-EEB7A3B6145A}"/>
    <cellStyle name="Normal 17 8 2 2" xfId="1433" xr:uid="{1119AC7F-CA67-43C1-9456-F7C030F2D556}"/>
    <cellStyle name="Normal 17 8 3" xfId="1317" xr:uid="{C5BD4232-BB8B-4895-BB9E-4F56BDC4CF17}"/>
    <cellStyle name="Normal 17 8 4" xfId="1081" xr:uid="{3D464836-DDE2-40A4-9965-B5AB95DD4544}"/>
    <cellStyle name="Normal 17 9" xfId="1141" xr:uid="{27FF594B-3426-4334-AC30-72A95E6ED509}"/>
    <cellStyle name="Normal 17 9 2" xfId="1376" xr:uid="{B677D755-B870-4A19-9DF0-7951320D29DD}"/>
    <cellStyle name="Normal 18" xfId="620" xr:uid="{09A9475D-00B9-41C7-B868-A5CF0338B76F}"/>
    <cellStyle name="Normal 19" xfId="621" xr:uid="{B973DB66-FA23-46B4-9FF6-CA79D11B2E33}"/>
    <cellStyle name="Normal 19 2" xfId="704" xr:uid="{225131FA-D994-4E42-B7C9-15F0E63BA725}"/>
    <cellStyle name="Normal 19 3" xfId="694" xr:uid="{36CABFBA-090E-429A-8EB8-9CF02AE4E5D3}"/>
    <cellStyle name="Normal 2" xfId="4" xr:uid="{00000000-0005-0000-0000-00004A000000}"/>
    <cellStyle name="Normal 2 2" xfId="75" xr:uid="{00000000-0005-0000-0000-00004B000000}"/>
    <cellStyle name="Normal 2 2 10" xfId="705" xr:uid="{CA1BBAB5-9838-44F4-A3C7-C547B1B82236}"/>
    <cellStyle name="Normal 2 2 11" xfId="1526" xr:uid="{57271AA0-5F05-42AE-B8D2-D414B40CCC90}"/>
    <cellStyle name="Normal 2 2 2" xfId="721" xr:uid="{81119045-5A70-4725-8384-9E5E44ABD044}"/>
    <cellStyle name="Normal 2 2 2 2" xfId="758" xr:uid="{72174117-546D-4704-8FF4-6D5F2A81DA61}"/>
    <cellStyle name="Normal 2 2 2 2 2" xfId="913" xr:uid="{0C582D7A-694B-42A9-9C38-109820C7D571}"/>
    <cellStyle name="Normal 2 2 2 2 2 2" xfId="1244" xr:uid="{077F67D4-A6C7-4473-A2D1-2FA00BAB1F66}"/>
    <cellStyle name="Normal 2 2 2 2 2 2 2" xfId="1477" xr:uid="{F38D73C5-9CB3-46AE-8555-C3D428026777}"/>
    <cellStyle name="Normal 2 2 2 2 2 3" xfId="1361" xr:uid="{4BBE02DC-4C8E-41F1-9740-627396D6E249}"/>
    <cellStyle name="Normal 2 2 2 2 2 4" xfId="1125" xr:uid="{022ABC52-05D5-4556-9219-79815A02FCBB}"/>
    <cellStyle name="Normal 2 2 2 2 3" xfId="983" xr:uid="{8BE6A34C-EAF3-4C95-A4BD-FE3EF66F6588}"/>
    <cellStyle name="Normal 2 2 2 2 3 2" xfId="1421" xr:uid="{1C613E25-3945-4ED8-AF2F-7A5E9BEF855D}"/>
    <cellStyle name="Normal 2 2 2 2 3 3" xfId="1188" xr:uid="{5EABED71-0C03-45DF-9FAE-79C064ED7440}"/>
    <cellStyle name="Normal 2 2 2 2 4" xfId="1305" xr:uid="{6EE571EA-39CF-4979-8AF0-2B337C76DAFD}"/>
    <cellStyle name="Normal 2 2 2 2 5" xfId="1068" xr:uid="{A2199429-685F-4F4C-AA7D-FC1057DD5885}"/>
    <cellStyle name="Normal 2 2 2 3" xfId="880" xr:uid="{6AA8A082-7AFA-4A11-A3F6-3B5FC3B71A4F}"/>
    <cellStyle name="Normal 2 2 2 3 2" xfId="1214" xr:uid="{FAFDC8D5-1C87-419B-9E9A-E03BF6995A88}"/>
    <cellStyle name="Normal 2 2 2 3 2 2" xfId="1447" xr:uid="{7655CE8C-3B8C-44AF-9C50-EEE8829E1B66}"/>
    <cellStyle name="Normal 2 2 2 3 3" xfId="1331" xr:uid="{4674F0CB-21D6-41E7-8B82-7F0E14278A38}"/>
    <cellStyle name="Normal 2 2 2 3 4" xfId="1095" xr:uid="{DD327DFF-F19A-4E2E-BE46-8FAC7FE49EC6}"/>
    <cellStyle name="Normal 2 2 2 4" xfId="953" xr:uid="{9DBE9E37-E803-4CBA-8F1B-10E7C19DBADD}"/>
    <cellStyle name="Normal 2 2 2 4 2" xfId="1395" xr:uid="{E70F19D2-AB14-451B-B5CD-82C50138C78F}"/>
    <cellStyle name="Normal 2 2 2 4 3" xfId="1162" xr:uid="{75E2EDE9-F4BD-4E39-AD96-7762D6DB71DB}"/>
    <cellStyle name="Normal 2 2 2 5" xfId="1279" xr:uid="{3E25AA25-8913-46C9-B689-C4FA6F331DFA}"/>
    <cellStyle name="Normal 2 2 2 6" xfId="1042" xr:uid="{5916A03E-A346-4288-B952-171E8A3E873C}"/>
    <cellStyle name="Normal 2 2 3" xfId="729" xr:uid="{5BDCD611-EE52-4191-A0FF-979F64C33CE7}"/>
    <cellStyle name="Normal 2 2 3 2" xfId="766" xr:uid="{7DB5C444-4376-462B-A22B-49898CA5BAA2}"/>
    <cellStyle name="Normal 2 2 3 2 2" xfId="921" xr:uid="{971C25AF-0870-44E1-B9CD-91DB230146E1}"/>
    <cellStyle name="Normal 2 2 3 2 2 2" xfId="1252" xr:uid="{47E5B946-CB13-4F41-89B4-499E5B9ED1CB}"/>
    <cellStyle name="Normal 2 2 3 2 2 2 2" xfId="1485" xr:uid="{B39FC8D3-28A8-4C73-BE1C-E8F278F86545}"/>
    <cellStyle name="Normal 2 2 3 2 2 3" xfId="1369" xr:uid="{5A436301-99CA-4528-962C-32004EB383A5}"/>
    <cellStyle name="Normal 2 2 3 2 2 4" xfId="1133" xr:uid="{CC378B41-ECE0-4D32-A8FF-732A3010345A}"/>
    <cellStyle name="Normal 2 2 3 2 3" xfId="991" xr:uid="{3300C1A9-2DD4-45B9-933F-C71F262FEE86}"/>
    <cellStyle name="Normal 2 2 3 2 3 2" xfId="1429" xr:uid="{EFBCE65B-5044-4357-A2EE-474FF6DD7698}"/>
    <cellStyle name="Normal 2 2 3 2 3 3" xfId="1196" xr:uid="{C9E52917-7157-4F83-AC0F-2D69E873B98D}"/>
    <cellStyle name="Normal 2 2 3 2 4" xfId="1313" xr:uid="{F83E3E6B-7162-427D-A2AF-256B98FFFFD0}"/>
    <cellStyle name="Normal 2 2 3 2 5" xfId="1076" xr:uid="{89D981D5-1E03-4E3B-B829-5FD43A7CE54D}"/>
    <cellStyle name="Normal 2 2 3 3" xfId="888" xr:uid="{5C137E0E-2634-4791-A619-089A80E8A734}"/>
    <cellStyle name="Normal 2 2 3 3 2" xfId="1222" xr:uid="{D575FA7D-06C1-4407-BED9-A03937FF2D5B}"/>
    <cellStyle name="Normal 2 2 3 3 2 2" xfId="1455" xr:uid="{952CCB6E-E946-4D79-8B84-B40AE0449FB9}"/>
    <cellStyle name="Normal 2 2 3 3 3" xfId="1339" xr:uid="{98994242-29FA-4237-9FD3-6393E280C930}"/>
    <cellStyle name="Normal 2 2 3 3 4" xfId="1103" xr:uid="{D2BEC730-BEAA-4F5F-B460-7B29AB48361E}"/>
    <cellStyle name="Normal 2 2 3 4" xfId="961" xr:uid="{491A03AB-82B4-422B-88B9-9A915CD6F0FF}"/>
    <cellStyle name="Normal 2 2 3 4 2" xfId="1403" xr:uid="{852C08CE-94B0-4E50-A4F5-0ACBDFEF0CFD}"/>
    <cellStyle name="Normal 2 2 3 4 3" xfId="1170" xr:uid="{9C3885E1-066A-4562-845E-5718110E0644}"/>
    <cellStyle name="Normal 2 2 3 5" xfId="1287" xr:uid="{76B3816F-B917-4295-8E8B-EBBEDBDFF6A2}"/>
    <cellStyle name="Normal 2 2 3 6" xfId="1050" xr:uid="{8DC77C8C-D4A5-48D2-8A41-7AB28EE08B4A}"/>
    <cellStyle name="Normal 2 2 4" xfId="750" xr:uid="{D441E215-E076-49B4-AE91-D71CE69118C7}"/>
    <cellStyle name="Normal 2 2 4 2" xfId="905" xr:uid="{B4BF33B0-A35D-41DB-88A4-A40A227B8128}"/>
    <cellStyle name="Normal 2 2 4 2 2" xfId="1236" xr:uid="{FF85D3D6-7CAC-4208-AEBA-605FC2700B14}"/>
    <cellStyle name="Normal 2 2 4 2 2 2" xfId="1469" xr:uid="{94AF6012-0CEF-41C2-8823-47C2F8676E27}"/>
    <cellStyle name="Normal 2 2 4 2 3" xfId="1353" xr:uid="{F68652A5-901F-4AAF-B36B-2B435ABC6F44}"/>
    <cellStyle name="Normal 2 2 4 2 4" xfId="1117" xr:uid="{763C6FE0-4B52-4C7A-A409-5FC2C65A5ED3}"/>
    <cellStyle name="Normal 2 2 4 3" xfId="975" xr:uid="{4EFB6F37-6FD4-4E78-AF45-8E51BA63D988}"/>
    <cellStyle name="Normal 2 2 4 3 2" xfId="1387" xr:uid="{3E3AB025-2811-4579-A30B-19E844F49AC5}"/>
    <cellStyle name="Normal 2 2 4 3 3" xfId="1154" xr:uid="{049912C6-3E80-4E6B-A150-8056E204EEFB}"/>
    <cellStyle name="Normal 2 2 4 4" xfId="1271" xr:uid="{3D78D77E-9A2F-4340-999B-9F401326FC1E}"/>
    <cellStyle name="Normal 2 2 4 5" xfId="1034" xr:uid="{648A0206-8C15-4EFC-A860-CFF636B8FC17}"/>
    <cellStyle name="Normal 2 2 5" xfId="869" xr:uid="{66A3480A-78C5-453B-9F10-540DBC43B4DF}"/>
    <cellStyle name="Normal 2 2 5 2" xfId="1180" xr:uid="{9ED73892-E0E0-4EB3-8700-F0A516FF5823}"/>
    <cellStyle name="Normal 2 2 5 2 2" xfId="1413" xr:uid="{2DCDB3B5-3B99-4F1C-82C1-7DC98D0CF14D}"/>
    <cellStyle name="Normal 2 2 5 3" xfId="1297" xr:uid="{5A0D06E8-8ACC-4875-9CE9-F2268D6C6651}"/>
    <cellStyle name="Normal 2 2 5 4" xfId="1060" xr:uid="{78493F0E-4902-4231-BB33-339A7026B37C}"/>
    <cellStyle name="Normal 2 2 6" xfId="945" xr:uid="{7F6590EE-9E2B-4222-8306-2E71B8A640C0}"/>
    <cellStyle name="Normal 2 2 6 2" xfId="1206" xr:uid="{03152B51-C091-49BC-B213-1F867D9BB45F}"/>
    <cellStyle name="Normal 2 2 6 2 2" xfId="1439" xr:uid="{BD8F962C-6F0B-42C4-818A-17AEBC707021}"/>
    <cellStyle name="Normal 2 2 6 3" xfId="1323" xr:uid="{3DA4F678-1861-4B1A-A97F-1A38C0D4D346}"/>
    <cellStyle name="Normal 2 2 6 4" xfId="1087" xr:uid="{0FD44BDA-0617-474B-980A-FC4115BFCA1F}"/>
    <cellStyle name="Normal 2 2 7" xfId="1144" xr:uid="{732CB926-CA48-43D8-8ED5-1EAEEFE07A55}"/>
    <cellStyle name="Normal 2 2 7 2" xfId="1377" xr:uid="{B4B0F0D8-9DD0-4FE8-B284-B03C330BE379}"/>
    <cellStyle name="Normal 2 2 8" xfId="1261" xr:uid="{C4A2DAD3-271A-4F32-8D36-F70E6A130CDD}"/>
    <cellStyle name="Normal 2 2 9" xfId="1023" xr:uid="{5C46BC3A-8350-4893-8274-380D32A67AD3}"/>
    <cellStyle name="Normal 2 3" xfId="736" xr:uid="{5D999D92-2638-4729-98F0-A4C5158AB11A}"/>
    <cellStyle name="Normal 2 4" xfId="796" xr:uid="{2F3DBAA9-94D0-4A22-BC64-D62E21FD8832}"/>
    <cellStyle name="Normal 2 5" xfId="622" xr:uid="{52236977-69EE-43CE-978C-781C2B31DF6B}"/>
    <cellStyle name="Normal 20" xfId="623" xr:uid="{8B19251C-5490-410D-B5FC-05DDFDB381FB}"/>
    <cellStyle name="Normal 21" xfId="706" xr:uid="{73936943-F6B4-4180-94F4-96D1E1525801}"/>
    <cellStyle name="Normal 22" xfId="732" xr:uid="{ECE93BD4-AAB9-4E01-9BC8-E553EAD11CA6}"/>
    <cellStyle name="Normal 22 2" xfId="740" xr:uid="{2C19312B-F0BD-48A8-AD4A-DCE66515DB63}"/>
    <cellStyle name="Normal 22 3" xfId="891" xr:uid="{848E9D7F-F877-40AE-A485-C2398A2606A8}"/>
    <cellStyle name="Normal 22 3 2" xfId="1458" xr:uid="{C37F1FC4-C87A-445C-AFAF-EEEC874C963F}"/>
    <cellStyle name="Normal 22 3 3" xfId="1225" xr:uid="{BBAB6D9F-8302-4C91-B202-8DB48F373F08}"/>
    <cellStyle name="Normal 22 4" xfId="964" xr:uid="{E8690419-9D5D-45F4-AA2F-45398A042D5B}"/>
    <cellStyle name="Normal 22 4 2" xfId="1342" xr:uid="{557109F6-5A9B-47CC-AC61-D1B850FF4E70}"/>
    <cellStyle name="Normal 22 5" xfId="1106" xr:uid="{8760330B-4CB1-4B35-A979-FFC0CB19D8CB}"/>
    <cellStyle name="Normal 23" xfId="737" xr:uid="{D262FC73-2B79-43E0-A9A3-3B4A1830FC31}"/>
    <cellStyle name="Normal 23 2" xfId="894" xr:uid="{29E72DC0-12C2-4E8E-8A71-1B9C79159BF4}"/>
    <cellStyle name="Normal 23 2 2" xfId="1459" xr:uid="{29B7CA17-14DB-4D2A-84CD-C618F9CB2038}"/>
    <cellStyle name="Normal 23 2 3" xfId="1226" xr:uid="{065EE220-D577-49E6-BE90-5A71E2BF8A48}"/>
    <cellStyle name="Normal 23 3" xfId="965" xr:uid="{B39082DB-010D-4A23-8DE1-FBA352901F86}"/>
    <cellStyle name="Normal 23 3 2" xfId="1343" xr:uid="{B0E63C77-E165-4CE6-876C-E9C1E79155CD}"/>
    <cellStyle name="Normal 23 4" xfId="1107" xr:uid="{ACA2EA91-9CEE-4C60-A69A-050B08813299}"/>
    <cellStyle name="Normal 24" xfId="924" xr:uid="{31235064-FEE9-42F1-A8CD-4379E59DAE0B}"/>
    <cellStyle name="Normal 24 2" xfId="1138" xr:uid="{D501E2FD-CD72-4412-88EE-8F087D437134}"/>
    <cellStyle name="Normal 25" xfId="935" xr:uid="{139ABBEC-6429-4E74-9965-C58CC1601E8E}"/>
    <cellStyle name="Normal 25 2" xfId="1374" xr:uid="{A53E9708-A192-44B2-8E94-ABB8A267ED5C}"/>
    <cellStyle name="Normal 25 3" xfId="1137" xr:uid="{15A61BF5-5478-48F7-B307-4B6226F7FDED}"/>
    <cellStyle name="Normal 26" xfId="925" xr:uid="{8F86AA81-1B5B-4B8B-B2BD-5B9D903B78F6}"/>
    <cellStyle name="Normal 26 2" xfId="1256" xr:uid="{4B7D146E-FD15-47E7-BE08-3499F7960DD7}"/>
    <cellStyle name="Normal 27" xfId="931" xr:uid="{84BFC054-4661-4393-B984-77DB8F0E82AF}"/>
    <cellStyle name="Normal 28" xfId="936" xr:uid="{C800E3AB-A60F-47CA-9833-7A49F9B65DCA}"/>
    <cellStyle name="Normal 29" xfId="1006" xr:uid="{44E895C8-637A-4FCB-BE03-C15F1784E928}"/>
    <cellStyle name="Normal 3" xfId="11" xr:uid="{00000000-0005-0000-0000-00004C000000}"/>
    <cellStyle name="Normal 3 2" xfId="707" xr:uid="{D65206B1-1563-4F4F-BEFA-71E190E67CD7}"/>
    <cellStyle name="Normal 3 2 2" xfId="1585" xr:uid="{43BC6A37-160F-4BD3-98F8-B4D62D851E8F}"/>
    <cellStyle name="Normal 3 3" xfId="708" xr:uid="{9864E9AE-E37B-4FF2-A146-6D85B6CDD8FE}"/>
    <cellStyle name="Normal 3 3 2" xfId="701" xr:uid="{1D66177E-6151-41F7-B2EE-7C5EDFE1CB71}"/>
    <cellStyle name="Normal 3 3 3" xfId="1618" xr:uid="{5CF45649-4C77-457D-B31A-7562F865F1E5}"/>
    <cellStyle name="Normal 3 4" xfId="733" xr:uid="{A7A7F0F3-8B89-4D5B-99DB-883CFA1B0AB8}"/>
    <cellStyle name="Normal 3 4 2" xfId="892" xr:uid="{DE4A5A07-29E1-4A94-BFB4-D1D13D27A01E}"/>
    <cellStyle name="Normal 3 5" xfId="799" xr:uid="{D84FD27D-4F8D-4E1F-872A-4A3BD1D16E5B}"/>
    <cellStyle name="Normal 3 6" xfId="999" xr:uid="{8202992F-BAF8-44F3-8D2C-7901D2C69288}"/>
    <cellStyle name="Normal 3 7" xfId="624" xr:uid="{CCA486E0-110F-48D0-96E3-E1B5723E5A1E}"/>
    <cellStyle name="Normal 3 8" xfId="1547" xr:uid="{BB944EB7-6483-49E9-85DA-D9C3F57A3E78}"/>
    <cellStyle name="Normal 30" xfId="1002" xr:uid="{D71AAE61-B41E-4E2E-8C79-22AC7024A045}"/>
    <cellStyle name="Normal 31" xfId="1489" xr:uid="{DDBCD9E8-0303-4EEC-9B9E-5EFF33963772}"/>
    <cellStyle name="Normal 32" xfId="1000" xr:uid="{C56C40F9-D546-4507-B411-55FF0568CD46}"/>
    <cellStyle name="Normal 33" xfId="1004" xr:uid="{27E7B7E6-176C-4087-A1AF-4428A5A31B76}"/>
    <cellStyle name="Normal 34" xfId="1014" xr:uid="{D5BF7374-D31F-4352-B495-27C26D6F44DF}"/>
    <cellStyle name="Normal 35" xfId="1498" xr:uid="{64B2E403-9017-4256-8729-C5DC6166F9E7}"/>
    <cellStyle name="Normal 36" xfId="1500" xr:uid="{36AD661F-D9FA-431A-B1C6-8F3411C2B1FB}"/>
    <cellStyle name="Normal 37" xfId="1502" xr:uid="{0CDBD015-684B-4EA7-BC9C-7C9A9885E122}"/>
    <cellStyle name="Normal 38" xfId="1504" xr:uid="{A30F1ED4-9DAE-4847-AC49-35B7B94C492E}"/>
    <cellStyle name="Normal 39" xfId="1506" xr:uid="{96FFF111-080E-4963-B1EE-62224FE61868}"/>
    <cellStyle name="Normal 4" xfId="76" xr:uid="{00000000-0005-0000-0000-00004D000000}"/>
    <cellStyle name="Normal 4 2" xfId="709" xr:uid="{81E4A1C3-85D5-4122-8A76-9BB54D819642}"/>
    <cellStyle name="Normal 4 2 2" xfId="1599" xr:uid="{3D9CD546-22F8-46AE-906A-A052E50C9D65}"/>
    <cellStyle name="Normal 4 3" xfId="838" xr:uid="{F8577DCA-F3CC-455B-9CE2-FD746A551677}"/>
    <cellStyle name="Normal 4 3 2" xfId="1632" xr:uid="{59696BD0-08BF-4A00-9DE8-DAA3A1EE4D44}"/>
    <cellStyle name="Normal 4 4" xfId="625" xr:uid="{8D21A86B-11FF-4EC6-BA39-8F59D63C9E59}"/>
    <cellStyle name="Normal 4 5" xfId="1533" xr:uid="{31923F63-10F6-4C0A-AD6B-45FE62E25968}"/>
    <cellStyle name="Normal 4 6" xfId="1564" xr:uid="{3E8CC19A-597F-4F2C-A14C-222ED5FED6F2}"/>
    <cellStyle name="Normal 40" xfId="1508" xr:uid="{0678ED52-D772-40A4-A050-8422512AC453}"/>
    <cellStyle name="Normal 41" xfId="1510" xr:uid="{7DE8DAF9-80C6-450A-904E-7A79ED52CED1}"/>
    <cellStyle name="Normal 42" xfId="1512" xr:uid="{74D01AFB-BE4F-4FEF-9279-C38C89CBA31C}"/>
    <cellStyle name="Normal 43" xfId="1514" xr:uid="{F8035CA1-C432-45B1-B491-68C37027D628}"/>
    <cellStyle name="Normal 44" xfId="1516" xr:uid="{2A029B41-DE16-46A8-9636-243F012740C6}"/>
    <cellStyle name="Normal 45" xfId="1518" xr:uid="{6146693A-C26D-48DB-ABFB-A6180A76ED26}"/>
    <cellStyle name="Normal 46" xfId="1520" xr:uid="{6D70D31A-3CE0-457F-9352-EAD798906D71}"/>
    <cellStyle name="Normal 47" xfId="103" xr:uid="{07BB6707-B6DD-4770-B647-F614C56E2EBA}"/>
    <cellStyle name="Normal 48" xfId="1524" xr:uid="{0CF4069A-DC85-425D-9C92-AEC24AB13F57}"/>
    <cellStyle name="Normal 49" xfId="1535" xr:uid="{C9EAF9DB-3F77-4EE8-A0F3-CB71506A42D0}"/>
    <cellStyle name="Normal 5" xfId="77" xr:uid="{00000000-0005-0000-0000-00004E000000}"/>
    <cellStyle name="Normal 5 2" xfId="78" xr:uid="{00000000-0005-0000-0000-00004F000000}"/>
    <cellStyle name="Normal 5 2 2" xfId="1522" xr:uid="{4F6B48E3-82A2-4FB2-A4DA-88FF8A3F24DE}"/>
    <cellStyle name="Normal 5 2 2 2" xfId="1612" xr:uid="{0B6A2321-A1FC-4A78-BCD5-BD5A0CE7EB51}"/>
    <cellStyle name="Normal 5 2 3" xfId="79" xr:uid="{00000000-0005-0000-0000-000050000000}"/>
    <cellStyle name="Normal 5 2 3 2" xfId="97" xr:uid="{00000000-0005-0000-0000-000051000000}"/>
    <cellStyle name="Normal 5 2 3 3" xfId="100" xr:uid="{00000000-0005-0000-0000-000052000000}"/>
    <cellStyle name="Normal 5 2 3 3 2" xfId="1534" xr:uid="{EDE8BB89-AB18-479F-A06D-10BB1D3F4B85}"/>
    <cellStyle name="Normal 5 2 3 4" xfId="1642" xr:uid="{2E54A4A0-3ED7-4892-9BC9-153D4262FD89}"/>
    <cellStyle name="Normal 5 2 4" xfId="844" xr:uid="{E5ED4AF3-FB2C-445E-AD98-836387592AA0}"/>
    <cellStyle name="Normal 5 2 5" xfId="1577" xr:uid="{342AFFB9-C072-4776-8B05-33A2D52D4255}"/>
    <cellStyle name="Normal 5 3" xfId="840" xr:uid="{6F900A40-2CC6-4DF6-9E52-39DACFBB9333}"/>
    <cellStyle name="Normal 5 3 2" xfId="1602" xr:uid="{016B417D-6BE7-42EE-AB41-64CF17C581FC}"/>
    <cellStyle name="Normal 5 4" xfId="626" xr:uid="{1FAB166A-B1F1-49B7-9742-8EEB87263E54}"/>
    <cellStyle name="Normal 5 4 2" xfId="1635" xr:uid="{1AEFD97D-EB08-4369-87C3-D361F9435454}"/>
    <cellStyle name="Normal 5 5" xfId="1567" xr:uid="{62BBE788-3710-4EB5-8310-379D4C8E96D6}"/>
    <cellStyle name="Normal 50" xfId="1546" xr:uid="{7A973A52-FCB0-4512-B9DE-39384F1B1582}"/>
    <cellStyle name="Normal 51" xfId="1536" xr:uid="{971FB22C-377F-4E25-A099-3FC4D9A3E693}"/>
    <cellStyle name="Normal 52" xfId="1647" xr:uid="{C8DF7F4F-3DE3-44FA-98D5-0ABB0D889318}"/>
    <cellStyle name="Normal 53" xfId="1576" xr:uid="{9C6B2AEF-42CA-44CB-A0D1-6FBFAFB60886}"/>
    <cellStyle name="Normal 54" xfId="1650" xr:uid="{B323E6AB-6F97-433F-AEB2-47F72AEB8590}"/>
    <cellStyle name="Normal 6" xfId="80" xr:uid="{00000000-0005-0000-0000-000053000000}"/>
    <cellStyle name="Normal 6 2" xfId="843" xr:uid="{213AA290-D736-4DDA-A4D4-2EF27A647389}"/>
    <cellStyle name="Normal 6 2 2" xfId="1606" xr:uid="{981C84C6-DE44-4C20-92CF-FB2392451696}"/>
    <cellStyle name="Normal 6 3" xfId="627" xr:uid="{4A26A58B-7FCB-41A0-981C-8E1A21369BCB}"/>
    <cellStyle name="Normal 6 3 2" xfId="1638" xr:uid="{BBBB43E1-0D6C-404F-AE2D-BEB135A28257}"/>
    <cellStyle name="Normal 6 4" xfId="1570" xr:uid="{55488A95-04F8-42C5-A919-531BF6ADDF6F}"/>
    <cellStyle name="Normal 7" xfId="81" xr:uid="{00000000-0005-0000-0000-000054000000}"/>
    <cellStyle name="Normal 7 2" xfId="628" xr:uid="{13E091AF-29C3-4863-8FB8-0E8A765159CD}"/>
    <cellStyle name="Normal 8" xfId="101" xr:uid="{947A62E7-9B13-4125-8F42-56423315674A}"/>
    <cellStyle name="Normal 8 2" xfId="629" xr:uid="{6582A769-8B2B-4D65-B887-379AD44BDFA1}"/>
    <cellStyle name="Normal 8 3" xfId="1584" xr:uid="{73F06497-77A8-4349-9DEC-CF3147FE8E4B}"/>
    <cellStyle name="Normal 9" xfId="630" xr:uid="{1308C8C4-F275-4DBD-A9E8-E228AB03DA1C}"/>
    <cellStyle name="Normal 9 2" xfId="1582" xr:uid="{A92C3FE1-8FE0-4539-A9E7-A59774DD92C3}"/>
    <cellStyle name="Normal_OEB Trial Balance - Regulatory-July24-07" xfId="1532" xr:uid="{B1C094EE-7CC0-45F9-BC8D-EC6A7C6391A3}"/>
    <cellStyle name="Normal_Sheet2" xfId="1531" xr:uid="{A8E5E958-6B7A-43CF-A86F-E29608D46716}"/>
    <cellStyle name="Note 10" xfId="631" xr:uid="{35EB5A95-A177-4B20-9CA8-FDBCC671FD84}"/>
    <cellStyle name="Note 11" xfId="632" xr:uid="{DD8908E4-84DE-45EA-B7BC-C557752625C8}"/>
    <cellStyle name="Note 12" xfId="633" xr:uid="{68F04D36-2740-4F78-83FA-8F74E024A676}"/>
    <cellStyle name="Note 13" xfId="634" xr:uid="{5D21E44C-0A5A-42B8-93C2-5BF90A920C88}"/>
    <cellStyle name="Note 14" xfId="635" xr:uid="{647CC37C-98B8-4CEF-BCF8-D50D5CDAC4E6}"/>
    <cellStyle name="Note 15" xfId="636" xr:uid="{CADABAD8-6058-424E-B810-088BEF2266A5}"/>
    <cellStyle name="Note 16" xfId="853" xr:uid="{F0178167-BA7F-43D7-A57C-AB12C251AE24}"/>
    <cellStyle name="Note 17" xfId="1543" xr:uid="{E1653CB8-264D-4A32-8DCE-5DF1C782DAE8}"/>
    <cellStyle name="Note 18" xfId="1549" xr:uid="{DEA9A86E-F245-43FF-81DB-721FD600E8AB}"/>
    <cellStyle name="Note 2" xfId="82" xr:uid="{00000000-0005-0000-0000-000055000000}"/>
    <cellStyle name="Note 2 2" xfId="811" xr:uid="{88EE9475-8459-4E92-B64E-E25ACC6A51C7}"/>
    <cellStyle name="Note 2 2 2" xfId="1586" xr:uid="{1F85A3D8-AD6E-4049-AA4B-E30F2D26ED10}"/>
    <cellStyle name="Note 2 3" xfId="637" xr:uid="{CF50727E-2C77-407C-AC31-2D4DB5D30CFE}"/>
    <cellStyle name="Note 2 3 2" xfId="1619" xr:uid="{358680A1-CE85-4911-AF8D-F2668E0509D9}"/>
    <cellStyle name="Note 2 4" xfId="1550" xr:uid="{C93E4656-5D6E-461E-9195-344D5ED1B639}"/>
    <cellStyle name="Note 3" xfId="638" xr:uid="{19CEE5A5-BE22-42FF-910F-F069B3250C44}"/>
    <cellStyle name="Note 3 2" xfId="1583" xr:uid="{9E9807CA-B7C2-43A0-A5FA-A97763CD76DE}"/>
    <cellStyle name="Note 3 3" xfId="1649" xr:uid="{E633B5F4-851F-4DFA-94F4-BB0394006E03}"/>
    <cellStyle name="Note 4" xfId="639" xr:uid="{7AAED23A-34C0-4215-94F7-C4B1D21960EC}"/>
    <cellStyle name="Note 5" xfId="640" xr:uid="{3103A930-B420-44AE-8895-D819302C9BDA}"/>
    <cellStyle name="Note 6" xfId="641" xr:uid="{C572E38B-6B5D-494E-8559-22C9EAB31C47}"/>
    <cellStyle name="Note 7" xfId="642" xr:uid="{3E7F198A-42F7-4B61-99ED-E2D3DCC08E12}"/>
    <cellStyle name="Note 8" xfId="643" xr:uid="{25454A26-39A3-4DBB-88AA-CA12323CA64D}"/>
    <cellStyle name="Note 9" xfId="644" xr:uid="{00A3A72B-FBB4-4FAD-806E-3FCEF69DB47B}"/>
    <cellStyle name="Output 10" xfId="645" xr:uid="{948DCE6F-F3AD-49C7-90BE-C0A77BA0A473}"/>
    <cellStyle name="Output 11" xfId="646" xr:uid="{41BB4598-CBAA-49B3-BCA1-F91656EA7BA5}"/>
    <cellStyle name="Output 12" xfId="647" xr:uid="{D44A6A04-6B8C-4AC3-8451-ACF4F4536437}"/>
    <cellStyle name="Output 13" xfId="648" xr:uid="{A1C840EB-126E-476B-9DB7-9F9FD513C45C}"/>
    <cellStyle name="Output 14" xfId="649" xr:uid="{209CA6CB-EBC5-4833-A448-26231E2C1D8F}"/>
    <cellStyle name="Output 15" xfId="650" xr:uid="{E30BF09A-1449-4208-A811-33F74229B6CB}"/>
    <cellStyle name="Output 16" xfId="850" xr:uid="{09A8C6D2-A18C-40CA-ADA3-B844F231D36B}"/>
    <cellStyle name="Output 17" xfId="1544" xr:uid="{64AB2EF3-E341-4D11-9281-8032EB7008D0}"/>
    <cellStyle name="Output 18" xfId="1539" xr:uid="{C9E53BC3-C0FE-4A2A-82A1-60E937FF9C47}"/>
    <cellStyle name="Output 2" xfId="83" xr:uid="{00000000-0005-0000-0000-000056000000}"/>
    <cellStyle name="Output 2 2" xfId="806" xr:uid="{868B9F9B-667E-4F4E-AC42-FC4F489CB68D}"/>
    <cellStyle name="Output 2 3" xfId="651" xr:uid="{B5A3D20B-4584-4D4F-B9C7-E8488A6C23BE}"/>
    <cellStyle name="Output 3" xfId="652" xr:uid="{06436D1D-8BB7-4628-9EA9-12D6FC22BB0A}"/>
    <cellStyle name="Output 4" xfId="653" xr:uid="{6FD8334D-DB5B-4630-81A8-BD868D298189}"/>
    <cellStyle name="Output 5" xfId="654" xr:uid="{1D3CCAC3-AAD0-459B-B647-1D3C3BE34F01}"/>
    <cellStyle name="Output 6" xfId="655" xr:uid="{26FD6B34-F510-4192-9020-53C7C8AA0209}"/>
    <cellStyle name="Output 7" xfId="656" xr:uid="{E462345A-6513-4121-9711-FF362BF6DCF1}"/>
    <cellStyle name="Output 8" xfId="657" xr:uid="{94957617-06E5-49AE-AB00-F8F922E700A8}"/>
    <cellStyle name="Output 9" xfId="658" xr:uid="{9DC6D9F4-C9EC-4F7E-B76A-0C28FDD3DEC9}"/>
    <cellStyle name="Percent" xfId="2" builtinId="5"/>
    <cellStyle name="Percent [2]" xfId="84" xr:uid="{00000000-0005-0000-0000-000058000000}"/>
    <cellStyle name="Percent 10" xfId="932" xr:uid="{FB1570F1-7578-4FAD-BB88-C18527592552}"/>
    <cellStyle name="Percent 11" xfId="939" xr:uid="{7AE6E81E-F411-42C0-A1D6-589223235D82}"/>
    <cellStyle name="Percent 12" xfId="1017" xr:uid="{13BBC6A7-4A41-4785-B24C-CEC1AD4782DA}"/>
    <cellStyle name="Percent 13" xfId="1001" xr:uid="{11B89A78-EBF2-4925-A9DD-72416425FF84}"/>
    <cellStyle name="Percent 14" xfId="1005" xr:uid="{315724E4-062B-4765-9C10-C07216F846DA}"/>
    <cellStyle name="Percent 15" xfId="994" xr:uid="{7DB09506-9926-4C30-A23C-6154A44DC063}"/>
    <cellStyle name="Percent 16" xfId="1490" xr:uid="{C4D6394C-3D02-4661-9E8C-77AA478929E7}"/>
    <cellStyle name="Percent 17" xfId="1010" xr:uid="{1F9FB357-76B2-48C6-9E1F-444336BFB2C0}"/>
    <cellStyle name="Percent 18" xfId="1019" xr:uid="{276BE303-10C9-4C7C-AD95-CCB0C7BDCA45}"/>
    <cellStyle name="Percent 19" xfId="996" xr:uid="{5CEBFF43-1967-4B66-A658-E098DB32EC52}"/>
    <cellStyle name="Percent 2" xfId="85" xr:uid="{00000000-0005-0000-0000-000059000000}"/>
    <cellStyle name="Percent 2 2" xfId="710" xr:uid="{5F566A33-788D-4491-BA80-85773E6ABBA7}"/>
    <cellStyle name="Percent 2 2 2" xfId="722" xr:uid="{BDD03D9D-A05C-45DE-B7D8-9F969CC45511}"/>
    <cellStyle name="Percent 2 2 2 2" xfId="759" xr:uid="{7D0A15BA-9EB9-4B73-89D5-75F2F55338A9}"/>
    <cellStyle name="Percent 2 2 2 2 2" xfId="914" xr:uid="{99B3F488-4664-4E01-BFAB-C0FABD9C30A8}"/>
    <cellStyle name="Percent 2 2 2 2 2 2" xfId="1245" xr:uid="{41688BAB-4B30-4E89-969D-FD0B5B4D6AEB}"/>
    <cellStyle name="Percent 2 2 2 2 2 2 2" xfId="1478" xr:uid="{AAD5EAEB-A357-42D6-86FB-6D478523F5C3}"/>
    <cellStyle name="Percent 2 2 2 2 2 3" xfId="1362" xr:uid="{0FB9F9BB-5D75-4020-82D7-2C4364DA421F}"/>
    <cellStyle name="Percent 2 2 2 2 2 4" xfId="1126" xr:uid="{EF1AA621-7718-46D6-AC53-D2FB3F60416D}"/>
    <cellStyle name="Percent 2 2 2 2 3" xfId="984" xr:uid="{B1F05F6C-B390-40EA-B343-C566D8DD604C}"/>
    <cellStyle name="Percent 2 2 2 2 3 2" xfId="1422" xr:uid="{BBD119E7-0FC4-4E68-B34A-A90D652EEE0C}"/>
    <cellStyle name="Percent 2 2 2 2 3 3" xfId="1189" xr:uid="{6C317745-1C34-4BBA-82D2-4F24D0D8C069}"/>
    <cellStyle name="Percent 2 2 2 2 4" xfId="1306" xr:uid="{8A14BC25-43A7-47D0-8C1C-78F2081802AB}"/>
    <cellStyle name="Percent 2 2 2 2 5" xfId="1069" xr:uid="{CB0CE082-3FD8-4C7A-BC45-D657324A4C73}"/>
    <cellStyle name="Percent 2 2 2 3" xfId="881" xr:uid="{79E3FAC0-D3ED-4B7C-8C40-AAF91A32B3F2}"/>
    <cellStyle name="Percent 2 2 2 3 2" xfId="1215" xr:uid="{16D41656-864B-4625-85C3-899CC98BD310}"/>
    <cellStyle name="Percent 2 2 2 3 2 2" xfId="1448" xr:uid="{E1453BE3-5FF1-4B5C-887E-F8C2872DC576}"/>
    <cellStyle name="Percent 2 2 2 3 3" xfId="1332" xr:uid="{C36D18BC-0C1A-4676-B3D9-8FEFF81F12E3}"/>
    <cellStyle name="Percent 2 2 2 3 4" xfId="1096" xr:uid="{E9D05171-8549-4045-95DE-D2677DB08E9D}"/>
    <cellStyle name="Percent 2 2 2 4" xfId="954" xr:uid="{2BC70880-FB56-4C6D-B3C1-D1D222A4FF4B}"/>
    <cellStyle name="Percent 2 2 2 4 2" xfId="1396" xr:uid="{DE582128-E9D5-4F43-923A-E3CD7F05F6D4}"/>
    <cellStyle name="Percent 2 2 2 4 3" xfId="1163" xr:uid="{FFC31374-59B4-461A-B16A-6A38C5AF4DCB}"/>
    <cellStyle name="Percent 2 2 2 5" xfId="1280" xr:uid="{BDB68D74-C350-4EDC-A83C-9006A8FA1F85}"/>
    <cellStyle name="Percent 2 2 2 6" xfId="1043" xr:uid="{F79B9E8B-24CA-419A-A2E1-D4C5134BA55B}"/>
    <cellStyle name="Percent 2 2 3" xfId="730" xr:uid="{F32A737C-2306-44ED-9157-B3D163846A14}"/>
    <cellStyle name="Percent 2 2 3 2" xfId="767" xr:uid="{E657F6D9-E0AA-4D8B-92C4-EABED89B476E}"/>
    <cellStyle name="Percent 2 2 3 2 2" xfId="922" xr:uid="{BC6D34E9-33EF-433C-902A-20A87DE028F5}"/>
    <cellStyle name="Percent 2 2 3 2 2 2" xfId="1253" xr:uid="{DC2D2E41-3FC5-4180-B6BA-4B927EA723B8}"/>
    <cellStyle name="Percent 2 2 3 2 2 2 2" xfId="1486" xr:uid="{4B7EA963-8402-4E59-8139-012705EA26BE}"/>
    <cellStyle name="Percent 2 2 3 2 2 3" xfId="1370" xr:uid="{A1B37527-05B3-46E3-A0A4-DAC5ABBF2FBF}"/>
    <cellStyle name="Percent 2 2 3 2 2 4" xfId="1134" xr:uid="{77B232BD-EF62-4D0A-B9C3-B0DF78598044}"/>
    <cellStyle name="Percent 2 2 3 2 3" xfId="992" xr:uid="{B690CDB8-EDC9-44D9-8D4E-39F1E9A35023}"/>
    <cellStyle name="Percent 2 2 3 2 3 2" xfId="1430" xr:uid="{08EEE802-44F5-4F43-96F8-92A9476EE4D6}"/>
    <cellStyle name="Percent 2 2 3 2 3 3" xfId="1197" xr:uid="{5C1C04E1-7084-4333-910C-D20285CC2BE5}"/>
    <cellStyle name="Percent 2 2 3 2 4" xfId="1314" xr:uid="{D823029D-21EE-41FC-B92C-38976A279C31}"/>
    <cellStyle name="Percent 2 2 3 2 5" xfId="1077" xr:uid="{955D8B21-0F5E-4361-8715-390646E07FE5}"/>
    <cellStyle name="Percent 2 2 3 3" xfId="889" xr:uid="{9EF5348F-4454-449B-89AE-C2C15C4F53A9}"/>
    <cellStyle name="Percent 2 2 3 3 2" xfId="1223" xr:uid="{558A92A8-DE44-42E9-911A-14AA6455D021}"/>
    <cellStyle name="Percent 2 2 3 3 2 2" xfId="1456" xr:uid="{B97C0724-5A35-409F-846A-809D6DF8C35E}"/>
    <cellStyle name="Percent 2 2 3 3 3" xfId="1340" xr:uid="{DC1F1817-3C6B-4CEC-A655-7E63A634A07D}"/>
    <cellStyle name="Percent 2 2 3 3 4" xfId="1104" xr:uid="{D1860A29-6BD6-451F-A9B3-CEF347F16220}"/>
    <cellStyle name="Percent 2 2 3 4" xfId="962" xr:uid="{95D78603-66E8-4024-A783-3BEEEFD9FEC0}"/>
    <cellStyle name="Percent 2 2 3 4 2" xfId="1404" xr:uid="{3EAB58BA-5BA4-44A8-B4EE-E6301138CFFF}"/>
    <cellStyle name="Percent 2 2 3 4 3" xfId="1171" xr:uid="{F500D14E-AF25-4979-8E0F-8A6D777664FF}"/>
    <cellStyle name="Percent 2 2 3 5" xfId="1288" xr:uid="{6B444173-8074-4761-BC65-0A84B7BA2D3D}"/>
    <cellStyle name="Percent 2 2 3 6" xfId="1051" xr:uid="{61119096-C3F9-47C9-872A-BABE34AA5001}"/>
    <cellStyle name="Percent 2 2 4" xfId="751" xr:uid="{67C08EE6-CC85-474D-9333-46CD53D7D965}"/>
    <cellStyle name="Percent 2 2 4 2" xfId="906" xr:uid="{78D525A1-AB0A-4D6B-A580-B5C2B6A2642F}"/>
    <cellStyle name="Percent 2 2 4 2 2" xfId="1237" xr:uid="{AD0C68EA-2396-4546-802F-535480E3F6A7}"/>
    <cellStyle name="Percent 2 2 4 2 2 2" xfId="1470" xr:uid="{E39EABB1-29B7-43EA-ABBE-7A912A3DA402}"/>
    <cellStyle name="Percent 2 2 4 2 3" xfId="1354" xr:uid="{7EF0AEBC-96D9-464F-91AE-11582A21A53C}"/>
    <cellStyle name="Percent 2 2 4 2 4" xfId="1118" xr:uid="{FEA682B3-D045-43DA-8BE3-B1C208A16ED9}"/>
    <cellStyle name="Percent 2 2 4 3" xfId="976" xr:uid="{E82A8719-362B-4533-8AE7-243A3A10BCEB}"/>
    <cellStyle name="Percent 2 2 4 3 2" xfId="1414" xr:uid="{0D65EABF-9039-4F52-AAD7-86DA9F5E03E7}"/>
    <cellStyle name="Percent 2 2 4 3 3" xfId="1181" xr:uid="{2027761D-7285-42B4-8E52-FD7608B4230C}"/>
    <cellStyle name="Percent 2 2 4 4" xfId="1298" xr:uid="{3B1A5A77-BF21-48C5-B3F7-88AFD7439F34}"/>
    <cellStyle name="Percent 2 2 4 5" xfId="1061" xr:uid="{9C590336-6991-43C1-88EC-9D1707BC96EC}"/>
    <cellStyle name="Percent 2 2 5" xfId="873" xr:uid="{67F12982-8CCE-43D4-8570-78EB238B02D4}"/>
    <cellStyle name="Percent 2 2 5 2" xfId="1207" xr:uid="{24FBBF85-8E4B-4274-9838-CE4688F9E7F0}"/>
    <cellStyle name="Percent 2 2 5 2 2" xfId="1440" xr:uid="{1B8C678E-AC22-4A1F-B582-54F3A8909F73}"/>
    <cellStyle name="Percent 2 2 5 3" xfId="1324" xr:uid="{DCC78229-2BE3-40E8-84E4-1CBCF46CBB87}"/>
    <cellStyle name="Percent 2 2 5 4" xfId="1088" xr:uid="{CCBEFCB9-7912-450F-A502-47923A3928A2}"/>
    <cellStyle name="Percent 2 2 6" xfId="946" xr:uid="{9C4479DA-E787-427F-85A9-A4F58C5AAED7}"/>
    <cellStyle name="Percent 2 2 6 2" xfId="1388" xr:uid="{0668FD38-92E8-479D-86DA-C347453AA5FC}"/>
    <cellStyle name="Percent 2 2 6 3" xfId="1155" xr:uid="{C3634280-881D-4D54-AFF1-030BE9D03180}"/>
    <cellStyle name="Percent 2 2 7" xfId="1272" xr:uid="{EDC9D8FF-2B90-40E7-A280-8190504072A1}"/>
    <cellStyle name="Percent 2 2 8" xfId="1035" xr:uid="{F1CC9E9A-C24E-4D2A-AF01-744365E7B526}"/>
    <cellStyle name="Percent 2 2 9" xfId="1601" xr:uid="{11076CA7-C845-40CF-A3DC-D75A2058016F}"/>
    <cellStyle name="Percent 2 3" xfId="715" xr:uid="{957618BB-BB17-4599-B407-40F2504A0070}"/>
    <cellStyle name="Percent 2 3 2" xfId="723" xr:uid="{C334603A-CB93-4693-802B-1C5DE4FBA56B}"/>
    <cellStyle name="Percent 2 3 2 2" xfId="760" xr:uid="{3D0EB092-A6B4-4128-AF1C-12541BBD9A4F}"/>
    <cellStyle name="Percent 2 3 2 2 2" xfId="915" xr:uid="{3F02A74B-E453-40FC-9FB3-EC91A9EC293C}"/>
    <cellStyle name="Percent 2 3 2 2 2 2" xfId="1246" xr:uid="{ADE6962A-0F5E-4A0E-8526-21507C0C1CE2}"/>
    <cellStyle name="Percent 2 3 2 2 2 2 2" xfId="1479" xr:uid="{20AC5FD3-EE33-4452-B98E-610C5F113420}"/>
    <cellStyle name="Percent 2 3 2 2 2 3" xfId="1363" xr:uid="{8D03E115-34CE-4D64-93FD-487BF1B13253}"/>
    <cellStyle name="Percent 2 3 2 2 2 4" xfId="1127" xr:uid="{2FDBD90E-2E53-432D-97D4-96D689759883}"/>
    <cellStyle name="Percent 2 3 2 2 3" xfId="985" xr:uid="{BB0FB4EE-AE37-4CB9-B3E3-60A6A3E7CA87}"/>
    <cellStyle name="Percent 2 3 2 2 3 2" xfId="1423" xr:uid="{F64ED0DD-0205-438D-B588-ECE37A6A79A6}"/>
    <cellStyle name="Percent 2 3 2 2 3 3" xfId="1190" xr:uid="{45DA7050-7CA6-4E37-883F-A7FA850BCBAA}"/>
    <cellStyle name="Percent 2 3 2 2 4" xfId="1307" xr:uid="{85CC6D77-C8BF-4997-856A-36C792984BC9}"/>
    <cellStyle name="Percent 2 3 2 2 5" xfId="1070" xr:uid="{01CD960F-60E3-4B38-A068-DBECC530CCCB}"/>
    <cellStyle name="Percent 2 3 2 3" xfId="882" xr:uid="{1A56FA07-B24A-4458-ABB7-6A359A1EDDCC}"/>
    <cellStyle name="Percent 2 3 2 3 2" xfId="1216" xr:uid="{9B1E6F73-4710-4375-BD5A-EFF527D46207}"/>
    <cellStyle name="Percent 2 3 2 3 2 2" xfId="1449" xr:uid="{505B5699-6BE1-4703-A3B8-85EACD8AC3DF}"/>
    <cellStyle name="Percent 2 3 2 3 3" xfId="1333" xr:uid="{47773169-E417-4DD5-BE8E-B367EAAC66B7}"/>
    <cellStyle name="Percent 2 3 2 3 4" xfId="1097" xr:uid="{2F36AFF0-A868-453E-9820-59363BF4605B}"/>
    <cellStyle name="Percent 2 3 2 4" xfId="955" xr:uid="{85BACFE1-8D9D-4C9D-B21D-8006B00DF0A3}"/>
    <cellStyle name="Percent 2 3 2 4 2" xfId="1397" xr:uid="{DA623913-9CF7-4071-A1B8-267A5DDBF6F8}"/>
    <cellStyle name="Percent 2 3 2 4 3" xfId="1164" xr:uid="{C90ECF37-3C70-4B50-A8A5-16B86102142B}"/>
    <cellStyle name="Percent 2 3 2 5" xfId="1281" xr:uid="{7801F8DD-CD8B-4ECF-AEE1-D2B6A7D3CE61}"/>
    <cellStyle name="Percent 2 3 2 6" xfId="1044" xr:uid="{25644436-848F-4D06-8082-AC8096CEBBAB}"/>
    <cellStyle name="Percent 2 3 3" xfId="731" xr:uid="{8B53BB45-03F5-45F9-8DFF-41A7D01DF75F}"/>
    <cellStyle name="Percent 2 3 3 2" xfId="768" xr:uid="{B1C85827-EF7C-42A2-9763-9802B30DD390}"/>
    <cellStyle name="Percent 2 3 3 2 2" xfId="923" xr:uid="{484E0AE3-8EB5-4742-9CE6-D005770C2BEC}"/>
    <cellStyle name="Percent 2 3 3 2 2 2" xfId="1254" xr:uid="{5DB3A0DD-8A14-4585-A864-C6B49B4357DE}"/>
    <cellStyle name="Percent 2 3 3 2 2 2 2" xfId="1487" xr:uid="{2865ADB8-6236-479C-B012-F90D868943BE}"/>
    <cellStyle name="Percent 2 3 3 2 2 3" xfId="1371" xr:uid="{D30FF093-2737-41F8-8E8F-A19BC2F3774D}"/>
    <cellStyle name="Percent 2 3 3 2 2 4" xfId="1135" xr:uid="{CFAE250A-5ACB-45AE-800B-4ECD631A2251}"/>
    <cellStyle name="Percent 2 3 3 2 3" xfId="993" xr:uid="{1D9A29FE-9C6E-46DC-9A77-B89E3F3CBDAB}"/>
    <cellStyle name="Percent 2 3 3 2 3 2" xfId="1431" xr:uid="{010D03B1-4B47-44DA-A3AE-EB8FDDD30EC5}"/>
    <cellStyle name="Percent 2 3 3 2 3 3" xfId="1198" xr:uid="{41DCA3EF-8577-4C49-953F-C059C10267E5}"/>
    <cellStyle name="Percent 2 3 3 2 4" xfId="1315" xr:uid="{F63763CF-C887-48B4-A431-E5E833571B72}"/>
    <cellStyle name="Percent 2 3 3 2 5" xfId="1078" xr:uid="{748DDF15-5AF1-41A0-9367-3E4D45F8D759}"/>
    <cellStyle name="Percent 2 3 3 3" xfId="890" xr:uid="{1AB42011-F939-4163-8F76-49C89E7DB62C}"/>
    <cellStyle name="Percent 2 3 3 3 2" xfId="1224" xr:uid="{C677F1C4-0F2E-4219-8507-AB3DF04B2F87}"/>
    <cellStyle name="Percent 2 3 3 3 2 2" xfId="1457" xr:uid="{DCF1D279-FD00-4A7A-B071-A76E8D35B2AE}"/>
    <cellStyle name="Percent 2 3 3 3 3" xfId="1341" xr:uid="{4972E8A8-9A4C-4A17-BD8A-4949B375C5C0}"/>
    <cellStyle name="Percent 2 3 3 3 4" xfId="1105" xr:uid="{165CE284-A2FC-49C7-B2B5-59C4B3A90D7E}"/>
    <cellStyle name="Percent 2 3 3 4" xfId="963" xr:uid="{D211CE6A-38EE-4318-B1FA-11236953FD93}"/>
    <cellStyle name="Percent 2 3 3 4 2" xfId="1405" xr:uid="{1F8B2815-722A-4306-8EA5-152EC4C53F99}"/>
    <cellStyle name="Percent 2 3 3 4 3" xfId="1172" xr:uid="{9A17229A-0A23-42FB-A386-6025C0AF1AA0}"/>
    <cellStyle name="Percent 2 3 3 5" xfId="1289" xr:uid="{B69FA835-8DA6-4470-B8B5-4F2EC6C92574}"/>
    <cellStyle name="Percent 2 3 3 6" xfId="1052" xr:uid="{4229D542-344F-4FED-9745-1DCB82C2A25B}"/>
    <cellStyle name="Percent 2 3 4" xfId="752" xr:uid="{A06D54FA-1BE7-4EC7-A4CE-2E5ED86DC7F8}"/>
    <cellStyle name="Percent 2 3 4 2" xfId="907" xr:uid="{C9A63241-03B1-4A5F-B3A3-82EAB8F1E8B6}"/>
    <cellStyle name="Percent 2 3 4 2 2" xfId="1238" xr:uid="{06666921-8819-4BAD-BB2E-C28B6D172465}"/>
    <cellStyle name="Percent 2 3 4 2 2 2" xfId="1471" xr:uid="{75245791-C09F-4E64-90AF-4CC00FEAC8C5}"/>
    <cellStyle name="Percent 2 3 4 2 3" xfId="1355" xr:uid="{1753C37D-B412-4B6E-89EA-CA9A85CB8A9C}"/>
    <cellStyle name="Percent 2 3 4 2 4" xfId="1119" xr:uid="{FA2C178F-FECC-4FF1-B1CF-092C95D56237}"/>
    <cellStyle name="Percent 2 3 4 3" xfId="977" xr:uid="{15CDCB16-6A58-45E5-98A8-0FB701935A23}"/>
    <cellStyle name="Percent 2 3 4 3 2" xfId="1415" xr:uid="{40D3D8C4-31D1-4158-950F-E62F909951EC}"/>
    <cellStyle name="Percent 2 3 4 3 3" xfId="1182" xr:uid="{8BF9878D-6AD9-4640-86F8-6381C4488A5E}"/>
    <cellStyle name="Percent 2 3 4 4" xfId="1299" xr:uid="{EA845108-13B8-4213-8F1E-022A1DFBE373}"/>
    <cellStyle name="Percent 2 3 4 5" xfId="1062" xr:uid="{585185B1-1F12-41A8-8768-5FF189C2F07A}"/>
    <cellStyle name="Percent 2 3 5" xfId="874" xr:uid="{5E82E133-C67A-4986-A03F-CF24947BB3F0}"/>
    <cellStyle name="Percent 2 3 5 2" xfId="1208" xr:uid="{FD1FE9F1-D9B3-4F5A-98AC-8ABCD1A80B0C}"/>
    <cellStyle name="Percent 2 3 5 2 2" xfId="1441" xr:uid="{4382CE8D-E9E4-4259-8E9E-98D00809D4DE}"/>
    <cellStyle name="Percent 2 3 5 3" xfId="1325" xr:uid="{D6D89290-7914-4588-AA44-ED4448B728D9}"/>
    <cellStyle name="Percent 2 3 5 4" xfId="1089" xr:uid="{8F0C975D-EACE-4C08-A195-E228E14156E8}"/>
    <cellStyle name="Percent 2 3 6" xfId="947" xr:uid="{3B956D36-FB19-4557-8C02-9B43DC27B55B}"/>
    <cellStyle name="Percent 2 3 6 2" xfId="1389" xr:uid="{E2417F6D-06E6-4402-A2F3-3C36E3214CEE}"/>
    <cellStyle name="Percent 2 3 6 3" xfId="1156" xr:uid="{BD8B0B01-D36E-4B3B-BCF0-186DC0A359ED}"/>
    <cellStyle name="Percent 2 3 7" xfId="1273" xr:uid="{1E4F2552-9B0C-4E02-AD0B-3FA68BA722F5}"/>
    <cellStyle name="Percent 2 3 8" xfId="1036" xr:uid="{504F4993-2E2D-41CB-A02A-94ACD62B22AD}"/>
    <cellStyle name="Percent 2 3 9" xfId="1634" xr:uid="{328C826B-3EE9-4765-A4C9-86C8DA2B2B26}"/>
    <cellStyle name="Percent 2 4" xfId="1491" xr:uid="{63A4295F-CB30-4A18-B766-1E2FF7F4C0D1}"/>
    <cellStyle name="Percent 2 5" xfId="660" xr:uid="{4942AEF8-1E46-4CCB-B071-0521E2369A69}"/>
    <cellStyle name="Percent 2 6" xfId="1566" xr:uid="{ED940744-9E62-4A76-A09E-3BCDC8013F72}"/>
    <cellStyle name="Percent 20" xfId="995" xr:uid="{88286FDA-7BF1-4A87-994E-478ECAFFCA49}"/>
    <cellStyle name="Percent 21" xfId="997" xr:uid="{DF070F17-16A0-4CF6-8DC2-A1F7AEF91A35}"/>
    <cellStyle name="Percent 22" xfId="1008" xr:uid="{072A6A8E-01B0-4277-9BF1-06FF2876414E}"/>
    <cellStyle name="Percent 23" xfId="1492" xr:uid="{59092509-D486-4035-A998-EF1E88800E41}"/>
    <cellStyle name="Percent 24" xfId="1011" xr:uid="{E2BF0BF1-3FF5-4A5B-B1B1-5DE1DD784078}"/>
    <cellStyle name="Percent 25" xfId="1494" xr:uid="{0ADD595E-96F4-45BC-9CFA-23D5819380C5}"/>
    <cellStyle name="Percent 26" xfId="1021" xr:uid="{152B16FB-9AAC-47DA-BB25-B6E03715D3AB}"/>
    <cellStyle name="Percent 27" xfId="998" xr:uid="{B053958A-9854-45B4-932F-35BD075BE6CC}"/>
    <cellStyle name="Percent 28" xfId="1007" xr:uid="{CA176766-B462-4A0E-8185-4B333BBC4162}"/>
    <cellStyle name="Percent 29" xfId="1496" xr:uid="{E80A7E8B-47C6-4E4B-AF4D-7F99345B9FDD}"/>
    <cellStyle name="Percent 3" xfId="86" xr:uid="{00000000-0005-0000-0000-00005A000000}"/>
    <cellStyle name="Percent 3 2" xfId="87" xr:uid="{00000000-0005-0000-0000-00005B000000}"/>
    <cellStyle name="Percent 3 2 2" xfId="846" xr:uid="{3040551E-A83F-4526-9243-69DD6D01574C}"/>
    <cellStyle name="Percent 3 2 2 2" xfId="1614" xr:uid="{CE8721E5-7D04-4B51-A390-52D49BD5D2E9}"/>
    <cellStyle name="Percent 3 2 3" xfId="99" xr:uid="{00000000-0005-0000-0000-00005C000000}"/>
    <cellStyle name="Percent 3 2 3 2" xfId="1644" xr:uid="{C7B43141-A610-4E55-81D9-4A9C57B8E057}"/>
    <cellStyle name="Percent 3 2 4" xfId="711" xr:uid="{CFAB68E3-4DA1-4B36-806A-2EF59B608AF7}"/>
    <cellStyle name="Percent 3 2 5" xfId="1579" xr:uid="{9662C7D4-AD5C-4DD7-B4E7-A0AB5F3E568A}"/>
    <cellStyle name="Percent 3 3" xfId="735" xr:uid="{B1055DFC-E471-4EEA-9D50-1A88F26CD4BA}"/>
    <cellStyle name="Percent 3 3 2" xfId="1604" xr:uid="{57305F4D-EDB2-4D36-8225-FA5A165900D4}"/>
    <cellStyle name="Percent 3 4" xfId="842" xr:uid="{18429C23-B04A-4925-B20D-809EF7B2CD13}"/>
    <cellStyle name="Percent 3 4 2" xfId="1637" xr:uid="{1DDF8FEE-45D4-4CB0-AB31-1185FCC7F460}"/>
    <cellStyle name="Percent 3 5" xfId="661" xr:uid="{4A961E52-7858-4D07-90B6-5933D4465ABC}"/>
    <cellStyle name="Percent 3 6" xfId="1569" xr:uid="{70458123-3BD2-4E89-975D-DB9530A3D3BE}"/>
    <cellStyle name="Percent 30" xfId="1018" xr:uid="{F10D3621-BAA6-4330-8044-79E95329A343}"/>
    <cellStyle name="Percent 31" xfId="1020" xr:uid="{3E4921C8-B9E3-47DF-8C3B-46F7F146FFFC}"/>
    <cellStyle name="Percent 32" xfId="1009" xr:uid="{9617C96B-923A-46D2-BD6C-665997BF16C1}"/>
    <cellStyle name="Percent 33" xfId="1495" xr:uid="{BDCA4C26-8227-48E4-8115-35D488F4B99B}"/>
    <cellStyle name="Percent 34" xfId="1003" xr:uid="{60C11D62-61CC-45E3-9415-54E833E12B30}"/>
    <cellStyle name="Percent 35" xfId="1493" xr:uid="{DC2BAC89-00D5-4A3B-B29A-B39718E8F0C6}"/>
    <cellStyle name="Percent 36" xfId="1497" xr:uid="{02F7BAE4-5DEA-494F-9256-E9442B1864E3}"/>
    <cellStyle name="Percent 37" xfId="1499" xr:uid="{C81CE211-9D11-4567-9F40-51E90814147B}"/>
    <cellStyle name="Percent 38" xfId="1501" xr:uid="{68B9045E-FE4E-45DA-8A94-460D0B107C41}"/>
    <cellStyle name="Percent 39" xfId="1503" xr:uid="{BBB9BA4E-CEBE-4741-8055-9095E4630484}"/>
    <cellStyle name="Percent 4" xfId="88" xr:uid="{00000000-0005-0000-0000-00005D000000}"/>
    <cellStyle name="Percent 4 2" xfId="864" xr:uid="{C729B1F8-E543-471E-8920-B5EFAA934FCB}"/>
    <cellStyle name="Percent 4 2 2" xfId="1607" xr:uid="{FC82A935-AE04-4B1B-B96C-D26214972BFC}"/>
    <cellStyle name="Percent 4 3" xfId="712" xr:uid="{55D2CD74-19FC-40BE-B10B-80E3CC32F985}"/>
    <cellStyle name="Percent 4 3 2" xfId="1639" xr:uid="{E466A553-F57C-4915-B33E-AC2031F53E0C}"/>
    <cellStyle name="Percent 4 4" xfId="1571" xr:uid="{8C18DBF0-E732-42B7-98C6-0B0E42ADB1FD}"/>
    <cellStyle name="Percent 40" xfId="1505" xr:uid="{6186B9CC-7DF7-4DE1-B26B-37F54E2FE527}"/>
    <cellStyle name="Percent 41" xfId="1507" xr:uid="{C3FE416F-455E-427D-BF1E-166A567ACECC}"/>
    <cellStyle name="Percent 42" xfId="1509" xr:uid="{17975B7A-5585-4B35-AD6C-A95C737F6F36}"/>
    <cellStyle name="Percent 43" xfId="1511" xr:uid="{ED3CC2E2-376F-4E95-B580-3998411C884D}"/>
    <cellStyle name="Percent 44" xfId="1513" xr:uid="{7E48C945-A29D-45B4-8D15-6B4E5E396A36}"/>
    <cellStyle name="Percent 45" xfId="1515" xr:uid="{8AA11831-538B-4C4C-8842-9B72706654B5}"/>
    <cellStyle name="Percent 46" xfId="1517" xr:uid="{A02A0402-8161-4A49-9DC6-0D06618F876A}"/>
    <cellStyle name="Percent 47" xfId="1519" xr:uid="{A6709786-5F9B-4B09-B051-65D55B309133}"/>
    <cellStyle name="Percent 48" xfId="1521" xr:uid="{23263B67-DA48-4959-A266-D04B85B13A50}"/>
    <cellStyle name="Percent 49" xfId="659" xr:uid="{A9361BA9-887F-4091-9842-A632E38243DD}"/>
    <cellStyle name="Percent 5" xfId="89" xr:uid="{00000000-0005-0000-0000-00005E000000}"/>
    <cellStyle name="Percent 5 2" xfId="744" xr:uid="{C51EA53D-BD39-4949-B029-F588B38C9096}"/>
    <cellStyle name="Percent 6" xfId="739" xr:uid="{00E4EDF4-04AE-4A8A-A445-3F1770962B6D}"/>
    <cellStyle name="Percent 6 2" xfId="896" xr:uid="{133A4BC4-9BF1-4B85-9B40-BC456A15AB6C}"/>
    <cellStyle name="Percent 6 2 2" xfId="1461" xr:uid="{E3077FF0-236A-462E-A858-57FA2C3BC860}"/>
    <cellStyle name="Percent 6 2 3" xfId="1228" xr:uid="{A7EDCDC1-20D6-435E-870C-68C5F715E7C6}"/>
    <cellStyle name="Percent 6 3" xfId="967" xr:uid="{89B06886-1275-4116-8A5C-BAE4447F47F1}"/>
    <cellStyle name="Percent 6 3 2" xfId="1345" xr:uid="{D312287E-6135-4A4E-B1DC-83B1838D1694}"/>
    <cellStyle name="Percent 6 4" xfId="1109" xr:uid="{38ECC924-6877-4C16-8D0F-B18EF5D0A5CC}"/>
    <cellStyle name="Percent 7" xfId="929" xr:uid="{E3721F02-5F4C-4E9C-9734-E0FFFDC69449}"/>
    <cellStyle name="Percent 7 2" xfId="1142" xr:uid="{06CD519F-2993-4E2E-BEEC-92D8F5DA0F5F}"/>
    <cellStyle name="Percent 8" xfId="930" xr:uid="{B03B89C8-5F04-4F53-8156-073A14975EDC}"/>
    <cellStyle name="Percent 8 2" xfId="1258" xr:uid="{757B7B4C-F691-4D83-BEE6-CC035DAC7294}"/>
    <cellStyle name="Percent 9" xfId="933" xr:uid="{9A749FCD-075B-4097-874D-65B6CE283A39}"/>
    <cellStyle name="Style 23" xfId="3" xr:uid="{00000000-0005-0000-0000-00005F000000}"/>
    <cellStyle name="Style 23 2" xfId="714" xr:uid="{58BF3198-1938-4CE3-8788-C79370C43328}"/>
    <cellStyle name="Style 23 3" xfId="713" xr:uid="{7D65EC76-69C8-40B7-9320-37CD6834A8FC}"/>
    <cellStyle name="STYLE1" xfId="90" xr:uid="{00000000-0005-0000-0000-000060000000}"/>
    <cellStyle name="STYLE2" xfId="91" xr:uid="{00000000-0005-0000-0000-000061000000}"/>
    <cellStyle name="STYLE4" xfId="92" xr:uid="{00000000-0005-0000-0000-000062000000}"/>
    <cellStyle name="Subtotal" xfId="93" xr:uid="{00000000-0005-0000-0000-000063000000}"/>
    <cellStyle name="Title 2" xfId="94" xr:uid="{00000000-0005-0000-0000-000064000000}"/>
    <cellStyle name="Title 2 2" xfId="1022" xr:uid="{0CB3792D-C93A-46FD-BA8F-B2566CC7F30E}"/>
    <cellStyle name="Title 3" xfId="793" xr:uid="{00A40A86-F2D4-46E7-BC07-5190D5DAED0C}"/>
    <cellStyle name="Total 10" xfId="662" xr:uid="{B8C97E61-A9F6-4417-B045-67D836D6A9E9}"/>
    <cellStyle name="Total 11" xfId="663" xr:uid="{4AFD8423-901D-4C1F-9483-BFF2E575BAF2}"/>
    <cellStyle name="Total 12" xfId="664" xr:uid="{03F47C12-3FB6-4CC5-8599-93F0CE2E6212}"/>
    <cellStyle name="Total 13" xfId="665" xr:uid="{40376B34-1598-432D-849E-19D337D84FAB}"/>
    <cellStyle name="Total 14" xfId="666" xr:uid="{E0EC608F-D44D-4DA9-8508-F7B07A6D62C3}"/>
    <cellStyle name="Total 15" xfId="667" xr:uid="{47B510AC-5742-44FB-8E21-028FBFA1CE2D}"/>
    <cellStyle name="Total 16" xfId="794" xr:uid="{0AD3E2A5-2193-4C63-B928-834750545801}"/>
    <cellStyle name="Total 17" xfId="1545" xr:uid="{3EC4D3CD-718E-41FA-9386-6749F39F03AD}"/>
    <cellStyle name="Total 18" xfId="1537" xr:uid="{CF971472-34CA-4B8A-B909-EA590493A870}"/>
    <cellStyle name="Total 2" xfId="95" xr:uid="{00000000-0005-0000-0000-000065000000}"/>
    <cellStyle name="Total 2 2" xfId="813" xr:uid="{28FAF2D3-4A09-434B-BD0C-CA27F6C494BC}"/>
    <cellStyle name="Total 2 3" xfId="668" xr:uid="{EC04D9DC-5173-4E4A-A489-F66F37367CE0}"/>
    <cellStyle name="Total 3" xfId="669" xr:uid="{BD127B31-8186-4B6D-8D0E-706E3F42F845}"/>
    <cellStyle name="Total 4" xfId="670" xr:uid="{A4DD1224-D6AA-40BD-806E-86C4453F2752}"/>
    <cellStyle name="Total 5" xfId="671" xr:uid="{EAE319E5-2D49-4304-92BB-167E6B681D0C}"/>
    <cellStyle name="Total 6" xfId="672" xr:uid="{A15C169C-84D9-47ED-8D17-D0385D36B226}"/>
    <cellStyle name="Total 7" xfId="673" xr:uid="{001D1633-CA86-4CA9-A6F6-68C601CA5879}"/>
    <cellStyle name="Total 8" xfId="674" xr:uid="{218F9980-F3A4-458A-9A94-FAE3D15DAB05}"/>
    <cellStyle name="Total 9" xfId="675" xr:uid="{B0DC51FE-90E2-46C3-9684-9FBDAA24DFF5}"/>
    <cellStyle name="Warning Text 10" xfId="676" xr:uid="{9D27EA6C-1766-4A37-B121-CA1B3ECB5E10}"/>
    <cellStyle name="Warning Text 11" xfId="677" xr:uid="{96E5491B-6C27-43BA-8188-BF6514EAF449}"/>
    <cellStyle name="Warning Text 12" xfId="678" xr:uid="{B9487338-0B7E-406F-913B-9087095D8D55}"/>
    <cellStyle name="Warning Text 13" xfId="679" xr:uid="{C4D2BB42-FB9F-4845-8E8F-6C5172FFC117}"/>
    <cellStyle name="Warning Text 14" xfId="680" xr:uid="{61778BEC-7724-4B4C-87C2-D72F67BE4508}"/>
    <cellStyle name="Warning Text 15" xfId="681" xr:uid="{2851631C-9765-4B86-B376-AEA1567F9E81}"/>
    <cellStyle name="Warning Text 16" xfId="795" xr:uid="{733EE28F-3587-4E0F-8BFA-69D5A0401452}"/>
    <cellStyle name="Warning Text 2" xfId="96" xr:uid="{00000000-0005-0000-0000-000066000000}"/>
    <cellStyle name="Warning Text 2 2" xfId="810" xr:uid="{2B837EDB-828B-4983-B609-910661F9A201}"/>
    <cellStyle name="Warning Text 2 3" xfId="682" xr:uid="{5B3BC198-7405-44C4-9AC4-99FF46EBC9BD}"/>
    <cellStyle name="Warning Text 3" xfId="683" xr:uid="{A5BA6059-1DE1-47EF-A0D4-B76430AED1F7}"/>
    <cellStyle name="Warning Text 4" xfId="684" xr:uid="{7F31B44A-BE13-4D1F-85C8-5DFE23E7654B}"/>
    <cellStyle name="Warning Text 5" xfId="685" xr:uid="{968A673C-2DBC-4706-B115-EB4C7B1B7AF0}"/>
    <cellStyle name="Warning Text 6" xfId="686" xr:uid="{3B092DE0-F827-405B-90DE-31D01E1505C0}"/>
    <cellStyle name="Warning Text 7" xfId="687" xr:uid="{BDED9789-8E45-4E4A-AD10-EB0825BE44E9}"/>
    <cellStyle name="Warning Text 8" xfId="688" xr:uid="{0708A765-B026-48C5-AF8A-0EAAC65DA0A0}"/>
    <cellStyle name="Warning Text 9" xfId="689" xr:uid="{9C40819F-8CFD-4A5D-B22B-6FD37B9AECC8}"/>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E48C7-0D84-45B0-AD93-DD34214F110A}">
  <dimension ref="A2:XEW540"/>
  <sheetViews>
    <sheetView topLeftCell="A358" zoomScale="110" zoomScaleNormal="110" workbookViewId="0">
      <selection activeCell="L422" sqref="L422"/>
    </sheetView>
  </sheetViews>
  <sheetFormatPr defaultRowHeight="12.75" x14ac:dyDescent="0.2"/>
  <cols>
    <col min="1" max="1" width="18.85546875" style="82" customWidth="1"/>
    <col min="2" max="6" width="13" style="82" customWidth="1"/>
    <col min="7" max="7" width="13.5703125" style="82" customWidth="1"/>
    <col min="8" max="8" width="14.28515625" style="82" customWidth="1"/>
    <col min="9" max="10" width="12" style="82" customWidth="1"/>
    <col min="11" max="11" width="12.7109375" style="82" customWidth="1"/>
    <col min="12" max="12" width="12" style="82" customWidth="1"/>
    <col min="13" max="15" width="14.85546875" style="82" customWidth="1"/>
    <col min="16" max="16" width="37.5703125" style="82" customWidth="1"/>
    <col min="17" max="26" width="12.42578125" style="82" customWidth="1"/>
    <col min="27" max="27" width="30.85546875" style="82" customWidth="1"/>
    <col min="28" max="29" width="9.140625" style="82"/>
    <col min="30" max="30" width="6.140625" style="82" customWidth="1"/>
    <col min="31" max="31" width="11.28515625" style="82" customWidth="1"/>
    <col min="32" max="34" width="11.140625" style="82" bestFit="1" customWidth="1"/>
    <col min="35" max="35" width="9.5703125" style="82" customWidth="1"/>
    <col min="36" max="38" width="9" style="82" bestFit="1" customWidth="1"/>
    <col min="39" max="255" width="9.140625" style="82"/>
    <col min="256" max="256" width="26.85546875" style="82" customWidth="1"/>
    <col min="257" max="257" width="0" style="82" hidden="1" customWidth="1"/>
    <col min="258" max="258" width="12.42578125" style="82" customWidth="1"/>
    <col min="259" max="260" width="11.140625" style="82" customWidth="1"/>
    <col min="261" max="261" width="12.140625" style="82" customWidth="1"/>
    <col min="262" max="262" width="14" style="82" customWidth="1"/>
    <col min="263" max="263" width="12.5703125" style="82" customWidth="1"/>
    <col min="264" max="265" width="13.140625" style="82" customWidth="1"/>
    <col min="266" max="267" width="9.140625" style="82"/>
    <col min="268" max="268" width="11" style="82" customWidth="1"/>
    <col min="269" max="511" width="9.140625" style="82"/>
    <col min="512" max="512" width="26.85546875" style="82" customWidth="1"/>
    <col min="513" max="513" width="0" style="82" hidden="1" customWidth="1"/>
    <col min="514" max="514" width="12.42578125" style="82" customWidth="1"/>
    <col min="515" max="516" width="11.140625" style="82" customWidth="1"/>
    <col min="517" max="517" width="12.140625" style="82" customWidth="1"/>
    <col min="518" max="518" width="14" style="82" customWidth="1"/>
    <col min="519" max="519" width="12.5703125" style="82" customWidth="1"/>
    <col min="520" max="521" width="13.140625" style="82" customWidth="1"/>
    <col min="522" max="523" width="9.140625" style="82"/>
    <col min="524" max="524" width="11" style="82" customWidth="1"/>
    <col min="525" max="767" width="9.140625" style="82"/>
    <col min="768" max="768" width="26.85546875" style="82" customWidth="1"/>
    <col min="769" max="769" width="0" style="82" hidden="1" customWidth="1"/>
    <col min="770" max="770" width="12.42578125" style="82" customWidth="1"/>
    <col min="771" max="772" width="11.140625" style="82" customWidth="1"/>
    <col min="773" max="773" width="12.140625" style="82" customWidth="1"/>
    <col min="774" max="774" width="14" style="82" customWidth="1"/>
    <col min="775" max="775" width="12.5703125" style="82" customWidth="1"/>
    <col min="776" max="777" width="13.140625" style="82" customWidth="1"/>
    <col min="778" max="779" width="9.140625" style="82"/>
    <col min="780" max="780" width="11" style="82" customWidth="1"/>
    <col min="781" max="1023" width="9.140625" style="82"/>
    <col min="1024" max="1024" width="26.85546875" style="82" customWidth="1"/>
    <col min="1025" max="1025" width="0" style="82" hidden="1" customWidth="1"/>
    <col min="1026" max="1026" width="12.42578125" style="82" customWidth="1"/>
    <col min="1027" max="1028" width="11.140625" style="82" customWidth="1"/>
    <col min="1029" max="1029" width="12.140625" style="82" customWidth="1"/>
    <col min="1030" max="1030" width="14" style="82" customWidth="1"/>
    <col min="1031" max="1031" width="12.5703125" style="82" customWidth="1"/>
    <col min="1032" max="1033" width="13.140625" style="82" customWidth="1"/>
    <col min="1034" max="1035" width="9.140625" style="82"/>
    <col min="1036" max="1036" width="11" style="82" customWidth="1"/>
    <col min="1037" max="1279" width="9.140625" style="82"/>
    <col min="1280" max="1280" width="26.85546875" style="82" customWidth="1"/>
    <col min="1281" max="1281" width="0" style="82" hidden="1" customWidth="1"/>
    <col min="1282" max="1282" width="12.42578125" style="82" customWidth="1"/>
    <col min="1283" max="1284" width="11.140625" style="82" customWidth="1"/>
    <col min="1285" max="1285" width="12.140625" style="82" customWidth="1"/>
    <col min="1286" max="1286" width="14" style="82" customWidth="1"/>
    <col min="1287" max="1287" width="12.5703125" style="82" customWidth="1"/>
    <col min="1288" max="1289" width="13.140625" style="82" customWidth="1"/>
    <col min="1290" max="1291" width="9.140625" style="82"/>
    <col min="1292" max="1292" width="11" style="82" customWidth="1"/>
    <col min="1293" max="1535" width="9.140625" style="82"/>
    <col min="1536" max="1536" width="26.85546875" style="82" customWidth="1"/>
    <col min="1537" max="1537" width="0" style="82" hidden="1" customWidth="1"/>
    <col min="1538" max="1538" width="12.42578125" style="82" customWidth="1"/>
    <col min="1539" max="1540" width="11.140625" style="82" customWidth="1"/>
    <col min="1541" max="1541" width="12.140625" style="82" customWidth="1"/>
    <col min="1542" max="1542" width="14" style="82" customWidth="1"/>
    <col min="1543" max="1543" width="12.5703125" style="82" customWidth="1"/>
    <col min="1544" max="1545" width="13.140625" style="82" customWidth="1"/>
    <col min="1546" max="1547" width="9.140625" style="82"/>
    <col min="1548" max="1548" width="11" style="82" customWidth="1"/>
    <col min="1549" max="1791" width="9.140625" style="82"/>
    <col min="1792" max="1792" width="26.85546875" style="82" customWidth="1"/>
    <col min="1793" max="1793" width="0" style="82" hidden="1" customWidth="1"/>
    <col min="1794" max="1794" width="12.42578125" style="82" customWidth="1"/>
    <col min="1795" max="1796" width="11.140625" style="82" customWidth="1"/>
    <col min="1797" max="1797" width="12.140625" style="82" customWidth="1"/>
    <col min="1798" max="1798" width="14" style="82" customWidth="1"/>
    <col min="1799" max="1799" width="12.5703125" style="82" customWidth="1"/>
    <col min="1800" max="1801" width="13.140625" style="82" customWidth="1"/>
    <col min="1802" max="1803" width="9.140625" style="82"/>
    <col min="1804" max="1804" width="11" style="82" customWidth="1"/>
    <col min="1805" max="2047" width="9.140625" style="82"/>
    <col min="2048" max="2048" width="26.85546875" style="82" customWidth="1"/>
    <col min="2049" max="2049" width="0" style="82" hidden="1" customWidth="1"/>
    <col min="2050" max="2050" width="12.42578125" style="82" customWidth="1"/>
    <col min="2051" max="2052" width="11.140625" style="82" customWidth="1"/>
    <col min="2053" max="2053" width="12.140625" style="82" customWidth="1"/>
    <col min="2054" max="2054" width="14" style="82" customWidth="1"/>
    <col min="2055" max="2055" width="12.5703125" style="82" customWidth="1"/>
    <col min="2056" max="2057" width="13.140625" style="82" customWidth="1"/>
    <col min="2058" max="2059" width="9.140625" style="82"/>
    <col min="2060" max="2060" width="11" style="82" customWidth="1"/>
    <col min="2061" max="2303" width="9.140625" style="82"/>
    <col min="2304" max="2304" width="26.85546875" style="82" customWidth="1"/>
    <col min="2305" max="2305" width="0" style="82" hidden="1" customWidth="1"/>
    <col min="2306" max="2306" width="12.42578125" style="82" customWidth="1"/>
    <col min="2307" max="2308" width="11.140625" style="82" customWidth="1"/>
    <col min="2309" max="2309" width="12.140625" style="82" customWidth="1"/>
    <col min="2310" max="2310" width="14" style="82" customWidth="1"/>
    <col min="2311" max="2311" width="12.5703125" style="82" customWidth="1"/>
    <col min="2312" max="2313" width="13.140625" style="82" customWidth="1"/>
    <col min="2314" max="2315" width="9.140625" style="82"/>
    <col min="2316" max="2316" width="11" style="82" customWidth="1"/>
    <col min="2317" max="2559" width="9.140625" style="82"/>
    <col min="2560" max="2560" width="26.85546875" style="82" customWidth="1"/>
    <col min="2561" max="2561" width="0" style="82" hidden="1" customWidth="1"/>
    <col min="2562" max="2562" width="12.42578125" style="82" customWidth="1"/>
    <col min="2563" max="2564" width="11.140625" style="82" customWidth="1"/>
    <col min="2565" max="2565" width="12.140625" style="82" customWidth="1"/>
    <col min="2566" max="2566" width="14" style="82" customWidth="1"/>
    <col min="2567" max="2567" width="12.5703125" style="82" customWidth="1"/>
    <col min="2568" max="2569" width="13.140625" style="82" customWidth="1"/>
    <col min="2570" max="2571" width="9.140625" style="82"/>
    <col min="2572" max="2572" width="11" style="82" customWidth="1"/>
    <col min="2573" max="2815" width="9.140625" style="82"/>
    <col min="2816" max="2816" width="26.85546875" style="82" customWidth="1"/>
    <col min="2817" max="2817" width="0" style="82" hidden="1" customWidth="1"/>
    <col min="2818" max="2818" width="12.42578125" style="82" customWidth="1"/>
    <col min="2819" max="2820" width="11.140625" style="82" customWidth="1"/>
    <col min="2821" max="2821" width="12.140625" style="82" customWidth="1"/>
    <col min="2822" max="2822" width="14" style="82" customWidth="1"/>
    <col min="2823" max="2823" width="12.5703125" style="82" customWidth="1"/>
    <col min="2824" max="2825" width="13.140625" style="82" customWidth="1"/>
    <col min="2826" max="2827" width="9.140625" style="82"/>
    <col min="2828" max="2828" width="11" style="82" customWidth="1"/>
    <col min="2829" max="3071" width="9.140625" style="82"/>
    <col min="3072" max="3072" width="26.85546875" style="82" customWidth="1"/>
    <col min="3073" max="3073" width="0" style="82" hidden="1" customWidth="1"/>
    <col min="3074" max="3074" width="12.42578125" style="82" customWidth="1"/>
    <col min="3075" max="3076" width="11.140625" style="82" customWidth="1"/>
    <col min="3077" max="3077" width="12.140625" style="82" customWidth="1"/>
    <col min="3078" max="3078" width="14" style="82" customWidth="1"/>
    <col min="3079" max="3079" width="12.5703125" style="82" customWidth="1"/>
    <col min="3080" max="3081" width="13.140625" style="82" customWidth="1"/>
    <col min="3082" max="3083" width="9.140625" style="82"/>
    <col min="3084" max="3084" width="11" style="82" customWidth="1"/>
    <col min="3085" max="3327" width="9.140625" style="82"/>
    <col min="3328" max="3328" width="26.85546875" style="82" customWidth="1"/>
    <col min="3329" max="3329" width="0" style="82" hidden="1" customWidth="1"/>
    <col min="3330" max="3330" width="12.42578125" style="82" customWidth="1"/>
    <col min="3331" max="3332" width="11.140625" style="82" customWidth="1"/>
    <col min="3333" max="3333" width="12.140625" style="82" customWidth="1"/>
    <col min="3334" max="3334" width="14" style="82" customWidth="1"/>
    <col min="3335" max="3335" width="12.5703125" style="82" customWidth="1"/>
    <col min="3336" max="3337" width="13.140625" style="82" customWidth="1"/>
    <col min="3338" max="3339" width="9.140625" style="82"/>
    <col min="3340" max="3340" width="11" style="82" customWidth="1"/>
    <col min="3341" max="3583" width="9.140625" style="82"/>
    <col min="3584" max="3584" width="26.85546875" style="82" customWidth="1"/>
    <col min="3585" max="3585" width="0" style="82" hidden="1" customWidth="1"/>
    <col min="3586" max="3586" width="12.42578125" style="82" customWidth="1"/>
    <col min="3587" max="3588" width="11.140625" style="82" customWidth="1"/>
    <col min="3589" max="3589" width="12.140625" style="82" customWidth="1"/>
    <col min="3590" max="3590" width="14" style="82" customWidth="1"/>
    <col min="3591" max="3591" width="12.5703125" style="82" customWidth="1"/>
    <col min="3592" max="3593" width="13.140625" style="82" customWidth="1"/>
    <col min="3594" max="3595" width="9.140625" style="82"/>
    <col min="3596" max="3596" width="11" style="82" customWidth="1"/>
    <col min="3597" max="3839" width="9.140625" style="82"/>
    <col min="3840" max="3840" width="26.85546875" style="82" customWidth="1"/>
    <col min="3841" max="3841" width="0" style="82" hidden="1" customWidth="1"/>
    <col min="3842" max="3842" width="12.42578125" style="82" customWidth="1"/>
    <col min="3843" max="3844" width="11.140625" style="82" customWidth="1"/>
    <col min="3845" max="3845" width="12.140625" style="82" customWidth="1"/>
    <col min="3846" max="3846" width="14" style="82" customWidth="1"/>
    <col min="3847" max="3847" width="12.5703125" style="82" customWidth="1"/>
    <col min="3848" max="3849" width="13.140625" style="82" customWidth="1"/>
    <col min="3850" max="3851" width="9.140625" style="82"/>
    <col min="3852" max="3852" width="11" style="82" customWidth="1"/>
    <col min="3853" max="4095" width="9.140625" style="82"/>
    <col min="4096" max="4096" width="26.85546875" style="82" customWidth="1"/>
    <col min="4097" max="4097" width="0" style="82" hidden="1" customWidth="1"/>
    <col min="4098" max="4098" width="12.42578125" style="82" customWidth="1"/>
    <col min="4099" max="4100" width="11.140625" style="82" customWidth="1"/>
    <col min="4101" max="4101" width="12.140625" style="82" customWidth="1"/>
    <col min="4102" max="4102" width="14" style="82" customWidth="1"/>
    <col min="4103" max="4103" width="12.5703125" style="82" customWidth="1"/>
    <col min="4104" max="4105" width="13.140625" style="82" customWidth="1"/>
    <col min="4106" max="4107" width="9.140625" style="82"/>
    <col min="4108" max="4108" width="11" style="82" customWidth="1"/>
    <col min="4109" max="4351" width="9.140625" style="82"/>
    <col min="4352" max="4352" width="26.85546875" style="82" customWidth="1"/>
    <col min="4353" max="4353" width="0" style="82" hidden="1" customWidth="1"/>
    <col min="4354" max="4354" width="12.42578125" style="82" customWidth="1"/>
    <col min="4355" max="4356" width="11.140625" style="82" customWidth="1"/>
    <col min="4357" max="4357" width="12.140625" style="82" customWidth="1"/>
    <col min="4358" max="4358" width="14" style="82" customWidth="1"/>
    <col min="4359" max="4359" width="12.5703125" style="82" customWidth="1"/>
    <col min="4360" max="4361" width="13.140625" style="82" customWidth="1"/>
    <col min="4362" max="4363" width="9.140625" style="82"/>
    <col min="4364" max="4364" width="11" style="82" customWidth="1"/>
    <col min="4365" max="4607" width="9.140625" style="82"/>
    <col min="4608" max="4608" width="26.85546875" style="82" customWidth="1"/>
    <col min="4609" max="4609" width="0" style="82" hidden="1" customWidth="1"/>
    <col min="4610" max="4610" width="12.42578125" style="82" customWidth="1"/>
    <col min="4611" max="4612" width="11.140625" style="82" customWidth="1"/>
    <col min="4613" max="4613" width="12.140625" style="82" customWidth="1"/>
    <col min="4614" max="4614" width="14" style="82" customWidth="1"/>
    <col min="4615" max="4615" width="12.5703125" style="82" customWidth="1"/>
    <col min="4616" max="4617" width="13.140625" style="82" customWidth="1"/>
    <col min="4618" max="4619" width="9.140625" style="82"/>
    <col min="4620" max="4620" width="11" style="82" customWidth="1"/>
    <col min="4621" max="4863" width="9.140625" style="82"/>
    <col min="4864" max="4864" width="26.85546875" style="82" customWidth="1"/>
    <col min="4865" max="4865" width="0" style="82" hidden="1" customWidth="1"/>
    <col min="4866" max="4866" width="12.42578125" style="82" customWidth="1"/>
    <col min="4867" max="4868" width="11.140625" style="82" customWidth="1"/>
    <col min="4869" max="4869" width="12.140625" style="82" customWidth="1"/>
    <col min="4870" max="4870" width="14" style="82" customWidth="1"/>
    <col min="4871" max="4871" width="12.5703125" style="82" customWidth="1"/>
    <col min="4872" max="4873" width="13.140625" style="82" customWidth="1"/>
    <col min="4874" max="4875" width="9.140625" style="82"/>
    <col min="4876" max="4876" width="11" style="82" customWidth="1"/>
    <col min="4877" max="5119" width="9.140625" style="82"/>
    <col min="5120" max="5120" width="26.85546875" style="82" customWidth="1"/>
    <col min="5121" max="5121" width="0" style="82" hidden="1" customWidth="1"/>
    <col min="5122" max="5122" width="12.42578125" style="82" customWidth="1"/>
    <col min="5123" max="5124" width="11.140625" style="82" customWidth="1"/>
    <col min="5125" max="5125" width="12.140625" style="82" customWidth="1"/>
    <col min="5126" max="5126" width="14" style="82" customWidth="1"/>
    <col min="5127" max="5127" width="12.5703125" style="82" customWidth="1"/>
    <col min="5128" max="5129" width="13.140625" style="82" customWidth="1"/>
    <col min="5130" max="5131" width="9.140625" style="82"/>
    <col min="5132" max="5132" width="11" style="82" customWidth="1"/>
    <col min="5133" max="5375" width="9.140625" style="82"/>
    <col min="5376" max="5376" width="26.85546875" style="82" customWidth="1"/>
    <col min="5377" max="5377" width="0" style="82" hidden="1" customWidth="1"/>
    <col min="5378" max="5378" width="12.42578125" style="82" customWidth="1"/>
    <col min="5379" max="5380" width="11.140625" style="82" customWidth="1"/>
    <col min="5381" max="5381" width="12.140625" style="82" customWidth="1"/>
    <col min="5382" max="5382" width="14" style="82" customWidth="1"/>
    <col min="5383" max="5383" width="12.5703125" style="82" customWidth="1"/>
    <col min="5384" max="5385" width="13.140625" style="82" customWidth="1"/>
    <col min="5386" max="5387" width="9.140625" style="82"/>
    <col min="5388" max="5388" width="11" style="82" customWidth="1"/>
    <col min="5389" max="5631" width="9.140625" style="82"/>
    <col min="5632" max="5632" width="26.85546875" style="82" customWidth="1"/>
    <col min="5633" max="5633" width="0" style="82" hidden="1" customWidth="1"/>
    <col min="5634" max="5634" width="12.42578125" style="82" customWidth="1"/>
    <col min="5635" max="5636" width="11.140625" style="82" customWidth="1"/>
    <col min="5637" max="5637" width="12.140625" style="82" customWidth="1"/>
    <col min="5638" max="5638" width="14" style="82" customWidth="1"/>
    <col min="5639" max="5639" width="12.5703125" style="82" customWidth="1"/>
    <col min="5640" max="5641" width="13.140625" style="82" customWidth="1"/>
    <col min="5642" max="5643" width="9.140625" style="82"/>
    <col min="5644" max="5644" width="11" style="82" customWidth="1"/>
    <col min="5645" max="5887" width="9.140625" style="82"/>
    <col min="5888" max="5888" width="26.85546875" style="82" customWidth="1"/>
    <col min="5889" max="5889" width="0" style="82" hidden="1" customWidth="1"/>
    <col min="5890" max="5890" width="12.42578125" style="82" customWidth="1"/>
    <col min="5891" max="5892" width="11.140625" style="82" customWidth="1"/>
    <col min="5893" max="5893" width="12.140625" style="82" customWidth="1"/>
    <col min="5894" max="5894" width="14" style="82" customWidth="1"/>
    <col min="5895" max="5895" width="12.5703125" style="82" customWidth="1"/>
    <col min="5896" max="5897" width="13.140625" style="82" customWidth="1"/>
    <col min="5898" max="5899" width="9.140625" style="82"/>
    <col min="5900" max="5900" width="11" style="82" customWidth="1"/>
    <col min="5901" max="6143" width="9.140625" style="82"/>
    <col min="6144" max="6144" width="26.85546875" style="82" customWidth="1"/>
    <col min="6145" max="6145" width="0" style="82" hidden="1" customWidth="1"/>
    <col min="6146" max="6146" width="12.42578125" style="82" customWidth="1"/>
    <col min="6147" max="6148" width="11.140625" style="82" customWidth="1"/>
    <col min="6149" max="6149" width="12.140625" style="82" customWidth="1"/>
    <col min="6150" max="6150" width="14" style="82" customWidth="1"/>
    <col min="6151" max="6151" width="12.5703125" style="82" customWidth="1"/>
    <col min="6152" max="6153" width="13.140625" style="82" customWidth="1"/>
    <col min="6154" max="6155" width="9.140625" style="82"/>
    <col min="6156" max="6156" width="11" style="82" customWidth="1"/>
    <col min="6157" max="6399" width="9.140625" style="82"/>
    <col min="6400" max="6400" width="26.85546875" style="82" customWidth="1"/>
    <col min="6401" max="6401" width="0" style="82" hidden="1" customWidth="1"/>
    <col min="6402" max="6402" width="12.42578125" style="82" customWidth="1"/>
    <col min="6403" max="6404" width="11.140625" style="82" customWidth="1"/>
    <col min="6405" max="6405" width="12.140625" style="82" customWidth="1"/>
    <col min="6406" max="6406" width="14" style="82" customWidth="1"/>
    <col min="6407" max="6407" width="12.5703125" style="82" customWidth="1"/>
    <col min="6408" max="6409" width="13.140625" style="82" customWidth="1"/>
    <col min="6410" max="6411" width="9.140625" style="82"/>
    <col min="6412" max="6412" width="11" style="82" customWidth="1"/>
    <col min="6413" max="6655" width="9.140625" style="82"/>
    <col min="6656" max="6656" width="26.85546875" style="82" customWidth="1"/>
    <col min="6657" max="6657" width="0" style="82" hidden="1" customWidth="1"/>
    <col min="6658" max="6658" width="12.42578125" style="82" customWidth="1"/>
    <col min="6659" max="6660" width="11.140625" style="82" customWidth="1"/>
    <col min="6661" max="6661" width="12.140625" style="82" customWidth="1"/>
    <col min="6662" max="6662" width="14" style="82" customWidth="1"/>
    <col min="6663" max="6663" width="12.5703125" style="82" customWidth="1"/>
    <col min="6664" max="6665" width="13.140625" style="82" customWidth="1"/>
    <col min="6666" max="6667" width="9.140625" style="82"/>
    <col min="6668" max="6668" width="11" style="82" customWidth="1"/>
    <col min="6669" max="6911" width="9.140625" style="82"/>
    <col min="6912" max="6912" width="26.85546875" style="82" customWidth="1"/>
    <col min="6913" max="6913" width="0" style="82" hidden="1" customWidth="1"/>
    <col min="6914" max="6914" width="12.42578125" style="82" customWidth="1"/>
    <col min="6915" max="6916" width="11.140625" style="82" customWidth="1"/>
    <col min="6917" max="6917" width="12.140625" style="82" customWidth="1"/>
    <col min="6918" max="6918" width="14" style="82" customWidth="1"/>
    <col min="6919" max="6919" width="12.5703125" style="82" customWidth="1"/>
    <col min="6920" max="6921" width="13.140625" style="82" customWidth="1"/>
    <col min="6922" max="6923" width="9.140625" style="82"/>
    <col min="6924" max="6924" width="11" style="82" customWidth="1"/>
    <col min="6925" max="7167" width="9.140625" style="82"/>
    <col min="7168" max="7168" width="26.85546875" style="82" customWidth="1"/>
    <col min="7169" max="7169" width="0" style="82" hidden="1" customWidth="1"/>
    <col min="7170" max="7170" width="12.42578125" style="82" customWidth="1"/>
    <col min="7171" max="7172" width="11.140625" style="82" customWidth="1"/>
    <col min="7173" max="7173" width="12.140625" style="82" customWidth="1"/>
    <col min="7174" max="7174" width="14" style="82" customWidth="1"/>
    <col min="7175" max="7175" width="12.5703125" style="82" customWidth="1"/>
    <col min="7176" max="7177" width="13.140625" style="82" customWidth="1"/>
    <col min="7178" max="7179" width="9.140625" style="82"/>
    <col min="7180" max="7180" width="11" style="82" customWidth="1"/>
    <col min="7181" max="7423" width="9.140625" style="82"/>
    <col min="7424" max="7424" width="26.85546875" style="82" customWidth="1"/>
    <col min="7425" max="7425" width="0" style="82" hidden="1" customWidth="1"/>
    <col min="7426" max="7426" width="12.42578125" style="82" customWidth="1"/>
    <col min="7427" max="7428" width="11.140625" style="82" customWidth="1"/>
    <col min="7429" max="7429" width="12.140625" style="82" customWidth="1"/>
    <col min="7430" max="7430" width="14" style="82" customWidth="1"/>
    <col min="7431" max="7431" width="12.5703125" style="82" customWidth="1"/>
    <col min="7432" max="7433" width="13.140625" style="82" customWidth="1"/>
    <col min="7434" max="7435" width="9.140625" style="82"/>
    <col min="7436" max="7436" width="11" style="82" customWidth="1"/>
    <col min="7437" max="7679" width="9.140625" style="82"/>
    <col min="7680" max="7680" width="26.85546875" style="82" customWidth="1"/>
    <col min="7681" max="7681" width="0" style="82" hidden="1" customWidth="1"/>
    <col min="7682" max="7682" width="12.42578125" style="82" customWidth="1"/>
    <col min="7683" max="7684" width="11.140625" style="82" customWidth="1"/>
    <col min="7685" max="7685" width="12.140625" style="82" customWidth="1"/>
    <col min="7686" max="7686" width="14" style="82" customWidth="1"/>
    <col min="7687" max="7687" width="12.5703125" style="82" customWidth="1"/>
    <col min="7688" max="7689" width="13.140625" style="82" customWidth="1"/>
    <col min="7690" max="7691" width="9.140625" style="82"/>
    <col min="7692" max="7692" width="11" style="82" customWidth="1"/>
    <col min="7693" max="7935" width="9.140625" style="82"/>
    <col min="7936" max="7936" width="26.85546875" style="82" customWidth="1"/>
    <col min="7937" max="7937" width="0" style="82" hidden="1" customWidth="1"/>
    <col min="7938" max="7938" width="12.42578125" style="82" customWidth="1"/>
    <col min="7939" max="7940" width="11.140625" style="82" customWidth="1"/>
    <col min="7941" max="7941" width="12.140625" style="82" customWidth="1"/>
    <col min="7942" max="7942" width="14" style="82" customWidth="1"/>
    <col min="7943" max="7943" width="12.5703125" style="82" customWidth="1"/>
    <col min="7944" max="7945" width="13.140625" style="82" customWidth="1"/>
    <col min="7946" max="7947" width="9.140625" style="82"/>
    <col min="7948" max="7948" width="11" style="82" customWidth="1"/>
    <col min="7949" max="8191" width="9.140625" style="82"/>
    <col min="8192" max="8192" width="26.85546875" style="82" customWidth="1"/>
    <col min="8193" max="8193" width="0" style="82" hidden="1" customWidth="1"/>
    <col min="8194" max="8194" width="12.42578125" style="82" customWidth="1"/>
    <col min="8195" max="8196" width="11.140625" style="82" customWidth="1"/>
    <col min="8197" max="8197" width="12.140625" style="82" customWidth="1"/>
    <col min="8198" max="8198" width="14" style="82" customWidth="1"/>
    <col min="8199" max="8199" width="12.5703125" style="82" customWidth="1"/>
    <col min="8200" max="8201" width="13.140625" style="82" customWidth="1"/>
    <col min="8202" max="8203" width="9.140625" style="82"/>
    <col min="8204" max="8204" width="11" style="82" customWidth="1"/>
    <col min="8205" max="8447" width="9.140625" style="82"/>
    <col min="8448" max="8448" width="26.85546875" style="82" customWidth="1"/>
    <col min="8449" max="8449" width="0" style="82" hidden="1" customWidth="1"/>
    <col min="8450" max="8450" width="12.42578125" style="82" customWidth="1"/>
    <col min="8451" max="8452" width="11.140625" style="82" customWidth="1"/>
    <col min="8453" max="8453" width="12.140625" style="82" customWidth="1"/>
    <col min="8454" max="8454" width="14" style="82" customWidth="1"/>
    <col min="8455" max="8455" width="12.5703125" style="82" customWidth="1"/>
    <col min="8456" max="8457" width="13.140625" style="82" customWidth="1"/>
    <col min="8458" max="8459" width="9.140625" style="82"/>
    <col min="8460" max="8460" width="11" style="82" customWidth="1"/>
    <col min="8461" max="8703" width="9.140625" style="82"/>
    <col min="8704" max="8704" width="26.85546875" style="82" customWidth="1"/>
    <col min="8705" max="8705" width="0" style="82" hidden="1" customWidth="1"/>
    <col min="8706" max="8706" width="12.42578125" style="82" customWidth="1"/>
    <col min="8707" max="8708" width="11.140625" style="82" customWidth="1"/>
    <col min="8709" max="8709" width="12.140625" style="82" customWidth="1"/>
    <col min="8710" max="8710" width="14" style="82" customWidth="1"/>
    <col min="8711" max="8711" width="12.5703125" style="82" customWidth="1"/>
    <col min="8712" max="8713" width="13.140625" style="82" customWidth="1"/>
    <col min="8714" max="8715" width="9.140625" style="82"/>
    <col min="8716" max="8716" width="11" style="82" customWidth="1"/>
    <col min="8717" max="8959" width="9.140625" style="82"/>
    <col min="8960" max="8960" width="26.85546875" style="82" customWidth="1"/>
    <col min="8961" max="8961" width="0" style="82" hidden="1" customWidth="1"/>
    <col min="8962" max="8962" width="12.42578125" style="82" customWidth="1"/>
    <col min="8963" max="8964" width="11.140625" style="82" customWidth="1"/>
    <col min="8965" max="8965" width="12.140625" style="82" customWidth="1"/>
    <col min="8966" max="8966" width="14" style="82" customWidth="1"/>
    <col min="8967" max="8967" width="12.5703125" style="82" customWidth="1"/>
    <col min="8968" max="8969" width="13.140625" style="82" customWidth="1"/>
    <col min="8970" max="8971" width="9.140625" style="82"/>
    <col min="8972" max="8972" width="11" style="82" customWidth="1"/>
    <col min="8973" max="9215" width="9.140625" style="82"/>
    <col min="9216" max="9216" width="26.85546875" style="82" customWidth="1"/>
    <col min="9217" max="9217" width="0" style="82" hidden="1" customWidth="1"/>
    <col min="9218" max="9218" width="12.42578125" style="82" customWidth="1"/>
    <col min="9219" max="9220" width="11.140625" style="82" customWidth="1"/>
    <col min="9221" max="9221" width="12.140625" style="82" customWidth="1"/>
    <col min="9222" max="9222" width="14" style="82" customWidth="1"/>
    <col min="9223" max="9223" width="12.5703125" style="82" customWidth="1"/>
    <col min="9224" max="9225" width="13.140625" style="82" customWidth="1"/>
    <col min="9226" max="9227" width="9.140625" style="82"/>
    <col min="9228" max="9228" width="11" style="82" customWidth="1"/>
    <col min="9229" max="9471" width="9.140625" style="82"/>
    <col min="9472" max="9472" width="26.85546875" style="82" customWidth="1"/>
    <col min="9473" max="9473" width="0" style="82" hidden="1" customWidth="1"/>
    <col min="9474" max="9474" width="12.42578125" style="82" customWidth="1"/>
    <col min="9475" max="9476" width="11.140625" style="82" customWidth="1"/>
    <col min="9477" max="9477" width="12.140625" style="82" customWidth="1"/>
    <col min="9478" max="9478" width="14" style="82" customWidth="1"/>
    <col min="9479" max="9479" width="12.5703125" style="82" customWidth="1"/>
    <col min="9480" max="9481" width="13.140625" style="82" customWidth="1"/>
    <col min="9482" max="9483" width="9.140625" style="82"/>
    <col min="9484" max="9484" width="11" style="82" customWidth="1"/>
    <col min="9485" max="9727" width="9.140625" style="82"/>
    <col min="9728" max="9728" width="26.85546875" style="82" customWidth="1"/>
    <col min="9729" max="9729" width="0" style="82" hidden="1" customWidth="1"/>
    <col min="9730" max="9730" width="12.42578125" style="82" customWidth="1"/>
    <col min="9731" max="9732" width="11.140625" style="82" customWidth="1"/>
    <col min="9733" max="9733" width="12.140625" style="82" customWidth="1"/>
    <col min="9734" max="9734" width="14" style="82" customWidth="1"/>
    <col min="9735" max="9735" width="12.5703125" style="82" customWidth="1"/>
    <col min="9736" max="9737" width="13.140625" style="82" customWidth="1"/>
    <col min="9738" max="9739" width="9.140625" style="82"/>
    <col min="9740" max="9740" width="11" style="82" customWidth="1"/>
    <col min="9741" max="9983" width="9.140625" style="82"/>
    <col min="9984" max="9984" width="26.85546875" style="82" customWidth="1"/>
    <col min="9985" max="9985" width="0" style="82" hidden="1" customWidth="1"/>
    <col min="9986" max="9986" width="12.42578125" style="82" customWidth="1"/>
    <col min="9987" max="9988" width="11.140625" style="82" customWidth="1"/>
    <col min="9989" max="9989" width="12.140625" style="82" customWidth="1"/>
    <col min="9990" max="9990" width="14" style="82" customWidth="1"/>
    <col min="9991" max="9991" width="12.5703125" style="82" customWidth="1"/>
    <col min="9992" max="9993" width="13.140625" style="82" customWidth="1"/>
    <col min="9994" max="9995" width="9.140625" style="82"/>
    <col min="9996" max="9996" width="11" style="82" customWidth="1"/>
    <col min="9997" max="10239" width="9.140625" style="82"/>
    <col min="10240" max="10240" width="26.85546875" style="82" customWidth="1"/>
    <col min="10241" max="10241" width="0" style="82" hidden="1" customWidth="1"/>
    <col min="10242" max="10242" width="12.42578125" style="82" customWidth="1"/>
    <col min="10243" max="10244" width="11.140625" style="82" customWidth="1"/>
    <col min="10245" max="10245" width="12.140625" style="82" customWidth="1"/>
    <col min="10246" max="10246" width="14" style="82" customWidth="1"/>
    <col min="10247" max="10247" width="12.5703125" style="82" customWidth="1"/>
    <col min="10248" max="10249" width="13.140625" style="82" customWidth="1"/>
    <col min="10250" max="10251" width="9.140625" style="82"/>
    <col min="10252" max="10252" width="11" style="82" customWidth="1"/>
    <col min="10253" max="10495" width="9.140625" style="82"/>
    <col min="10496" max="10496" width="26.85546875" style="82" customWidth="1"/>
    <col min="10497" max="10497" width="0" style="82" hidden="1" customWidth="1"/>
    <col min="10498" max="10498" width="12.42578125" style="82" customWidth="1"/>
    <col min="10499" max="10500" width="11.140625" style="82" customWidth="1"/>
    <col min="10501" max="10501" width="12.140625" style="82" customWidth="1"/>
    <col min="10502" max="10502" width="14" style="82" customWidth="1"/>
    <col min="10503" max="10503" width="12.5703125" style="82" customWidth="1"/>
    <col min="10504" max="10505" width="13.140625" style="82" customWidth="1"/>
    <col min="10506" max="10507" width="9.140625" style="82"/>
    <col min="10508" max="10508" width="11" style="82" customWidth="1"/>
    <col min="10509" max="10751" width="9.140625" style="82"/>
    <col min="10752" max="10752" width="26.85546875" style="82" customWidth="1"/>
    <col min="10753" max="10753" width="0" style="82" hidden="1" customWidth="1"/>
    <col min="10754" max="10754" width="12.42578125" style="82" customWidth="1"/>
    <col min="10755" max="10756" width="11.140625" style="82" customWidth="1"/>
    <col min="10757" max="10757" width="12.140625" style="82" customWidth="1"/>
    <col min="10758" max="10758" width="14" style="82" customWidth="1"/>
    <col min="10759" max="10759" width="12.5703125" style="82" customWidth="1"/>
    <col min="10760" max="10761" width="13.140625" style="82" customWidth="1"/>
    <col min="10762" max="10763" width="9.140625" style="82"/>
    <col min="10764" max="10764" width="11" style="82" customWidth="1"/>
    <col min="10765" max="11007" width="9.140625" style="82"/>
    <col min="11008" max="11008" width="26.85546875" style="82" customWidth="1"/>
    <col min="11009" max="11009" width="0" style="82" hidden="1" customWidth="1"/>
    <col min="11010" max="11010" width="12.42578125" style="82" customWidth="1"/>
    <col min="11011" max="11012" width="11.140625" style="82" customWidth="1"/>
    <col min="11013" max="11013" width="12.140625" style="82" customWidth="1"/>
    <col min="11014" max="11014" width="14" style="82" customWidth="1"/>
    <col min="11015" max="11015" width="12.5703125" style="82" customWidth="1"/>
    <col min="11016" max="11017" width="13.140625" style="82" customWidth="1"/>
    <col min="11018" max="11019" width="9.140625" style="82"/>
    <col min="11020" max="11020" width="11" style="82" customWidth="1"/>
    <col min="11021" max="11263" width="9.140625" style="82"/>
    <col min="11264" max="11264" width="26.85546875" style="82" customWidth="1"/>
    <col min="11265" max="11265" width="0" style="82" hidden="1" customWidth="1"/>
    <col min="11266" max="11266" width="12.42578125" style="82" customWidth="1"/>
    <col min="11267" max="11268" width="11.140625" style="82" customWidth="1"/>
    <col min="11269" max="11269" width="12.140625" style="82" customWidth="1"/>
    <col min="11270" max="11270" width="14" style="82" customWidth="1"/>
    <col min="11271" max="11271" width="12.5703125" style="82" customWidth="1"/>
    <col min="11272" max="11273" width="13.140625" style="82" customWidth="1"/>
    <col min="11274" max="11275" width="9.140625" style="82"/>
    <col min="11276" max="11276" width="11" style="82" customWidth="1"/>
    <col min="11277" max="11519" width="9.140625" style="82"/>
    <col min="11520" max="11520" width="26.85546875" style="82" customWidth="1"/>
    <col min="11521" max="11521" width="0" style="82" hidden="1" customWidth="1"/>
    <col min="11522" max="11522" width="12.42578125" style="82" customWidth="1"/>
    <col min="11523" max="11524" width="11.140625" style="82" customWidth="1"/>
    <col min="11525" max="11525" width="12.140625" style="82" customWidth="1"/>
    <col min="11526" max="11526" width="14" style="82" customWidth="1"/>
    <col min="11527" max="11527" width="12.5703125" style="82" customWidth="1"/>
    <col min="11528" max="11529" width="13.140625" style="82" customWidth="1"/>
    <col min="11530" max="11531" width="9.140625" style="82"/>
    <col min="11532" max="11532" width="11" style="82" customWidth="1"/>
    <col min="11533" max="11775" width="9.140625" style="82"/>
    <col min="11776" max="11776" width="26.85546875" style="82" customWidth="1"/>
    <col min="11777" max="11777" width="0" style="82" hidden="1" customWidth="1"/>
    <col min="11778" max="11778" width="12.42578125" style="82" customWidth="1"/>
    <col min="11779" max="11780" width="11.140625" style="82" customWidth="1"/>
    <col min="11781" max="11781" width="12.140625" style="82" customWidth="1"/>
    <col min="11782" max="11782" width="14" style="82" customWidth="1"/>
    <col min="11783" max="11783" width="12.5703125" style="82" customWidth="1"/>
    <col min="11784" max="11785" width="13.140625" style="82" customWidth="1"/>
    <col min="11786" max="11787" width="9.140625" style="82"/>
    <col min="11788" max="11788" width="11" style="82" customWidth="1"/>
    <col min="11789" max="12031" width="9.140625" style="82"/>
    <col min="12032" max="12032" width="26.85546875" style="82" customWidth="1"/>
    <col min="12033" max="12033" width="0" style="82" hidden="1" customWidth="1"/>
    <col min="12034" max="12034" width="12.42578125" style="82" customWidth="1"/>
    <col min="12035" max="12036" width="11.140625" style="82" customWidth="1"/>
    <col min="12037" max="12037" width="12.140625" style="82" customWidth="1"/>
    <col min="12038" max="12038" width="14" style="82" customWidth="1"/>
    <col min="12039" max="12039" width="12.5703125" style="82" customWidth="1"/>
    <col min="12040" max="12041" width="13.140625" style="82" customWidth="1"/>
    <col min="12042" max="12043" width="9.140625" style="82"/>
    <col min="12044" max="12044" width="11" style="82" customWidth="1"/>
    <col min="12045" max="12287" width="9.140625" style="82"/>
    <col min="12288" max="12288" width="26.85546875" style="82" customWidth="1"/>
    <col min="12289" max="12289" width="0" style="82" hidden="1" customWidth="1"/>
    <col min="12290" max="12290" width="12.42578125" style="82" customWidth="1"/>
    <col min="12291" max="12292" width="11.140625" style="82" customWidth="1"/>
    <col min="12293" max="12293" width="12.140625" style="82" customWidth="1"/>
    <col min="12294" max="12294" width="14" style="82" customWidth="1"/>
    <col min="12295" max="12295" width="12.5703125" style="82" customWidth="1"/>
    <col min="12296" max="12297" width="13.140625" style="82" customWidth="1"/>
    <col min="12298" max="12299" width="9.140625" style="82"/>
    <col min="12300" max="12300" width="11" style="82" customWidth="1"/>
    <col min="12301" max="12543" width="9.140625" style="82"/>
    <col min="12544" max="12544" width="26.85546875" style="82" customWidth="1"/>
    <col min="12545" max="12545" width="0" style="82" hidden="1" customWidth="1"/>
    <col min="12546" max="12546" width="12.42578125" style="82" customWidth="1"/>
    <col min="12547" max="12548" width="11.140625" style="82" customWidth="1"/>
    <col min="12549" max="12549" width="12.140625" style="82" customWidth="1"/>
    <col min="12550" max="12550" width="14" style="82" customWidth="1"/>
    <col min="12551" max="12551" width="12.5703125" style="82" customWidth="1"/>
    <col min="12552" max="12553" width="13.140625" style="82" customWidth="1"/>
    <col min="12554" max="12555" width="9.140625" style="82"/>
    <col min="12556" max="12556" width="11" style="82" customWidth="1"/>
    <col min="12557" max="12799" width="9.140625" style="82"/>
    <col min="12800" max="12800" width="26.85546875" style="82" customWidth="1"/>
    <col min="12801" max="12801" width="0" style="82" hidden="1" customWidth="1"/>
    <col min="12802" max="12802" width="12.42578125" style="82" customWidth="1"/>
    <col min="12803" max="12804" width="11.140625" style="82" customWidth="1"/>
    <col min="12805" max="12805" width="12.140625" style="82" customWidth="1"/>
    <col min="12806" max="12806" width="14" style="82" customWidth="1"/>
    <col min="12807" max="12807" width="12.5703125" style="82" customWidth="1"/>
    <col min="12808" max="12809" width="13.140625" style="82" customWidth="1"/>
    <col min="12810" max="12811" width="9.140625" style="82"/>
    <col min="12812" max="12812" width="11" style="82" customWidth="1"/>
    <col min="12813" max="13055" width="9.140625" style="82"/>
    <col min="13056" max="13056" width="26.85546875" style="82" customWidth="1"/>
    <col min="13057" max="13057" width="0" style="82" hidden="1" customWidth="1"/>
    <col min="13058" max="13058" width="12.42578125" style="82" customWidth="1"/>
    <col min="13059" max="13060" width="11.140625" style="82" customWidth="1"/>
    <col min="13061" max="13061" width="12.140625" style="82" customWidth="1"/>
    <col min="13062" max="13062" width="14" style="82" customWidth="1"/>
    <col min="13063" max="13063" width="12.5703125" style="82" customWidth="1"/>
    <col min="13064" max="13065" width="13.140625" style="82" customWidth="1"/>
    <col min="13066" max="13067" width="9.140625" style="82"/>
    <col min="13068" max="13068" width="11" style="82" customWidth="1"/>
    <col min="13069" max="13311" width="9.140625" style="82"/>
    <col min="13312" max="13312" width="26.85546875" style="82" customWidth="1"/>
    <col min="13313" max="13313" width="0" style="82" hidden="1" customWidth="1"/>
    <col min="13314" max="13314" width="12.42578125" style="82" customWidth="1"/>
    <col min="13315" max="13316" width="11.140625" style="82" customWidth="1"/>
    <col min="13317" max="13317" width="12.140625" style="82" customWidth="1"/>
    <col min="13318" max="13318" width="14" style="82" customWidth="1"/>
    <col min="13319" max="13319" width="12.5703125" style="82" customWidth="1"/>
    <col min="13320" max="13321" width="13.140625" style="82" customWidth="1"/>
    <col min="13322" max="13323" width="9.140625" style="82"/>
    <col min="13324" max="13324" width="11" style="82" customWidth="1"/>
    <col min="13325" max="13567" width="9.140625" style="82"/>
    <col min="13568" max="13568" width="26.85546875" style="82" customWidth="1"/>
    <col min="13569" max="13569" width="0" style="82" hidden="1" customWidth="1"/>
    <col min="13570" max="13570" width="12.42578125" style="82" customWidth="1"/>
    <col min="13571" max="13572" width="11.140625" style="82" customWidth="1"/>
    <col min="13573" max="13573" width="12.140625" style="82" customWidth="1"/>
    <col min="13574" max="13574" width="14" style="82" customWidth="1"/>
    <col min="13575" max="13575" width="12.5703125" style="82" customWidth="1"/>
    <col min="13576" max="13577" width="13.140625" style="82" customWidth="1"/>
    <col min="13578" max="13579" width="9.140625" style="82"/>
    <col min="13580" max="13580" width="11" style="82" customWidth="1"/>
    <col min="13581" max="13823" width="9.140625" style="82"/>
    <col min="13824" max="13824" width="26.85546875" style="82" customWidth="1"/>
    <col min="13825" max="13825" width="0" style="82" hidden="1" customWidth="1"/>
    <col min="13826" max="13826" width="12.42578125" style="82" customWidth="1"/>
    <col min="13827" max="13828" width="11.140625" style="82" customWidth="1"/>
    <col min="13829" max="13829" width="12.140625" style="82" customWidth="1"/>
    <col min="13830" max="13830" width="14" style="82" customWidth="1"/>
    <col min="13831" max="13831" width="12.5703125" style="82" customWidth="1"/>
    <col min="13832" max="13833" width="13.140625" style="82" customWidth="1"/>
    <col min="13834" max="13835" width="9.140625" style="82"/>
    <col min="13836" max="13836" width="11" style="82" customWidth="1"/>
    <col min="13837" max="14079" width="9.140625" style="82"/>
    <col min="14080" max="14080" width="26.85546875" style="82" customWidth="1"/>
    <col min="14081" max="14081" width="0" style="82" hidden="1" customWidth="1"/>
    <col min="14082" max="14082" width="12.42578125" style="82" customWidth="1"/>
    <col min="14083" max="14084" width="11.140625" style="82" customWidth="1"/>
    <col min="14085" max="14085" width="12.140625" style="82" customWidth="1"/>
    <col min="14086" max="14086" width="14" style="82" customWidth="1"/>
    <col min="14087" max="14087" width="12.5703125" style="82" customWidth="1"/>
    <col min="14088" max="14089" width="13.140625" style="82" customWidth="1"/>
    <col min="14090" max="14091" width="9.140625" style="82"/>
    <col min="14092" max="14092" width="11" style="82" customWidth="1"/>
    <col min="14093" max="14335" width="9.140625" style="82"/>
    <col min="14336" max="14336" width="26.85546875" style="82" customWidth="1"/>
    <col min="14337" max="14337" width="0" style="82" hidden="1" customWidth="1"/>
    <col min="14338" max="14338" width="12.42578125" style="82" customWidth="1"/>
    <col min="14339" max="14340" width="11.140625" style="82" customWidth="1"/>
    <col min="14341" max="14341" width="12.140625" style="82" customWidth="1"/>
    <col min="14342" max="14342" width="14" style="82" customWidth="1"/>
    <col min="14343" max="14343" width="12.5703125" style="82" customWidth="1"/>
    <col min="14344" max="14345" width="13.140625" style="82" customWidth="1"/>
    <col min="14346" max="14347" width="9.140625" style="82"/>
    <col min="14348" max="14348" width="11" style="82" customWidth="1"/>
    <col min="14349" max="14591" width="9.140625" style="82"/>
    <col min="14592" max="14592" width="26.85546875" style="82" customWidth="1"/>
    <col min="14593" max="14593" width="0" style="82" hidden="1" customWidth="1"/>
    <col min="14594" max="14594" width="12.42578125" style="82" customWidth="1"/>
    <col min="14595" max="14596" width="11.140625" style="82" customWidth="1"/>
    <col min="14597" max="14597" width="12.140625" style="82" customWidth="1"/>
    <col min="14598" max="14598" width="14" style="82" customWidth="1"/>
    <col min="14599" max="14599" width="12.5703125" style="82" customWidth="1"/>
    <col min="14600" max="14601" width="13.140625" style="82" customWidth="1"/>
    <col min="14602" max="14603" width="9.140625" style="82"/>
    <col min="14604" max="14604" width="11" style="82" customWidth="1"/>
    <col min="14605" max="14847" width="9.140625" style="82"/>
    <col min="14848" max="14848" width="26.85546875" style="82" customWidth="1"/>
    <col min="14849" max="14849" width="0" style="82" hidden="1" customWidth="1"/>
    <col min="14850" max="14850" width="12.42578125" style="82" customWidth="1"/>
    <col min="14851" max="14852" width="11.140625" style="82" customWidth="1"/>
    <col min="14853" max="14853" width="12.140625" style="82" customWidth="1"/>
    <col min="14854" max="14854" width="14" style="82" customWidth="1"/>
    <col min="14855" max="14855" width="12.5703125" style="82" customWidth="1"/>
    <col min="14856" max="14857" width="13.140625" style="82" customWidth="1"/>
    <col min="14858" max="14859" width="9.140625" style="82"/>
    <col min="14860" max="14860" width="11" style="82" customWidth="1"/>
    <col min="14861" max="15103" width="9.140625" style="82"/>
    <col min="15104" max="15104" width="26.85546875" style="82" customWidth="1"/>
    <col min="15105" max="15105" width="0" style="82" hidden="1" customWidth="1"/>
    <col min="15106" max="15106" width="12.42578125" style="82" customWidth="1"/>
    <col min="15107" max="15108" width="11.140625" style="82" customWidth="1"/>
    <col min="15109" max="15109" width="12.140625" style="82" customWidth="1"/>
    <col min="15110" max="15110" width="14" style="82" customWidth="1"/>
    <col min="15111" max="15111" width="12.5703125" style="82" customWidth="1"/>
    <col min="15112" max="15113" width="13.140625" style="82" customWidth="1"/>
    <col min="15114" max="15115" width="9.140625" style="82"/>
    <col min="15116" max="15116" width="11" style="82" customWidth="1"/>
    <col min="15117" max="15359" width="9.140625" style="82"/>
    <col min="15360" max="15360" width="26.85546875" style="82" customWidth="1"/>
    <col min="15361" max="15361" width="0" style="82" hidden="1" customWidth="1"/>
    <col min="15362" max="15362" width="12.42578125" style="82" customWidth="1"/>
    <col min="15363" max="15364" width="11.140625" style="82" customWidth="1"/>
    <col min="15365" max="15365" width="12.140625" style="82" customWidth="1"/>
    <col min="15366" max="15366" width="14" style="82" customWidth="1"/>
    <col min="15367" max="15367" width="12.5703125" style="82" customWidth="1"/>
    <col min="15368" max="15369" width="13.140625" style="82" customWidth="1"/>
    <col min="15370" max="15371" width="9.140625" style="82"/>
    <col min="15372" max="15372" width="11" style="82" customWidth="1"/>
    <col min="15373" max="15615" width="9.140625" style="82"/>
    <col min="15616" max="15616" width="26.85546875" style="82" customWidth="1"/>
    <col min="15617" max="15617" width="0" style="82" hidden="1" customWidth="1"/>
    <col min="15618" max="15618" width="12.42578125" style="82" customWidth="1"/>
    <col min="15619" max="15620" width="11.140625" style="82" customWidth="1"/>
    <col min="15621" max="15621" width="12.140625" style="82" customWidth="1"/>
    <col min="15622" max="15622" width="14" style="82" customWidth="1"/>
    <col min="15623" max="15623" width="12.5703125" style="82" customWidth="1"/>
    <col min="15624" max="15625" width="13.140625" style="82" customWidth="1"/>
    <col min="15626" max="15627" width="9.140625" style="82"/>
    <col min="15628" max="15628" width="11" style="82" customWidth="1"/>
    <col min="15629" max="15871" width="9.140625" style="82"/>
    <col min="15872" max="15872" width="26.85546875" style="82" customWidth="1"/>
    <col min="15873" max="15873" width="0" style="82" hidden="1" customWidth="1"/>
    <col min="15874" max="15874" width="12.42578125" style="82" customWidth="1"/>
    <col min="15875" max="15876" width="11.140625" style="82" customWidth="1"/>
    <col min="15877" max="15877" width="12.140625" style="82" customWidth="1"/>
    <col min="15878" max="15878" width="14" style="82" customWidth="1"/>
    <col min="15879" max="15879" width="12.5703125" style="82" customWidth="1"/>
    <col min="15880" max="15881" width="13.140625" style="82" customWidth="1"/>
    <col min="15882" max="15883" width="9.140625" style="82"/>
    <col min="15884" max="15884" width="11" style="82" customWidth="1"/>
    <col min="15885" max="16127" width="9.140625" style="82"/>
    <col min="16128" max="16128" width="26.85546875" style="82" customWidth="1"/>
    <col min="16129" max="16129" width="0" style="82" hidden="1" customWidth="1"/>
    <col min="16130" max="16130" width="12.42578125" style="82" customWidth="1"/>
    <col min="16131" max="16132" width="11.140625" style="82" customWidth="1"/>
    <col min="16133" max="16133" width="12.140625" style="82" customWidth="1"/>
    <col min="16134" max="16134" width="14" style="82" customWidth="1"/>
    <col min="16135" max="16135" width="12.5703125" style="82" customWidth="1"/>
    <col min="16136" max="16137" width="13.140625" style="82" customWidth="1"/>
    <col min="16138" max="16139" width="9.140625" style="82"/>
    <col min="16140" max="16140" width="11" style="82" customWidth="1"/>
    <col min="16141" max="16384" width="9.140625" style="82"/>
  </cols>
  <sheetData>
    <row r="2" spans="1:10" x14ac:dyDescent="0.2">
      <c r="A2" s="93" t="s">
        <v>88</v>
      </c>
      <c r="B2" s="93"/>
      <c r="C2" s="93"/>
      <c r="D2" s="93"/>
      <c r="E2" s="93"/>
      <c r="F2" s="93"/>
      <c r="G2" s="81"/>
      <c r="H2" s="81"/>
      <c r="I2" s="81"/>
      <c r="J2" s="81"/>
    </row>
    <row r="3" spans="1:10" ht="51" x14ac:dyDescent="0.2">
      <c r="A3" s="119" t="s">
        <v>65</v>
      </c>
      <c r="B3" s="120" t="s">
        <v>89</v>
      </c>
      <c r="C3" s="120" t="s">
        <v>90</v>
      </c>
      <c r="D3" s="120" t="s">
        <v>91</v>
      </c>
      <c r="E3" s="120" t="s">
        <v>90</v>
      </c>
      <c r="F3" s="120" t="s">
        <v>92</v>
      </c>
      <c r="G3" s="120" t="s">
        <v>93</v>
      </c>
      <c r="H3" s="83"/>
      <c r="I3" s="83"/>
      <c r="J3" s="83"/>
    </row>
    <row r="4" spans="1:10" x14ac:dyDescent="0.2">
      <c r="A4" s="270" t="s">
        <v>94</v>
      </c>
      <c r="B4" s="271"/>
      <c r="C4" s="271"/>
      <c r="D4" s="271"/>
      <c r="E4" s="271"/>
      <c r="F4" s="271"/>
      <c r="G4" s="272"/>
      <c r="H4" s="81"/>
      <c r="I4" s="81"/>
      <c r="J4" s="81"/>
    </row>
    <row r="5" spans="1:10" x14ac:dyDescent="0.2">
      <c r="A5" s="122"/>
      <c r="B5" s="123"/>
      <c r="C5" s="123"/>
      <c r="D5" s="123"/>
      <c r="E5" s="123"/>
      <c r="F5" s="123"/>
      <c r="G5" s="124"/>
      <c r="H5" s="81"/>
      <c r="I5" s="81"/>
      <c r="J5" s="81"/>
    </row>
    <row r="6" spans="1:10" x14ac:dyDescent="0.2">
      <c r="A6" s="297" t="s">
        <v>204</v>
      </c>
      <c r="B6" s="298">
        <f>227437703/1000000</f>
        <v>227.437703</v>
      </c>
      <c r="C6" s="299"/>
      <c r="D6" s="299"/>
      <c r="E6" s="299"/>
      <c r="F6" s="300">
        <f>13238</f>
        <v>13238</v>
      </c>
      <c r="G6" s="301"/>
      <c r="H6" s="81"/>
      <c r="I6" s="81"/>
      <c r="J6" s="81"/>
    </row>
    <row r="7" spans="1:10" x14ac:dyDescent="0.2">
      <c r="A7" s="122"/>
      <c r="B7" s="123"/>
      <c r="C7" s="123"/>
      <c r="D7" s="123"/>
      <c r="E7" s="123"/>
      <c r="F7" s="123"/>
      <c r="G7" s="124"/>
      <c r="H7" s="81"/>
      <c r="I7" s="81"/>
      <c r="J7" s="81"/>
    </row>
    <row r="8" spans="1:10" x14ac:dyDescent="0.2">
      <c r="A8" s="122">
        <v>2013</v>
      </c>
      <c r="B8" s="127">
        <v>218.66249099999999</v>
      </c>
      <c r="C8" s="123"/>
      <c r="D8" s="123"/>
      <c r="E8" s="123"/>
      <c r="F8" s="123"/>
      <c r="G8" s="124"/>
      <c r="H8" s="81"/>
      <c r="I8" s="81"/>
      <c r="J8" s="81"/>
    </row>
    <row r="9" spans="1:10" x14ac:dyDescent="0.2">
      <c r="A9" s="126">
        <f>2014</f>
        <v>2014</v>
      </c>
      <c r="B9" s="127">
        <f>'Load Forecast Summary'!B10/1000000</f>
        <v>204.77350150000001</v>
      </c>
      <c r="C9" s="131">
        <f>B9-B8</f>
        <v>-13.88898949999998</v>
      </c>
      <c r="D9" s="127">
        <f t="shared" ref="D9:D20" si="0">B9*F116</f>
        <v>201.03038404652361</v>
      </c>
      <c r="E9" s="131">
        <f>D9-D8</f>
        <v>201.03038404652361</v>
      </c>
      <c r="F9" s="129">
        <f>'Load Forecast Summary'!B37</f>
        <v>12670.083333333334</v>
      </c>
      <c r="G9" s="130"/>
      <c r="I9" s="81"/>
      <c r="J9" s="81"/>
    </row>
    <row r="10" spans="1:10" x14ac:dyDescent="0.2">
      <c r="A10" s="126">
        <f t="shared" ref="A10:A17" si="1">A9+1</f>
        <v>2015</v>
      </c>
      <c r="B10" s="127">
        <f>'Load Forecast Summary'!C10/1000000</f>
        <v>201.1465705</v>
      </c>
      <c r="C10" s="131">
        <f>B10-B9</f>
        <v>-3.6269310000000132</v>
      </c>
      <c r="D10" s="127">
        <f t="shared" si="0"/>
        <v>201.23832414244077</v>
      </c>
      <c r="E10" s="131">
        <f t="shared" ref="E10:E20" si="2">D10-D9</f>
        <v>0.20794009591716645</v>
      </c>
      <c r="F10" s="129">
        <f>'Load Forecast Summary'!C37</f>
        <v>12674.499999999998</v>
      </c>
      <c r="G10" s="130">
        <f t="shared" ref="G10:G20" si="3">F10-F9</f>
        <v>4.4166666666642413</v>
      </c>
    </row>
    <row r="11" spans="1:10" x14ac:dyDescent="0.2">
      <c r="A11" s="126">
        <f t="shared" si="1"/>
        <v>2016</v>
      </c>
      <c r="B11" s="127">
        <f>'Load Forecast Summary'!D10/1000000</f>
        <v>197.26306490000002</v>
      </c>
      <c r="C11" s="131">
        <f t="shared" ref="C11:C17" si="4">B11-B10</f>
        <v>-3.8835055999999781</v>
      </c>
      <c r="D11" s="127">
        <f t="shared" si="0"/>
        <v>202.79983939885398</v>
      </c>
      <c r="E11" s="131">
        <f t="shared" si="2"/>
        <v>1.5615152564132018</v>
      </c>
      <c r="F11" s="129">
        <f>'Load Forecast Summary'!D37</f>
        <v>12743.25</v>
      </c>
      <c r="G11" s="130">
        <f t="shared" si="3"/>
        <v>68.750000000001819</v>
      </c>
    </row>
    <row r="12" spans="1:10" x14ac:dyDescent="0.2">
      <c r="A12" s="126">
        <f t="shared" si="1"/>
        <v>2017</v>
      </c>
      <c r="B12" s="127">
        <f>'Load Forecast Summary'!E10/1000000</f>
        <v>203.06377739999996</v>
      </c>
      <c r="C12" s="131">
        <f t="shared" si="4"/>
        <v>5.8007124999999462</v>
      </c>
      <c r="D12" s="127">
        <f t="shared" si="0"/>
        <v>208.01197178940643</v>
      </c>
      <c r="E12" s="131">
        <f t="shared" si="2"/>
        <v>5.2121323905524548</v>
      </c>
      <c r="F12" s="129">
        <f>'Load Forecast Summary'!E37</f>
        <v>12773.833333333334</v>
      </c>
      <c r="G12" s="130">
        <f t="shared" si="3"/>
        <v>30.58333333333394</v>
      </c>
    </row>
    <row r="13" spans="1:10" x14ac:dyDescent="0.2">
      <c r="A13" s="126">
        <f t="shared" si="1"/>
        <v>2018</v>
      </c>
      <c r="B13" s="127">
        <f>'Load Forecast Summary'!F10/1000000</f>
        <v>224.56577507520856</v>
      </c>
      <c r="C13" s="131">
        <f t="shared" si="4"/>
        <v>21.5019976752086</v>
      </c>
      <c r="D13" s="127">
        <f t="shared" si="0"/>
        <v>222.90763669578419</v>
      </c>
      <c r="E13" s="131">
        <f t="shared" si="2"/>
        <v>14.89566490637776</v>
      </c>
      <c r="F13" s="129">
        <f>'Load Forecast Summary'!F37</f>
        <v>12783.916666666666</v>
      </c>
      <c r="G13" s="130">
        <f t="shared" si="3"/>
        <v>10.083333333332121</v>
      </c>
    </row>
    <row r="14" spans="1:10" x14ac:dyDescent="0.2">
      <c r="A14" s="126">
        <f t="shared" si="1"/>
        <v>2019</v>
      </c>
      <c r="B14" s="127">
        <f>'Load Forecast Summary'!G10/1000000</f>
        <v>235.80048053377672</v>
      </c>
      <c r="C14" s="131">
        <f t="shared" si="4"/>
        <v>11.234705458568158</v>
      </c>
      <c r="D14" s="127">
        <f t="shared" si="0"/>
        <v>227.50876484465039</v>
      </c>
      <c r="E14" s="131">
        <f t="shared" si="2"/>
        <v>4.601128148866195</v>
      </c>
      <c r="F14" s="129">
        <f>'Load Forecast Summary'!G37</f>
        <v>12801</v>
      </c>
      <c r="G14" s="130">
        <f t="shared" si="3"/>
        <v>17.08333333333394</v>
      </c>
    </row>
    <row r="15" spans="1:10" x14ac:dyDescent="0.2">
      <c r="A15" s="126">
        <f t="shared" si="1"/>
        <v>2020</v>
      </c>
      <c r="B15" s="127">
        <f>'Load Forecast Summary'!H10/1000000</f>
        <v>229.14021985089641</v>
      </c>
      <c r="C15" s="131">
        <f t="shared" si="4"/>
        <v>-6.6602606828803061</v>
      </c>
      <c r="D15" s="127">
        <f t="shared" si="0"/>
        <v>226.61369120719525</v>
      </c>
      <c r="E15" s="131">
        <f t="shared" si="2"/>
        <v>-0.89507363745514112</v>
      </c>
      <c r="F15" s="129">
        <f>'Load Forecast Summary'!H37</f>
        <v>13028</v>
      </c>
      <c r="G15" s="130">
        <f t="shared" si="3"/>
        <v>227</v>
      </c>
      <c r="I15" s="85"/>
      <c r="J15" s="85"/>
    </row>
    <row r="16" spans="1:10" x14ac:dyDescent="0.2">
      <c r="A16" s="126">
        <f t="shared" si="1"/>
        <v>2021</v>
      </c>
      <c r="B16" s="127">
        <f>'Load Forecast Summary'!I10/1000000</f>
        <v>244.31434379167749</v>
      </c>
      <c r="C16" s="131">
        <f t="shared" si="4"/>
        <v>15.174123940781072</v>
      </c>
      <c r="D16" s="127">
        <f t="shared" si="0"/>
        <v>245.38952863692992</v>
      </c>
      <c r="E16" s="131">
        <f t="shared" si="2"/>
        <v>18.775837429734679</v>
      </c>
      <c r="F16" s="129">
        <f>'Load Forecast Summary'!I37</f>
        <v>13311.5</v>
      </c>
      <c r="G16" s="130">
        <f t="shared" si="3"/>
        <v>283.5</v>
      </c>
    </row>
    <row r="17" spans="1:12" ht="12.75" customHeight="1" x14ac:dyDescent="0.2">
      <c r="A17" s="126">
        <f t="shared" si="1"/>
        <v>2022</v>
      </c>
      <c r="B17" s="127">
        <f>'Load Forecast Summary'!J10/1000000</f>
        <v>256.28758002670696</v>
      </c>
      <c r="C17" s="131">
        <f t="shared" si="4"/>
        <v>11.973236235029475</v>
      </c>
      <c r="D17" s="127">
        <f t="shared" si="0"/>
        <v>251.92154806466564</v>
      </c>
      <c r="E17" s="131">
        <f t="shared" si="2"/>
        <v>6.5320194277357189</v>
      </c>
      <c r="F17" s="129">
        <f>'Load Forecast Summary'!J37</f>
        <v>13425.5</v>
      </c>
      <c r="G17" s="130">
        <f t="shared" si="3"/>
        <v>114</v>
      </c>
      <c r="I17" s="85"/>
      <c r="J17" s="85"/>
    </row>
    <row r="18" spans="1:12" x14ac:dyDescent="0.2">
      <c r="A18" s="132">
        <v>2023</v>
      </c>
      <c r="B18" s="127">
        <f>'Load Forecast Summary'!K10/1000000</f>
        <v>259.74242400000003</v>
      </c>
      <c r="C18" s="131">
        <f>B18-B17</f>
        <v>3.454843973293066</v>
      </c>
      <c r="D18" s="127">
        <f t="shared" si="0"/>
        <v>261.29197601170785</v>
      </c>
      <c r="E18" s="131">
        <f>D18-D17</f>
        <v>9.3704279470422023</v>
      </c>
      <c r="F18" s="129">
        <f>'Load Forecast Summary'!K37</f>
        <v>13511.5</v>
      </c>
      <c r="G18" s="130">
        <f t="shared" si="3"/>
        <v>86</v>
      </c>
      <c r="J18" s="85"/>
    </row>
    <row r="19" spans="1:12" x14ac:dyDescent="0.2">
      <c r="A19" s="132" t="s">
        <v>168</v>
      </c>
      <c r="B19" s="127">
        <f>'Load Forecast Summary'!L10/1000000</f>
        <v>263.44179662702101</v>
      </c>
      <c r="C19" s="131">
        <f>B19-B18</f>
        <v>3.6993726270209777</v>
      </c>
      <c r="D19" s="127">
        <f t="shared" si="0"/>
        <v>266.56669681151988</v>
      </c>
      <c r="E19" s="131">
        <f t="shared" si="2"/>
        <v>5.2747207998120302</v>
      </c>
      <c r="F19" s="129">
        <f>'Load Forecast Summary'!L37</f>
        <v>13558.622135142044</v>
      </c>
      <c r="G19" s="130">
        <f t="shared" si="3"/>
        <v>47.122135142044499</v>
      </c>
      <c r="I19" s="85"/>
      <c r="J19" s="85"/>
    </row>
    <row r="20" spans="1:12" x14ac:dyDescent="0.2">
      <c r="A20" s="258" t="s">
        <v>169</v>
      </c>
      <c r="B20" s="127">
        <f>'Load Forecast Summary'!M10/1000000</f>
        <v>267.97636475833644</v>
      </c>
      <c r="C20" s="131">
        <f>B20-B19</f>
        <v>4.5345681313154387</v>
      </c>
      <c r="D20" s="127">
        <f t="shared" si="0"/>
        <v>267.97636475833644</v>
      </c>
      <c r="E20" s="131">
        <f t="shared" si="2"/>
        <v>1.4096679468165689</v>
      </c>
      <c r="F20" s="129">
        <f>'Load Forecast Summary'!M37</f>
        <v>13599.38059356039</v>
      </c>
      <c r="G20" s="130">
        <f t="shared" si="3"/>
        <v>40.758458418345981</v>
      </c>
      <c r="I20" s="85"/>
      <c r="J20" s="85"/>
    </row>
    <row r="22" spans="1:12" x14ac:dyDescent="0.2">
      <c r="A22" s="86" t="s">
        <v>95</v>
      </c>
      <c r="B22" s="86"/>
      <c r="C22" s="86"/>
      <c r="D22" s="86"/>
      <c r="E22" s="86"/>
    </row>
    <row r="23" spans="1:12" ht="14.25" customHeight="1" x14ac:dyDescent="0.2">
      <c r="A23" s="373" t="s">
        <v>96</v>
      </c>
      <c r="B23" s="354"/>
      <c r="C23" s="354"/>
      <c r="D23" s="354"/>
      <c r="E23" s="354"/>
      <c r="F23" s="354"/>
      <c r="G23" s="356"/>
      <c r="H23" s="136"/>
    </row>
    <row r="24" spans="1:12" ht="25.5" x14ac:dyDescent="0.2">
      <c r="A24" s="370" t="s">
        <v>65</v>
      </c>
      <c r="B24" s="372" t="str">
        <f>'Rate Class Energy Model'!H2</f>
        <v>R1(i) Residential</v>
      </c>
      <c r="C24" s="372" t="str">
        <f>'Rate Class Energy Model'!I2</f>
        <v>R1(ii) GS &lt; 50 kW</v>
      </c>
      <c r="D24" s="372" t="str">
        <f>'Rate Class Energy Model'!J2</f>
        <v>R2 GS&gt;50 kW</v>
      </c>
      <c r="E24" s="372" t="str">
        <f>'Rate Class Energy Model'!K2</f>
        <v>Seasonal</v>
      </c>
      <c r="F24" s="372" t="str">
        <f>'Rate Class Energy Model'!L2</f>
        <v>Street Lights</v>
      </c>
      <c r="G24" s="362" t="s">
        <v>8</v>
      </c>
      <c r="H24" s="136"/>
    </row>
    <row r="25" spans="1:12" ht="14.25" customHeight="1" x14ac:dyDescent="0.2">
      <c r="A25" s="126"/>
      <c r="B25" s="127"/>
      <c r="C25" s="127"/>
      <c r="D25" s="127"/>
      <c r="E25" s="127"/>
      <c r="F25" s="127"/>
      <c r="G25" s="127"/>
      <c r="H25" s="138"/>
      <c r="I25" s="84"/>
      <c r="J25" s="84"/>
      <c r="K25" s="84"/>
      <c r="L25" s="84"/>
    </row>
    <row r="26" spans="1:12" ht="14.25" customHeight="1" x14ac:dyDescent="0.2">
      <c r="A26" s="126">
        <f t="shared" ref="A26:A34" si="5">A9</f>
        <v>2014</v>
      </c>
      <c r="B26" s="127" cm="1">
        <f t="array" ref="B26:B35">TRANSPOSE('Load Forecast Summary'!B15:K15/1000000)</f>
        <v>85.393125999999995</v>
      </c>
      <c r="C26" s="127" cm="1">
        <f t="array" ref="C26:C35">TRANSPOSE('Load Forecast Summary'!B19:K19)/1000000</f>
        <v>27.212831000000001</v>
      </c>
      <c r="D26" s="127" cm="1">
        <f t="array" ref="D26:D35">TRANSPOSE('Load Forecast Summary'!B23:K23)/1000000</f>
        <v>83.4707078</v>
      </c>
      <c r="E26" s="127" cm="1">
        <f t="array" ref="E26:E35">TRANSPOSE('Load Forecast Summary'!B28:K28)/1000000</f>
        <v>7.9195679999999999</v>
      </c>
      <c r="F26" s="127" cm="1">
        <f t="array" ref="F26:F35">TRANSPOSE('Load Forecast Summary'!B32:K32)/1000000</f>
        <v>0.77726869999999992</v>
      </c>
      <c r="G26" s="127">
        <f t="shared" ref="G26:G34" si="6">SUM(B26:F26)</f>
        <v>204.77350150000001</v>
      </c>
      <c r="H26" s="138"/>
      <c r="I26" s="84"/>
      <c r="J26" s="84"/>
      <c r="K26" s="84"/>
      <c r="L26" s="84"/>
    </row>
    <row r="27" spans="1:12" x14ac:dyDescent="0.2">
      <c r="A27" s="126">
        <f t="shared" si="5"/>
        <v>2015</v>
      </c>
      <c r="B27" s="127">
        <v>80.876149499999997</v>
      </c>
      <c r="C27" s="127">
        <v>26.130351000000001</v>
      </c>
      <c r="D27" s="127">
        <v>86.528983699999998</v>
      </c>
      <c r="E27" s="127">
        <v>6.8683899999999998</v>
      </c>
      <c r="F27" s="127">
        <v>0.74269630000000009</v>
      </c>
      <c r="G27" s="127">
        <f t="shared" si="6"/>
        <v>201.1465705</v>
      </c>
      <c r="H27" s="138"/>
      <c r="I27" s="84"/>
      <c r="J27" s="84"/>
      <c r="K27" s="84"/>
      <c r="L27" s="84"/>
    </row>
    <row r="28" spans="1:12" x14ac:dyDescent="0.2">
      <c r="A28" s="126">
        <f t="shared" si="5"/>
        <v>2016</v>
      </c>
      <c r="B28" s="127">
        <v>75.910135699999998</v>
      </c>
      <c r="C28" s="127">
        <v>24.984442000000001</v>
      </c>
      <c r="D28" s="127">
        <v>89.578885799999995</v>
      </c>
      <c r="E28" s="127">
        <v>6.2050260000000002</v>
      </c>
      <c r="F28" s="127">
        <v>0.58457540000000008</v>
      </c>
      <c r="G28" s="127">
        <f t="shared" si="6"/>
        <v>197.26306489999999</v>
      </c>
      <c r="H28" s="138"/>
      <c r="I28" s="84"/>
      <c r="J28" s="84"/>
      <c r="K28" s="84"/>
      <c r="L28" s="84"/>
    </row>
    <row r="29" spans="1:12" x14ac:dyDescent="0.2">
      <c r="A29" s="126">
        <f t="shared" si="5"/>
        <v>2017</v>
      </c>
      <c r="B29" s="127">
        <v>76.321855799999994</v>
      </c>
      <c r="C29" s="127">
        <v>25.604789</v>
      </c>
      <c r="D29" s="127">
        <v>94.512142900000001</v>
      </c>
      <c r="E29" s="127">
        <v>6.0424530000000001</v>
      </c>
      <c r="F29" s="127">
        <v>0.58253669999999991</v>
      </c>
      <c r="G29" s="127">
        <f t="shared" si="6"/>
        <v>203.06377739999996</v>
      </c>
      <c r="H29" s="138"/>
      <c r="I29" s="84"/>
      <c r="J29" s="84"/>
      <c r="K29" s="84"/>
      <c r="L29" s="84"/>
    </row>
    <row r="30" spans="1:12" x14ac:dyDescent="0.2">
      <c r="A30" s="126">
        <f t="shared" si="5"/>
        <v>2018</v>
      </c>
      <c r="B30" s="127">
        <v>82.424404340000223</v>
      </c>
      <c r="C30" s="127">
        <v>26.13243001999999</v>
      </c>
      <c r="D30" s="127">
        <v>109.38557442520839</v>
      </c>
      <c r="E30" s="127">
        <v>6.0462692899999535</v>
      </c>
      <c r="F30" s="127">
        <v>0.57709700000000008</v>
      </c>
      <c r="G30" s="127">
        <f t="shared" si="6"/>
        <v>224.56577507520856</v>
      </c>
      <c r="H30" s="138"/>
      <c r="I30" s="84"/>
      <c r="J30" s="84"/>
      <c r="K30" s="84"/>
      <c r="L30" s="84"/>
    </row>
    <row r="31" spans="1:12" x14ac:dyDescent="0.2">
      <c r="A31" s="126">
        <f t="shared" si="5"/>
        <v>2019</v>
      </c>
      <c r="B31" s="127">
        <v>86.629135540000107</v>
      </c>
      <c r="C31" s="127">
        <v>26.695948809999997</v>
      </c>
      <c r="D31" s="127">
        <v>115.63184881377667</v>
      </c>
      <c r="E31" s="127">
        <v>6.277417369999954</v>
      </c>
      <c r="F31" s="127">
        <v>0.56613000000000013</v>
      </c>
      <c r="G31" s="127">
        <f t="shared" si="6"/>
        <v>235.80048053377675</v>
      </c>
      <c r="H31" s="136"/>
    </row>
    <row r="32" spans="1:12" x14ac:dyDescent="0.2">
      <c r="A32" s="126">
        <f t="shared" si="5"/>
        <v>2020</v>
      </c>
      <c r="B32" s="127">
        <v>91.478383059998762</v>
      </c>
      <c r="C32" s="127">
        <v>27.143066610000066</v>
      </c>
      <c r="D32" s="127">
        <v>103.39692532089764</v>
      </c>
      <c r="E32" s="127">
        <v>6.5292627599999467</v>
      </c>
      <c r="F32" s="127">
        <v>0.59258210000000011</v>
      </c>
      <c r="G32" s="127">
        <f t="shared" si="6"/>
        <v>229.14021985089639</v>
      </c>
      <c r="H32" s="139"/>
      <c r="I32" s="88"/>
    </row>
    <row r="33" spans="1:10" x14ac:dyDescent="0.2">
      <c r="A33" s="126">
        <f t="shared" si="5"/>
        <v>2021</v>
      </c>
      <c r="B33" s="127">
        <v>92.005689629998741</v>
      </c>
      <c r="C33" s="127">
        <v>27.745373102553256</v>
      </c>
      <c r="D33" s="127">
        <v>117.5449574291255</v>
      </c>
      <c r="E33" s="127">
        <v>6.4241675299999965</v>
      </c>
      <c r="F33" s="127">
        <v>0.59415609999999985</v>
      </c>
      <c r="G33" s="127">
        <f t="shared" si="6"/>
        <v>244.31434379167752</v>
      </c>
      <c r="H33" s="139"/>
      <c r="I33" s="88"/>
    </row>
    <row r="34" spans="1:10" x14ac:dyDescent="0.2">
      <c r="A34" s="126">
        <f t="shared" si="5"/>
        <v>2022</v>
      </c>
      <c r="B34" s="127">
        <v>99.292265290000913</v>
      </c>
      <c r="C34" s="127">
        <v>29.567137169999924</v>
      </c>
      <c r="D34" s="127">
        <v>120.29440522670605</v>
      </c>
      <c r="E34" s="127">
        <v>6.5407974400000297</v>
      </c>
      <c r="F34" s="127">
        <v>0.59297489999999986</v>
      </c>
      <c r="G34" s="127">
        <f t="shared" si="6"/>
        <v>256.28758002670691</v>
      </c>
      <c r="H34" s="139"/>
    </row>
    <row r="35" spans="1:10" x14ac:dyDescent="0.2">
      <c r="A35" s="255">
        <v>2023</v>
      </c>
      <c r="B35" s="127">
        <v>96.395846000000006</v>
      </c>
      <c r="C35" s="256">
        <v>28.496500999999999</v>
      </c>
      <c r="D35" s="256">
        <v>128.18872300000001</v>
      </c>
      <c r="E35" s="256">
        <v>6.1239879999999998</v>
      </c>
      <c r="F35" s="256">
        <v>0.53736600000000001</v>
      </c>
      <c r="G35" s="256"/>
      <c r="H35" s="139"/>
    </row>
    <row r="36" spans="1:10" x14ac:dyDescent="0.2">
      <c r="A36" s="355" t="s">
        <v>97</v>
      </c>
      <c r="B36" s="354"/>
      <c r="C36" s="354"/>
      <c r="D36" s="354"/>
      <c r="E36" s="354"/>
      <c r="F36" s="354"/>
      <c r="G36" s="354"/>
      <c r="H36" s="313"/>
      <c r="I36" s="314"/>
      <c r="J36" s="137"/>
    </row>
    <row r="37" spans="1:10" ht="25.5" x14ac:dyDescent="0.2">
      <c r="A37" s="321" t="s">
        <v>65</v>
      </c>
      <c r="B37" s="320" t="s">
        <v>162</v>
      </c>
      <c r="C37" s="320" t="s">
        <v>163</v>
      </c>
      <c r="D37" s="320" t="s">
        <v>164</v>
      </c>
      <c r="E37" s="320" t="s">
        <v>165</v>
      </c>
      <c r="F37" s="320" t="s">
        <v>53</v>
      </c>
      <c r="G37" s="320" t="s">
        <v>8</v>
      </c>
      <c r="H37" s="134"/>
    </row>
    <row r="38" spans="1:10" ht="14.25" customHeight="1" x14ac:dyDescent="0.2">
      <c r="A38" s="352" t="s">
        <v>204</v>
      </c>
      <c r="B38" s="353">
        <f>84857056/1000000</f>
        <v>84.857056</v>
      </c>
      <c r="C38" s="353">
        <f>28480011/1000000</f>
        <v>28.480011000000001</v>
      </c>
      <c r="D38" s="353">
        <f>107645160/1000000</f>
        <v>107.64516</v>
      </c>
      <c r="E38" s="353">
        <f>5874372/1000000</f>
        <v>5.8743720000000001</v>
      </c>
      <c r="F38" s="353">
        <f>581104/1000000</f>
        <v>0.58110399999999995</v>
      </c>
      <c r="G38" s="353">
        <f>SUM(B38:F38)</f>
        <v>227.43770300000003</v>
      </c>
      <c r="H38" s="134"/>
    </row>
    <row r="39" spans="1:10" ht="14.25" customHeight="1" x14ac:dyDescent="0.2">
      <c r="A39" s="144"/>
      <c r="B39" s="140"/>
      <c r="C39" s="140"/>
      <c r="D39" s="140"/>
      <c r="E39" s="140"/>
      <c r="F39" s="140"/>
      <c r="G39" s="145"/>
      <c r="H39" s="134"/>
    </row>
    <row r="40" spans="1:10" ht="14.25" customHeight="1" x14ac:dyDescent="0.2">
      <c r="A40" s="126">
        <f>A9</f>
        <v>2014</v>
      </c>
      <c r="B40" s="135">
        <f t="shared" ref="B40:F49" si="7">B26*$F116</f>
        <v>83.832198936702639</v>
      </c>
      <c r="C40" s="135">
        <f t="shared" si="7"/>
        <v>26.71539934049105</v>
      </c>
      <c r="D40" s="135">
        <f t="shared" si="7"/>
        <v>81.944921206854261</v>
      </c>
      <c r="E40" s="135">
        <f t="shared" si="7"/>
        <v>7.7748037947310227</v>
      </c>
      <c r="F40" s="135">
        <f t="shared" si="7"/>
        <v>0.76306076774461029</v>
      </c>
      <c r="G40" s="127">
        <f t="shared" ref="G40:G49" si="8">SUM(B40:F40)</f>
        <v>201.03038404652355</v>
      </c>
      <c r="H40" s="136"/>
    </row>
    <row r="41" spans="1:10" x14ac:dyDescent="0.2">
      <c r="A41" s="126">
        <f>A10</f>
        <v>2015</v>
      </c>
      <c r="B41" s="135">
        <f t="shared" si="7"/>
        <v>80.913041410633937</v>
      </c>
      <c r="C41" s="135">
        <f t="shared" si="7"/>
        <v>26.142270442009607</v>
      </c>
      <c r="D41" s="135">
        <f t="shared" si="7"/>
        <v>86.568454168780249</v>
      </c>
      <c r="E41" s="135">
        <f t="shared" si="7"/>
        <v>6.8715230377576768</v>
      </c>
      <c r="F41" s="135">
        <f t="shared" si="7"/>
        <v>0.74303508325930645</v>
      </c>
      <c r="G41" s="127">
        <f t="shared" si="8"/>
        <v>201.23832414244077</v>
      </c>
      <c r="H41" s="141"/>
    </row>
    <row r="42" spans="1:10" x14ac:dyDescent="0.2">
      <c r="A42" s="126">
        <f>A11</f>
        <v>2016</v>
      </c>
      <c r="B42" s="135">
        <f t="shared" si="7"/>
        <v>78.04077938517932</v>
      </c>
      <c r="C42" s="135">
        <f t="shared" si="7"/>
        <v>25.685704658591572</v>
      </c>
      <c r="D42" s="135">
        <f t="shared" si="7"/>
        <v>92.093183602199403</v>
      </c>
      <c r="E42" s="135">
        <f t="shared" si="7"/>
        <v>6.3791885059863187</v>
      </c>
      <c r="F42" s="135">
        <f t="shared" si="7"/>
        <v>0.60098324689733051</v>
      </c>
      <c r="G42" s="127">
        <f t="shared" si="8"/>
        <v>202.79983939885395</v>
      </c>
      <c r="H42" s="141"/>
    </row>
    <row r="43" spans="1:10" x14ac:dyDescent="0.2">
      <c r="A43" s="143" t="s">
        <v>123</v>
      </c>
      <c r="B43" s="135">
        <f t="shared" si="7"/>
        <v>78.181642825997912</v>
      </c>
      <c r="C43" s="135">
        <f t="shared" si="7"/>
        <v>26.22871846144287</v>
      </c>
      <c r="D43" s="135">
        <f t="shared" si="7"/>
        <v>96.815185132428027</v>
      </c>
      <c r="E43" s="135">
        <f t="shared" si="7"/>
        <v>6.1896935980804546</v>
      </c>
      <c r="F43" s="135">
        <f t="shared" si="7"/>
        <v>0.59673177145720679</v>
      </c>
      <c r="G43" s="127">
        <f t="shared" si="8"/>
        <v>208.01197178940646</v>
      </c>
      <c r="H43" s="141"/>
    </row>
    <row r="44" spans="1:10" x14ac:dyDescent="0.2">
      <c r="A44" s="126">
        <f t="shared" ref="A44:A49" si="9">A13</f>
        <v>2018</v>
      </c>
      <c r="B44" s="135">
        <f t="shared" si="7"/>
        <v>81.815802836981462</v>
      </c>
      <c r="C44" s="135">
        <f t="shared" si="7"/>
        <v>25.939474592356255</v>
      </c>
      <c r="D44" s="135">
        <f t="shared" si="7"/>
        <v>108.5778982819979</v>
      </c>
      <c r="E44" s="135">
        <f t="shared" si="7"/>
        <v>6.0016251265751119</v>
      </c>
      <c r="F44" s="135">
        <f t="shared" si="7"/>
        <v>0.57283585787346636</v>
      </c>
      <c r="G44" s="127">
        <f t="shared" si="8"/>
        <v>222.90763669578419</v>
      </c>
      <c r="H44" s="141"/>
    </row>
    <row r="45" spans="1:10" x14ac:dyDescent="0.2">
      <c r="A45" s="126">
        <f t="shared" si="9"/>
        <v>2019</v>
      </c>
      <c r="B45" s="135">
        <f t="shared" si="7"/>
        <v>83.582898481167746</v>
      </c>
      <c r="C45" s="135">
        <f t="shared" si="7"/>
        <v>25.757209342281726</v>
      </c>
      <c r="D45" s="135">
        <f t="shared" si="7"/>
        <v>111.56575695170119</v>
      </c>
      <c r="E45" s="135">
        <f t="shared" si="7"/>
        <v>6.0566775310640999</v>
      </c>
      <c r="F45" s="135">
        <f t="shared" si="7"/>
        <v>0.54622253843563451</v>
      </c>
      <c r="G45" s="127">
        <f t="shared" si="8"/>
        <v>227.50876484465041</v>
      </c>
      <c r="H45" s="141"/>
    </row>
    <row r="46" spans="1:10" x14ac:dyDescent="0.2">
      <c r="A46" s="126">
        <f t="shared" si="9"/>
        <v>2020</v>
      </c>
      <c r="B46" s="135">
        <f t="shared" si="7"/>
        <v>90.469730998693464</v>
      </c>
      <c r="C46" s="135">
        <f t="shared" si="7"/>
        <v>26.843783772126041</v>
      </c>
      <c r="D46" s="135">
        <f t="shared" si="7"/>
        <v>102.2568579260777</v>
      </c>
      <c r="E46" s="135">
        <f t="shared" si="7"/>
        <v>6.4572702944427194</v>
      </c>
      <c r="F46" s="135">
        <f t="shared" si="7"/>
        <v>0.58604821585530997</v>
      </c>
      <c r="G46" s="127">
        <f t="shared" si="8"/>
        <v>226.61369120719522</v>
      </c>
      <c r="H46" s="141"/>
    </row>
    <row r="47" spans="1:10" x14ac:dyDescent="0.2">
      <c r="A47" s="126">
        <f t="shared" si="9"/>
        <v>2021</v>
      </c>
      <c r="B47" s="135">
        <f t="shared" si="7"/>
        <v>92.410590634302949</v>
      </c>
      <c r="C47" s="135">
        <f t="shared" si="7"/>
        <v>27.867475653810647</v>
      </c>
      <c r="D47" s="135">
        <f t="shared" si="7"/>
        <v>118.06225229975087</v>
      </c>
      <c r="E47" s="135">
        <f t="shared" si="7"/>
        <v>6.4524391716253788</v>
      </c>
      <c r="F47" s="135">
        <f t="shared" si="7"/>
        <v>0.59677087744007928</v>
      </c>
      <c r="G47" s="127">
        <f t="shared" si="8"/>
        <v>245.38952863692992</v>
      </c>
      <c r="H47" s="141"/>
    </row>
    <row r="48" spans="1:10" x14ac:dyDescent="0.2">
      <c r="A48" s="126">
        <f t="shared" si="9"/>
        <v>2022</v>
      </c>
      <c r="B48" s="135">
        <f t="shared" si="7"/>
        <v>97.600754512169019</v>
      </c>
      <c r="C48" s="135">
        <f t="shared" si="7"/>
        <v>29.063441025626378</v>
      </c>
      <c r="D48" s="135">
        <f t="shared" si="7"/>
        <v>118.24510881515221</v>
      </c>
      <c r="E48" s="135">
        <f t="shared" si="7"/>
        <v>6.4293705394951273</v>
      </c>
      <c r="F48" s="135">
        <f t="shared" si="7"/>
        <v>0.5828731722228736</v>
      </c>
      <c r="G48" s="127">
        <f t="shared" si="8"/>
        <v>251.92154806466559</v>
      </c>
      <c r="H48" s="141"/>
    </row>
    <row r="49" spans="1:12" ht="15" customHeight="1" x14ac:dyDescent="0.2">
      <c r="A49" s="126">
        <f t="shared" si="9"/>
        <v>2023</v>
      </c>
      <c r="B49" s="135">
        <f t="shared" si="7"/>
        <v>96.970917160071949</v>
      </c>
      <c r="C49" s="135">
        <f t="shared" si="7"/>
        <v>28.666503303709863</v>
      </c>
      <c r="D49" s="135">
        <f t="shared" si="7"/>
        <v>128.95346173826215</v>
      </c>
      <c r="E49" s="135">
        <f t="shared" si="7"/>
        <v>6.1605220315953728</v>
      </c>
      <c r="F49" s="135">
        <f t="shared" si="7"/>
        <v>0.54057177806851986</v>
      </c>
      <c r="G49" s="127">
        <f t="shared" si="8"/>
        <v>261.29197601170785</v>
      </c>
      <c r="H49" s="136"/>
    </row>
    <row r="50" spans="1:12" x14ac:dyDescent="0.2">
      <c r="A50" s="90"/>
      <c r="B50" s="91"/>
      <c r="C50" s="91"/>
      <c r="D50" s="91"/>
      <c r="E50" s="91"/>
      <c r="F50" s="92"/>
      <c r="G50" s="91"/>
      <c r="H50" s="91"/>
      <c r="I50" s="91"/>
      <c r="J50" s="91"/>
      <c r="K50" s="89"/>
    </row>
    <row r="51" spans="1:12" x14ac:dyDescent="0.2">
      <c r="A51" s="113" t="s">
        <v>98</v>
      </c>
      <c r="B51" s="113"/>
      <c r="C51" s="113"/>
      <c r="D51" s="113"/>
      <c r="E51" s="113"/>
      <c r="F51" s="113"/>
      <c r="G51" s="113"/>
      <c r="H51" s="93"/>
      <c r="I51" s="93"/>
      <c r="J51" s="81"/>
    </row>
    <row r="52" spans="1:12" x14ac:dyDescent="0.2">
      <c r="H52" s="94"/>
    </row>
    <row r="53" spans="1:12" x14ac:dyDescent="0.2">
      <c r="A53" s="349" t="s">
        <v>99</v>
      </c>
      <c r="B53" s="350"/>
      <c r="C53" s="350"/>
      <c r="D53" s="350"/>
      <c r="E53" s="350"/>
      <c r="F53" s="350"/>
      <c r="G53" s="359"/>
      <c r="H53" s="94"/>
    </row>
    <row r="54" spans="1:12" s="115" customFormat="1" ht="25.5" x14ac:dyDescent="0.2">
      <c r="A54" s="321" t="str">
        <f t="shared" ref="A54:G54" si="10">A24</f>
        <v>Year</v>
      </c>
      <c r="B54" s="320" t="str">
        <f t="shared" si="10"/>
        <v>R1(i) Residential</v>
      </c>
      <c r="C54" s="320" t="str">
        <f t="shared" si="10"/>
        <v>R1(ii) GS &lt; 50 kW</v>
      </c>
      <c r="D54" s="320" t="str">
        <f t="shared" si="10"/>
        <v>R2 GS&gt;50 kW</v>
      </c>
      <c r="E54" s="320" t="str">
        <f t="shared" si="10"/>
        <v>Seasonal</v>
      </c>
      <c r="F54" s="320" t="str">
        <f t="shared" si="10"/>
        <v>Street Lights</v>
      </c>
      <c r="G54" s="320" t="str">
        <f t="shared" si="10"/>
        <v>Total</v>
      </c>
      <c r="H54" s="116"/>
    </row>
    <row r="55" spans="1:12" s="115" customFormat="1" x14ac:dyDescent="0.2">
      <c r="A55" s="360" t="str">
        <f>A38</f>
        <v>2020 Board Approved</v>
      </c>
      <c r="B55" s="357">
        <f>8116</f>
        <v>8116</v>
      </c>
      <c r="C55" s="357">
        <f>997</f>
        <v>997</v>
      </c>
      <c r="D55" s="357">
        <f>37</f>
        <v>37</v>
      </c>
      <c r="E55" s="357">
        <f>2960</f>
        <v>2960</v>
      </c>
      <c r="F55" s="357">
        <v>1128</v>
      </c>
      <c r="G55" s="358">
        <f>SUM(B55:F55)</f>
        <v>13238</v>
      </c>
      <c r="H55" s="116"/>
    </row>
    <row r="56" spans="1:12" s="115" customFormat="1" x14ac:dyDescent="0.2">
      <c r="A56" s="153"/>
      <c r="B56" s="148"/>
      <c r="C56" s="148"/>
      <c r="D56" s="148"/>
      <c r="E56" s="148"/>
      <c r="F56" s="148"/>
      <c r="G56" s="154"/>
      <c r="H56" s="116"/>
    </row>
    <row r="57" spans="1:12" x14ac:dyDescent="0.2">
      <c r="A57" s="126"/>
      <c r="B57" s="129"/>
      <c r="C57" s="129"/>
      <c r="D57" s="129"/>
      <c r="E57" s="129"/>
      <c r="F57" s="129"/>
      <c r="G57" s="129"/>
      <c r="H57" s="95"/>
      <c r="L57" s="84"/>
    </row>
    <row r="58" spans="1:12" x14ac:dyDescent="0.2">
      <c r="A58" s="126">
        <f>A40</f>
        <v>2014</v>
      </c>
      <c r="B58" s="129" cm="1">
        <f t="array" ref="B58:B69">TRANSPOSE('Load Forecast Summary'!B14:M14)</f>
        <v>7397.916666666667</v>
      </c>
      <c r="C58" s="129" cm="1">
        <f t="array" ref="C58:C69">TRANSPOSE('Load Forecast Summary'!B18:M18)</f>
        <v>955.66666666666663</v>
      </c>
      <c r="D58" s="129" cm="1">
        <f t="array" ref="D58:D69">TRANSPOSE('Load Forecast Summary'!B22:M22)</f>
        <v>43.416666666666664</v>
      </c>
      <c r="E58" s="129" cm="1">
        <f t="array" ref="E58:E69">TRANSPOSE('Load Forecast Summary'!B27:M27)</f>
        <v>3254.5</v>
      </c>
      <c r="F58" s="129" cm="1">
        <f t="array" ref="F58:F69">TRANSPOSE('Load Forecast Summary'!B31:M31)</f>
        <v>1018.5833333333334</v>
      </c>
      <c r="G58" s="129">
        <f t="shared" ref="G58:G69" si="11">SUM(B58:F58)</f>
        <v>12670.083333333334</v>
      </c>
      <c r="J58" s="95" cm="1">
        <f t="array" ref="J58:J69">TRANSPOSE('Load Forecast Summary'!B37:M37)</f>
        <v>12670.083333333334</v>
      </c>
      <c r="K58" s="95">
        <f t="shared" ref="K58:K69" si="12">J58-G58</f>
        <v>0</v>
      </c>
      <c r="L58" s="84"/>
    </row>
    <row r="59" spans="1:12" x14ac:dyDescent="0.2">
      <c r="A59" s="126">
        <f>A41</f>
        <v>2015</v>
      </c>
      <c r="B59" s="129">
        <v>7479.5</v>
      </c>
      <c r="C59" s="129">
        <v>954.25</v>
      </c>
      <c r="D59" s="129">
        <v>42.166666666666664</v>
      </c>
      <c r="E59" s="129">
        <v>3175.9166666666665</v>
      </c>
      <c r="F59" s="129">
        <v>1022.6666666666666</v>
      </c>
      <c r="G59" s="129">
        <f t="shared" si="11"/>
        <v>12674.499999999998</v>
      </c>
      <c r="J59" s="95">
        <v>12674.499999999998</v>
      </c>
      <c r="K59" s="95">
        <f t="shared" si="12"/>
        <v>0</v>
      </c>
      <c r="L59" s="84"/>
    </row>
    <row r="60" spans="1:12" x14ac:dyDescent="0.2">
      <c r="A60" s="126">
        <f>A42</f>
        <v>2016</v>
      </c>
      <c r="B60" s="129">
        <v>7543.75</v>
      </c>
      <c r="C60" s="129">
        <v>951.16666666666663</v>
      </c>
      <c r="D60" s="129">
        <v>42.083333333333336</v>
      </c>
      <c r="E60" s="129">
        <v>3139.9166666666665</v>
      </c>
      <c r="F60" s="129">
        <v>1066.3333333333333</v>
      </c>
      <c r="G60" s="129">
        <f t="shared" si="11"/>
        <v>12743.25</v>
      </c>
      <c r="J60" s="95">
        <v>12743.25</v>
      </c>
      <c r="K60" s="95">
        <f t="shared" si="12"/>
        <v>0</v>
      </c>
      <c r="L60" s="84"/>
    </row>
    <row r="61" spans="1:12" x14ac:dyDescent="0.2">
      <c r="A61" s="126">
        <v>2017</v>
      </c>
      <c r="B61" s="129">
        <v>7596.416666666667</v>
      </c>
      <c r="C61" s="129">
        <v>961.16666666666663</v>
      </c>
      <c r="D61" s="129">
        <v>38.166666666666664</v>
      </c>
      <c r="E61" s="129">
        <v>3108.0833333333335</v>
      </c>
      <c r="F61" s="129">
        <v>1070</v>
      </c>
      <c r="G61" s="129">
        <f t="shared" si="11"/>
        <v>12773.833333333334</v>
      </c>
      <c r="J61" s="95">
        <v>12773.833333333334</v>
      </c>
      <c r="K61" s="95">
        <f t="shared" si="12"/>
        <v>0</v>
      </c>
      <c r="L61" s="84"/>
    </row>
    <row r="62" spans="1:12" x14ac:dyDescent="0.2">
      <c r="A62" s="126">
        <f t="shared" ref="A62:A67" si="13">A44</f>
        <v>2018</v>
      </c>
      <c r="B62" s="129">
        <v>7639.75</v>
      </c>
      <c r="C62" s="129">
        <v>960.91666666666663</v>
      </c>
      <c r="D62" s="129">
        <v>39.75</v>
      </c>
      <c r="E62" s="129">
        <v>3076.4166666666665</v>
      </c>
      <c r="F62" s="129">
        <v>1067.0833333333333</v>
      </c>
      <c r="G62" s="129">
        <f t="shared" si="11"/>
        <v>12783.916666666666</v>
      </c>
      <c r="J62" s="95">
        <v>12783.916666666666</v>
      </c>
      <c r="K62" s="95">
        <f t="shared" si="12"/>
        <v>0</v>
      </c>
      <c r="L62" s="84"/>
    </row>
    <row r="63" spans="1:12" x14ac:dyDescent="0.2">
      <c r="A63" s="126">
        <f t="shared" si="13"/>
        <v>2019</v>
      </c>
      <c r="B63" s="129">
        <v>7697.5</v>
      </c>
      <c r="C63" s="129">
        <v>951</v>
      </c>
      <c r="D63" s="129">
        <v>39.5</v>
      </c>
      <c r="E63" s="129">
        <v>3038.5</v>
      </c>
      <c r="F63" s="129">
        <v>1074.5</v>
      </c>
      <c r="G63" s="129">
        <f t="shared" si="11"/>
        <v>12801</v>
      </c>
      <c r="J63" s="96">
        <v>12801</v>
      </c>
      <c r="K63" s="95">
        <f t="shared" si="12"/>
        <v>0</v>
      </c>
      <c r="L63" s="84"/>
    </row>
    <row r="64" spans="1:12" x14ac:dyDescent="0.2">
      <c r="A64" s="126">
        <f t="shared" si="13"/>
        <v>2020</v>
      </c>
      <c r="B64" s="129">
        <v>7924.5</v>
      </c>
      <c r="C64" s="129">
        <v>968.5</v>
      </c>
      <c r="D64" s="129">
        <v>40.5</v>
      </c>
      <c r="E64" s="129">
        <v>2989.5</v>
      </c>
      <c r="F64" s="129">
        <v>1105</v>
      </c>
      <c r="G64" s="129">
        <f t="shared" si="11"/>
        <v>13028</v>
      </c>
      <c r="J64" s="95">
        <v>13028</v>
      </c>
      <c r="K64" s="95">
        <f t="shared" si="12"/>
        <v>0</v>
      </c>
      <c r="L64" s="84"/>
    </row>
    <row r="65" spans="1:18" x14ac:dyDescent="0.2">
      <c r="A65" s="126">
        <f t="shared" si="13"/>
        <v>2021</v>
      </c>
      <c r="B65" s="129">
        <v>8204.5</v>
      </c>
      <c r="C65" s="129">
        <v>998.5</v>
      </c>
      <c r="D65" s="129">
        <v>42.5</v>
      </c>
      <c r="E65" s="129">
        <v>2925</v>
      </c>
      <c r="F65" s="129">
        <v>1141</v>
      </c>
      <c r="G65" s="129">
        <f t="shared" si="11"/>
        <v>13311.5</v>
      </c>
      <c r="J65" s="95">
        <v>13311.5</v>
      </c>
      <c r="K65" s="95">
        <f t="shared" si="12"/>
        <v>0</v>
      </c>
      <c r="L65" s="84"/>
    </row>
    <row r="66" spans="1:18" ht="12.75" customHeight="1" x14ac:dyDescent="0.2">
      <c r="A66" s="126">
        <f t="shared" si="13"/>
        <v>2022</v>
      </c>
      <c r="B66" s="129">
        <v>8360.5</v>
      </c>
      <c r="C66" s="129">
        <v>1025</v>
      </c>
      <c r="D66" s="129">
        <v>45.5</v>
      </c>
      <c r="E66" s="129">
        <v>2848.5</v>
      </c>
      <c r="F66" s="129">
        <v>1146</v>
      </c>
      <c r="G66" s="129">
        <f t="shared" si="11"/>
        <v>13425.5</v>
      </c>
      <c r="J66" s="95">
        <v>13425.5</v>
      </c>
      <c r="K66" s="95">
        <f t="shared" si="12"/>
        <v>0</v>
      </c>
      <c r="L66" s="84"/>
    </row>
    <row r="67" spans="1:18" ht="12.75" customHeight="1" x14ac:dyDescent="0.2">
      <c r="A67" s="126">
        <f t="shared" si="13"/>
        <v>2023</v>
      </c>
      <c r="B67" s="129">
        <v>8485</v>
      </c>
      <c r="C67" s="129">
        <v>1055</v>
      </c>
      <c r="D67" s="129">
        <v>47</v>
      </c>
      <c r="E67" s="129">
        <v>2793</v>
      </c>
      <c r="F67" s="129">
        <v>1131.5</v>
      </c>
      <c r="G67" s="129">
        <f t="shared" si="11"/>
        <v>13511.5</v>
      </c>
      <c r="J67" s="95">
        <v>13511.5</v>
      </c>
      <c r="K67" s="95">
        <f t="shared" si="12"/>
        <v>0</v>
      </c>
      <c r="L67" s="84"/>
    </row>
    <row r="68" spans="1:18" ht="12.75" customHeight="1" x14ac:dyDescent="0.2">
      <c r="A68" s="126">
        <v>2024</v>
      </c>
      <c r="B68" s="129">
        <v>8566.6002674063275</v>
      </c>
      <c r="C68" s="129">
        <v>1071.6069871659804</v>
      </c>
      <c r="D68" s="129">
        <v>47</v>
      </c>
      <c r="E68" s="129">
        <v>2756.4148805697369</v>
      </c>
      <c r="F68" s="129">
        <v>1117</v>
      </c>
      <c r="G68" s="129">
        <f t="shared" si="11"/>
        <v>13558.622135142044</v>
      </c>
      <c r="J68" s="95">
        <v>13558.622135142044</v>
      </c>
      <c r="K68" s="95">
        <f t="shared" si="12"/>
        <v>0</v>
      </c>
      <c r="L68" s="96"/>
    </row>
    <row r="69" spans="1:18" ht="12.75" customHeight="1" x14ac:dyDescent="0.2">
      <c r="A69" s="255">
        <v>2025</v>
      </c>
      <c r="B69" s="257">
        <v>8634.8849400222571</v>
      </c>
      <c r="C69" s="257">
        <v>1070.55837274188</v>
      </c>
      <c r="D69" s="257">
        <v>46.119647750507838</v>
      </c>
      <c r="E69" s="257">
        <v>2718.8145082649953</v>
      </c>
      <c r="F69" s="257">
        <v>1129.0031247807513</v>
      </c>
      <c r="G69" s="129">
        <f t="shared" si="11"/>
        <v>13599.38059356039</v>
      </c>
      <c r="J69" s="95">
        <v>13599.38059356039</v>
      </c>
      <c r="K69" s="95">
        <f t="shared" si="12"/>
        <v>0</v>
      </c>
      <c r="L69" s="96"/>
    </row>
    <row r="70" spans="1:18" ht="12.75" customHeight="1" x14ac:dyDescent="0.2">
      <c r="A70" s="255"/>
      <c r="B70" s="257"/>
      <c r="C70" s="257"/>
      <c r="D70" s="257"/>
      <c r="E70" s="257"/>
      <c r="F70" s="257"/>
      <c r="G70" s="257"/>
      <c r="H70" s="95"/>
      <c r="L70" s="96"/>
    </row>
    <row r="71" spans="1:18" x14ac:dyDescent="0.2">
      <c r="A71" s="349" t="s">
        <v>100</v>
      </c>
      <c r="B71" s="350"/>
      <c r="C71" s="350"/>
      <c r="D71" s="350"/>
      <c r="E71" s="350"/>
      <c r="F71" s="350"/>
      <c r="G71" s="272"/>
    </row>
    <row r="72" spans="1:18" ht="25.5" x14ac:dyDescent="0.2">
      <c r="A72" s="361"/>
      <c r="B72" s="320" t="s">
        <v>162</v>
      </c>
      <c r="C72" s="320" t="s">
        <v>163</v>
      </c>
      <c r="D72" s="320" t="s">
        <v>164</v>
      </c>
      <c r="E72" s="320" t="s">
        <v>165</v>
      </c>
      <c r="F72" s="320" t="s">
        <v>53</v>
      </c>
      <c r="G72" s="200"/>
    </row>
    <row r="73" spans="1:18" x14ac:dyDescent="0.2">
      <c r="A73" s="151">
        <f t="shared" ref="A73:A81" si="14">A9</f>
        <v>2014</v>
      </c>
      <c r="B73" s="147">
        <f t="shared" ref="B73:F82" si="15">B26*1000000/B58</f>
        <v>11542.861301041959</v>
      </c>
      <c r="C73" s="147">
        <f t="shared" si="15"/>
        <v>28475.232996163239</v>
      </c>
      <c r="D73" s="147">
        <f t="shared" si="15"/>
        <v>1922549.8917466411</v>
      </c>
      <c r="E73" s="147">
        <f t="shared" si="15"/>
        <v>2433.420801966508</v>
      </c>
      <c r="F73" s="147">
        <f t="shared" si="15"/>
        <v>763.08798167389341</v>
      </c>
      <c r="G73" s="136"/>
    </row>
    <row r="74" spans="1:18" x14ac:dyDescent="0.2">
      <c r="A74" s="151">
        <f t="shared" si="14"/>
        <v>2015</v>
      </c>
      <c r="B74" s="147">
        <f t="shared" si="15"/>
        <v>10813.042248813423</v>
      </c>
      <c r="C74" s="147">
        <f t="shared" si="15"/>
        <v>27383.129159025411</v>
      </c>
      <c r="D74" s="147">
        <f t="shared" si="15"/>
        <v>2052070.7596837946</v>
      </c>
      <c r="E74" s="147">
        <f t="shared" si="15"/>
        <v>2162.6480543675057</v>
      </c>
      <c r="F74" s="147">
        <f t="shared" si="15"/>
        <v>726.23497392438082</v>
      </c>
      <c r="G74" s="136"/>
      <c r="I74" s="95"/>
      <c r="J74" s="95"/>
      <c r="K74" s="95"/>
      <c r="L74" s="95"/>
      <c r="M74" s="95"/>
      <c r="O74" s="95"/>
      <c r="P74" s="95"/>
      <c r="Q74" s="95"/>
      <c r="R74" s="95"/>
    </row>
    <row r="75" spans="1:18" x14ac:dyDescent="0.2">
      <c r="A75" s="151">
        <f t="shared" si="14"/>
        <v>2016</v>
      </c>
      <c r="B75" s="147">
        <f t="shared" si="15"/>
        <v>10062.65261971831</v>
      </c>
      <c r="C75" s="147">
        <f t="shared" si="15"/>
        <v>26267.154722270898</v>
      </c>
      <c r="D75" s="147">
        <f t="shared" si="15"/>
        <v>2128607.1873267326</v>
      </c>
      <c r="E75" s="147">
        <f t="shared" si="15"/>
        <v>1976.1753762042517</v>
      </c>
      <c r="F75" s="147">
        <f t="shared" si="15"/>
        <v>548.2107533604252</v>
      </c>
      <c r="G75" s="136"/>
      <c r="I75" s="95"/>
      <c r="J75" s="95"/>
      <c r="K75" s="95"/>
      <c r="L75" s="95"/>
      <c r="M75" s="95"/>
      <c r="O75" s="95"/>
      <c r="P75" s="95"/>
      <c r="Q75" s="95"/>
      <c r="R75" s="95"/>
    </row>
    <row r="76" spans="1:18" x14ac:dyDescent="0.2">
      <c r="A76" s="151">
        <f t="shared" si="14"/>
        <v>2017</v>
      </c>
      <c r="B76" s="147">
        <f t="shared" si="15"/>
        <v>10047.086560549382</v>
      </c>
      <c r="C76" s="147">
        <f t="shared" si="15"/>
        <v>26639.28108201838</v>
      </c>
      <c r="D76" s="147">
        <f t="shared" si="15"/>
        <v>2476300.6873362446</v>
      </c>
      <c r="E76" s="147">
        <f t="shared" si="15"/>
        <v>1944.1090704346193</v>
      </c>
      <c r="F76" s="147">
        <f t="shared" si="15"/>
        <v>544.42682242990645</v>
      </c>
      <c r="G76" s="136"/>
      <c r="I76" s="95"/>
      <c r="J76" s="95"/>
      <c r="K76" s="95"/>
      <c r="L76" s="95"/>
      <c r="M76" s="95"/>
      <c r="O76" s="95"/>
      <c r="P76" s="95"/>
      <c r="Q76" s="95"/>
      <c r="R76" s="95"/>
    </row>
    <row r="77" spans="1:18" x14ac:dyDescent="0.2">
      <c r="A77" s="151">
        <f t="shared" si="14"/>
        <v>2018</v>
      </c>
      <c r="B77" s="147">
        <f t="shared" si="15"/>
        <v>10788.887638993452</v>
      </c>
      <c r="C77" s="147">
        <f t="shared" si="15"/>
        <v>27195.313523545217</v>
      </c>
      <c r="D77" s="147">
        <f t="shared" si="15"/>
        <v>2751838.3503197078</v>
      </c>
      <c r="E77" s="147">
        <f t="shared" si="15"/>
        <v>1965.3609849120851</v>
      </c>
      <c r="F77" s="147">
        <f t="shared" si="15"/>
        <v>540.81718078875451</v>
      </c>
      <c r="G77" s="136"/>
      <c r="I77" s="95"/>
      <c r="J77" s="95"/>
      <c r="K77" s="95"/>
      <c r="L77" s="95"/>
      <c r="M77" s="95"/>
      <c r="O77" s="95"/>
      <c r="P77" s="95"/>
      <c r="Q77" s="95"/>
      <c r="R77" s="95"/>
    </row>
    <row r="78" spans="1:18" x14ac:dyDescent="0.2">
      <c r="A78" s="151">
        <f t="shared" si="14"/>
        <v>2019</v>
      </c>
      <c r="B78" s="147">
        <f t="shared" si="15"/>
        <v>11254.191041247173</v>
      </c>
      <c r="C78" s="147">
        <f t="shared" si="15"/>
        <v>28071.44985278654</v>
      </c>
      <c r="D78" s="147">
        <f t="shared" si="15"/>
        <v>2927388.5775639662</v>
      </c>
      <c r="E78" s="147">
        <f t="shared" si="15"/>
        <v>2065.9593121605908</v>
      </c>
      <c r="F78" s="147">
        <f t="shared" si="15"/>
        <v>526.87761749651008</v>
      </c>
      <c r="G78" s="136"/>
      <c r="I78" s="95"/>
      <c r="J78" s="95"/>
      <c r="K78" s="95"/>
      <c r="L78" s="95"/>
      <c r="M78" s="95"/>
      <c r="O78" s="95"/>
      <c r="P78" s="95"/>
      <c r="Q78" s="95"/>
      <c r="R78" s="95"/>
    </row>
    <row r="79" spans="1:18" x14ac:dyDescent="0.2">
      <c r="A79" s="151">
        <f t="shared" si="14"/>
        <v>2020</v>
      </c>
      <c r="B79" s="147">
        <f t="shared" si="15"/>
        <v>11543.741947125845</v>
      </c>
      <c r="C79" s="147">
        <f t="shared" si="15"/>
        <v>28025.881889519944</v>
      </c>
      <c r="D79" s="147">
        <f t="shared" si="15"/>
        <v>2553010.5017505591</v>
      </c>
      <c r="E79" s="147">
        <f t="shared" si="15"/>
        <v>2184.0651480180454</v>
      </c>
      <c r="F79" s="147">
        <f t="shared" si="15"/>
        <v>536.27339366515844</v>
      </c>
      <c r="G79" s="136"/>
      <c r="I79" s="95"/>
      <c r="J79" s="95"/>
      <c r="K79" s="95"/>
      <c r="L79" s="95"/>
      <c r="M79" s="95"/>
      <c r="O79" s="95"/>
      <c r="P79" s="95"/>
      <c r="Q79" s="95"/>
      <c r="R79" s="95"/>
    </row>
    <row r="80" spans="1:18" x14ac:dyDescent="0.2">
      <c r="A80" s="151">
        <f t="shared" si="14"/>
        <v>2021</v>
      </c>
      <c r="B80" s="147">
        <f t="shared" si="15"/>
        <v>11214.05199951231</v>
      </c>
      <c r="C80" s="147">
        <f t="shared" si="15"/>
        <v>27787.053683077873</v>
      </c>
      <c r="D80" s="147">
        <f t="shared" si="15"/>
        <v>2765763.7042147177</v>
      </c>
      <c r="E80" s="147">
        <f t="shared" si="15"/>
        <v>2196.2965914529905</v>
      </c>
      <c r="F80" s="147">
        <f t="shared" si="15"/>
        <v>520.73277826467995</v>
      </c>
      <c r="G80" s="136"/>
      <c r="I80" s="95"/>
      <c r="J80" s="95"/>
      <c r="K80" s="95"/>
      <c r="L80" s="95"/>
      <c r="M80" s="95"/>
      <c r="O80" s="95"/>
      <c r="P80" s="95"/>
      <c r="Q80" s="95"/>
      <c r="R80" s="95"/>
    </row>
    <row r="81" spans="1:23" x14ac:dyDescent="0.2">
      <c r="A81" s="151">
        <f t="shared" si="14"/>
        <v>2022</v>
      </c>
      <c r="B81" s="147">
        <f t="shared" si="15"/>
        <v>11876.354917768185</v>
      </c>
      <c r="C81" s="147">
        <f t="shared" si="15"/>
        <v>28845.987482926754</v>
      </c>
      <c r="D81" s="147">
        <f t="shared" si="15"/>
        <v>2643833.0819056272</v>
      </c>
      <c r="E81" s="147">
        <f t="shared" si="15"/>
        <v>2296.2251851851956</v>
      </c>
      <c r="F81" s="147">
        <f t="shared" si="15"/>
        <v>517.43010471204184</v>
      </c>
      <c r="G81" s="136"/>
      <c r="I81" s="95"/>
      <c r="J81" s="95"/>
      <c r="K81" s="95"/>
      <c r="L81" s="95"/>
      <c r="M81" s="95"/>
      <c r="O81" s="95"/>
      <c r="P81" s="95"/>
      <c r="Q81" s="95"/>
      <c r="R81" s="95"/>
    </row>
    <row r="82" spans="1:23" x14ac:dyDescent="0.2">
      <c r="A82" s="259">
        <v>2023</v>
      </c>
      <c r="B82" s="147">
        <f t="shared" si="15"/>
        <v>11360.73612256924</v>
      </c>
      <c r="C82" s="147">
        <f t="shared" si="15"/>
        <v>27010.901421800947</v>
      </c>
      <c r="D82" s="147">
        <f t="shared" si="15"/>
        <v>2727419.6382978726</v>
      </c>
      <c r="E82" s="147">
        <f t="shared" si="15"/>
        <v>2192.6201217329035</v>
      </c>
      <c r="F82" s="147">
        <f t="shared" si="15"/>
        <v>474.91471498011487</v>
      </c>
      <c r="G82" s="136"/>
      <c r="I82" s="95"/>
      <c r="J82" s="95"/>
      <c r="K82" s="95"/>
      <c r="L82" s="95"/>
      <c r="M82" s="95"/>
      <c r="O82" s="95"/>
      <c r="P82" s="95"/>
      <c r="Q82" s="95"/>
      <c r="R82" s="95"/>
    </row>
    <row r="83" spans="1:23" x14ac:dyDescent="0.2">
      <c r="A83" s="349" t="s">
        <v>101</v>
      </c>
      <c r="B83" s="350"/>
      <c r="C83" s="350"/>
      <c r="D83" s="350"/>
      <c r="E83" s="350"/>
      <c r="F83" s="350"/>
      <c r="G83" s="136"/>
    </row>
    <row r="84" spans="1:23" s="117" customFormat="1" ht="25.5" x14ac:dyDescent="0.2">
      <c r="A84" s="361"/>
      <c r="B84" s="320" t="s">
        <v>162</v>
      </c>
      <c r="C84" s="320" t="s">
        <v>163</v>
      </c>
      <c r="D84" s="320" t="s">
        <v>164</v>
      </c>
      <c r="E84" s="320" t="s">
        <v>165</v>
      </c>
      <c r="F84" s="320" t="s">
        <v>53</v>
      </c>
      <c r="G84" s="136"/>
    </row>
    <row r="85" spans="1:23" s="117" customFormat="1" x14ac:dyDescent="0.2">
      <c r="A85" s="351" t="str">
        <f>A55</f>
        <v>2020 Board Approved</v>
      </c>
      <c r="B85" s="315">
        <f>(B38*1000000)/B55</f>
        <v>10455.526860522425</v>
      </c>
      <c r="C85" s="315">
        <f>(C38*1000000)/C55</f>
        <v>28565.708124373119</v>
      </c>
      <c r="D85" s="315">
        <f>(D38*1000000)/D55</f>
        <v>2909328.6486486485</v>
      </c>
      <c r="E85" s="315">
        <f>(E38*1000000)/E55</f>
        <v>1984.585135135135</v>
      </c>
      <c r="F85" s="315">
        <f>(F38*1000000)/F55</f>
        <v>515.16312056737593</v>
      </c>
      <c r="G85" s="136"/>
    </row>
    <row r="86" spans="1:23" s="117" customFormat="1" x14ac:dyDescent="0.2">
      <c r="A86" s="152"/>
      <c r="B86" s="149"/>
      <c r="C86" s="149"/>
      <c r="D86" s="149"/>
      <c r="E86" s="149"/>
      <c r="F86" s="149"/>
      <c r="G86" s="136"/>
    </row>
    <row r="87" spans="1:23" x14ac:dyDescent="0.2">
      <c r="A87" s="151">
        <f t="shared" ref="A87:A96" si="16">A40</f>
        <v>2014</v>
      </c>
      <c r="B87" s="147">
        <f t="shared" ref="B87:F96" si="17">B40*1000000/B58</f>
        <v>11331.865809523308</v>
      </c>
      <c r="C87" s="147">
        <f t="shared" si="17"/>
        <v>27954.725504524991</v>
      </c>
      <c r="D87" s="147">
        <f t="shared" si="17"/>
        <v>1887407.0143613266</v>
      </c>
      <c r="E87" s="147">
        <f t="shared" si="17"/>
        <v>2388.9395589894061</v>
      </c>
      <c r="F87" s="147">
        <f t="shared" si="17"/>
        <v>749.139263105238</v>
      </c>
      <c r="G87" s="136"/>
    </row>
    <row r="88" spans="1:23" x14ac:dyDescent="0.2">
      <c r="A88" s="151">
        <f t="shared" si="16"/>
        <v>2015</v>
      </c>
      <c r="B88" s="147">
        <f t="shared" si="17"/>
        <v>10817.974652133691</v>
      </c>
      <c r="C88" s="147">
        <f t="shared" si="17"/>
        <v>27395.620059742843</v>
      </c>
      <c r="D88" s="147">
        <f t="shared" si="17"/>
        <v>2053006.8182319428</v>
      </c>
      <c r="E88" s="147">
        <f t="shared" si="17"/>
        <v>2163.6345530973244</v>
      </c>
      <c r="F88" s="147">
        <f t="shared" si="17"/>
        <v>726.56624829788768</v>
      </c>
      <c r="G88" s="136"/>
      <c r="S88" s="95"/>
      <c r="T88" s="95"/>
      <c r="U88" s="95"/>
      <c r="V88" s="95"/>
      <c r="W88" s="95"/>
    </row>
    <row r="89" spans="1:23" x14ac:dyDescent="0.2">
      <c r="A89" s="151">
        <f t="shared" si="16"/>
        <v>2016</v>
      </c>
      <c r="B89" s="147">
        <f t="shared" si="17"/>
        <v>10345.090887844815</v>
      </c>
      <c r="C89" s="147">
        <f t="shared" si="17"/>
        <v>27004.420527693961</v>
      </c>
      <c r="D89" s="147">
        <f t="shared" si="17"/>
        <v>2188352.8776760255</v>
      </c>
      <c r="E89" s="147">
        <f t="shared" si="17"/>
        <v>2031.6426145023975</v>
      </c>
      <c r="F89" s="147">
        <f t="shared" si="17"/>
        <v>563.59791831572102</v>
      </c>
      <c r="G89" s="136"/>
      <c r="S89" s="95"/>
      <c r="T89" s="95"/>
      <c r="U89" s="95"/>
      <c r="V89" s="95"/>
      <c r="W89" s="95"/>
    </row>
    <row r="90" spans="1:23" ht="12.75" customHeight="1" x14ac:dyDescent="0.2">
      <c r="A90" s="151" t="str">
        <f t="shared" si="16"/>
        <v>2017</v>
      </c>
      <c r="B90" s="147">
        <f t="shared" si="17"/>
        <v>10291.910812246728</v>
      </c>
      <c r="C90" s="147">
        <f t="shared" si="17"/>
        <v>27288.418721806349</v>
      </c>
      <c r="D90" s="147">
        <f t="shared" si="17"/>
        <v>2536642.405216455</v>
      </c>
      <c r="E90" s="147">
        <f t="shared" si="17"/>
        <v>1991.4825100400958</v>
      </c>
      <c r="F90" s="147">
        <f t="shared" si="17"/>
        <v>557.69324435252975</v>
      </c>
      <c r="G90" s="136"/>
      <c r="S90" s="95"/>
      <c r="T90" s="95"/>
      <c r="U90" s="95"/>
      <c r="V90" s="95"/>
      <c r="W90" s="95"/>
    </row>
    <row r="91" spans="1:23" x14ac:dyDescent="0.2">
      <c r="A91" s="151">
        <f t="shared" si="16"/>
        <v>2018</v>
      </c>
      <c r="B91" s="147">
        <f t="shared" si="17"/>
        <v>10709.225149642522</v>
      </c>
      <c r="C91" s="147">
        <f t="shared" si="17"/>
        <v>26994.510025867236</v>
      </c>
      <c r="D91" s="147">
        <f t="shared" si="17"/>
        <v>2731519.4536351673</v>
      </c>
      <c r="E91" s="147">
        <f t="shared" si="17"/>
        <v>1950.8492434082225</v>
      </c>
      <c r="F91" s="147">
        <f t="shared" si="17"/>
        <v>536.82391991265888</v>
      </c>
      <c r="G91" s="136"/>
      <c r="S91" s="95"/>
      <c r="T91" s="95"/>
      <c r="U91" s="95"/>
      <c r="V91" s="95"/>
      <c r="W91" s="95"/>
    </row>
    <row r="92" spans="1:23" x14ac:dyDescent="0.2">
      <c r="A92" s="151">
        <f t="shared" si="16"/>
        <v>2019</v>
      </c>
      <c r="B92" s="147">
        <f t="shared" si="17"/>
        <v>10858.447350590159</v>
      </c>
      <c r="C92" s="147">
        <f t="shared" si="17"/>
        <v>27084.342105448712</v>
      </c>
      <c r="D92" s="147">
        <f t="shared" si="17"/>
        <v>2824449.5430810428</v>
      </c>
      <c r="E92" s="147">
        <f t="shared" si="17"/>
        <v>1993.3116771644231</v>
      </c>
      <c r="F92" s="147">
        <f t="shared" si="17"/>
        <v>508.35043130352204</v>
      </c>
      <c r="G92" s="136"/>
      <c r="S92" s="95"/>
      <c r="T92" s="95"/>
      <c r="U92" s="95"/>
      <c r="V92" s="95"/>
      <c r="W92" s="95"/>
    </row>
    <row r="93" spans="1:23" x14ac:dyDescent="0.2">
      <c r="A93" s="151">
        <f t="shared" si="16"/>
        <v>2020</v>
      </c>
      <c r="B93" s="147">
        <f t="shared" si="17"/>
        <v>11416.459208618016</v>
      </c>
      <c r="C93" s="147">
        <f t="shared" si="17"/>
        <v>27716.865020264369</v>
      </c>
      <c r="D93" s="147">
        <f t="shared" si="17"/>
        <v>2524860.6895327824</v>
      </c>
      <c r="E93" s="147">
        <f t="shared" si="17"/>
        <v>2159.9833732874126</v>
      </c>
      <c r="F93" s="147">
        <f t="shared" si="17"/>
        <v>530.36037633964702</v>
      </c>
      <c r="G93" s="136"/>
      <c r="S93" s="95"/>
      <c r="T93" s="95"/>
      <c r="U93" s="95"/>
      <c r="V93" s="95"/>
      <c r="W93" s="95"/>
    </row>
    <row r="94" spans="1:23" x14ac:dyDescent="0.2">
      <c r="A94" s="151">
        <f t="shared" si="16"/>
        <v>2021</v>
      </c>
      <c r="B94" s="147">
        <f t="shared" si="17"/>
        <v>11263.403087854585</v>
      </c>
      <c r="C94" s="147">
        <f t="shared" si="17"/>
        <v>27909.339663305604</v>
      </c>
      <c r="D94" s="147">
        <f t="shared" si="17"/>
        <v>2777935.348229432</v>
      </c>
      <c r="E94" s="147">
        <f t="shared" si="17"/>
        <v>2205.9621099573942</v>
      </c>
      <c r="F94" s="147">
        <f t="shared" si="17"/>
        <v>523.02443246282144</v>
      </c>
      <c r="G94" s="136"/>
      <c r="S94" s="95"/>
      <c r="T94" s="95"/>
      <c r="U94" s="95"/>
      <c r="V94" s="95"/>
      <c r="W94" s="95"/>
    </row>
    <row r="95" spans="1:23" ht="12.75" customHeight="1" x14ac:dyDescent="0.2">
      <c r="A95" s="151">
        <f t="shared" si="16"/>
        <v>2022</v>
      </c>
      <c r="B95" s="147">
        <f t="shared" si="17"/>
        <v>11674.033193250287</v>
      </c>
      <c r="C95" s="147">
        <f t="shared" si="17"/>
        <v>28354.576610367199</v>
      </c>
      <c r="D95" s="147">
        <f t="shared" si="17"/>
        <v>2598793.6003330159</v>
      </c>
      <c r="E95" s="147">
        <f t="shared" si="17"/>
        <v>2257.1074388257425</v>
      </c>
      <c r="F95" s="147">
        <f t="shared" si="17"/>
        <v>508.61533352781288</v>
      </c>
      <c r="G95" s="136"/>
      <c r="S95" s="95"/>
      <c r="T95" s="95"/>
      <c r="U95" s="95"/>
      <c r="V95" s="95"/>
      <c r="W95" s="95"/>
    </row>
    <row r="96" spans="1:23" x14ac:dyDescent="0.2">
      <c r="A96" s="151">
        <f t="shared" si="16"/>
        <v>2023</v>
      </c>
      <c r="B96" s="147">
        <f t="shared" si="17"/>
        <v>11428.511156166405</v>
      </c>
      <c r="C96" s="147">
        <f t="shared" si="17"/>
        <v>27172.041046170489</v>
      </c>
      <c r="D96" s="147">
        <f t="shared" si="17"/>
        <v>2743690.6752821733</v>
      </c>
      <c r="E96" s="147">
        <f t="shared" si="17"/>
        <v>2205.7006915844513</v>
      </c>
      <c r="F96" s="147">
        <f t="shared" si="17"/>
        <v>477.74792582281918</v>
      </c>
      <c r="G96" s="136"/>
      <c r="S96" s="95"/>
      <c r="T96" s="95"/>
      <c r="U96" s="95"/>
      <c r="V96" s="95"/>
      <c r="W96" s="95"/>
    </row>
    <row r="97" spans="1:17" x14ac:dyDescent="0.2">
      <c r="A97" s="90"/>
      <c r="B97" s="97"/>
      <c r="C97" s="97"/>
      <c r="D97" s="97"/>
      <c r="E97" s="97"/>
      <c r="F97" s="97"/>
      <c r="G97" s="97"/>
      <c r="H97" s="97"/>
      <c r="P97" s="98"/>
      <c r="Q97" s="99"/>
    </row>
    <row r="98" spans="1:17" x14ac:dyDescent="0.2">
      <c r="A98" s="409" t="s">
        <v>124</v>
      </c>
      <c r="B98" s="409"/>
      <c r="C98" s="93"/>
      <c r="D98" s="93"/>
      <c r="E98" s="93"/>
      <c r="F98" s="93"/>
      <c r="G98" s="93"/>
      <c r="H98" s="93"/>
      <c r="M98" s="101"/>
    </row>
    <row r="99" spans="1:17" x14ac:dyDescent="0.2">
      <c r="A99" s="128" t="s">
        <v>18</v>
      </c>
      <c r="B99" s="155">
        <f>'Power Purchased Model'!Q6</f>
        <v>0.94112858167562796</v>
      </c>
      <c r="M99" s="101"/>
    </row>
    <row r="100" spans="1:17" x14ac:dyDescent="0.2">
      <c r="A100" s="128" t="s">
        <v>19</v>
      </c>
      <c r="B100" s="155">
        <f>'Power Purchased Model'!Q7</f>
        <v>0.93867560591211252</v>
      </c>
      <c r="M100" s="101"/>
    </row>
    <row r="101" spans="1:17" x14ac:dyDescent="0.2">
      <c r="A101" s="128" t="s">
        <v>125</v>
      </c>
      <c r="B101" s="156">
        <f>'Power Purchased Model'!T13</f>
        <v>383.66811269543166</v>
      </c>
      <c r="M101" s="101"/>
    </row>
    <row r="102" spans="1:17" x14ac:dyDescent="0.2">
      <c r="A102" s="157" t="s">
        <v>126</v>
      </c>
      <c r="B102" s="158">
        <f>'Power Purchased Model'!Q25</f>
        <v>3.6656817823976437E-2</v>
      </c>
      <c r="M102" s="101"/>
    </row>
    <row r="103" spans="1:17" x14ac:dyDescent="0.2">
      <c r="A103" s="159" t="s">
        <v>127</v>
      </c>
      <c r="B103" s="160"/>
      <c r="M103" s="101"/>
    </row>
    <row r="104" spans="1:17" x14ac:dyDescent="0.2">
      <c r="A104" s="161" t="str">
        <f>'Power Purchased Model'!P18</f>
        <v>Intercept</v>
      </c>
      <c r="B104" s="162">
        <f>'Power Purchased Model'!S18</f>
        <v>-18.3030669693146</v>
      </c>
      <c r="M104" s="101"/>
    </row>
    <row r="105" spans="1:17" x14ac:dyDescent="0.2">
      <c r="A105" s="128" t="str">
        <f>'Power Purchased Model'!P19</f>
        <v>Heating Degree Days</v>
      </c>
      <c r="B105" s="163">
        <f>'Power Purchased Model'!S19</f>
        <v>31.061245942321499</v>
      </c>
      <c r="M105" s="101"/>
    </row>
    <row r="106" spans="1:17" x14ac:dyDescent="0.2">
      <c r="A106" s="128" t="str">
        <f>'Power Purchased Model'!P20</f>
        <v>Cooling Degree Days</v>
      </c>
      <c r="B106" s="163">
        <f>'Power Purchased Model'!S20</f>
        <v>2.5583421376262749</v>
      </c>
      <c r="M106" s="101"/>
    </row>
    <row r="107" spans="1:17" x14ac:dyDescent="0.2">
      <c r="A107" s="128" t="str">
        <f>'Power Purchased Model'!P21</f>
        <v>Days in Month</v>
      </c>
      <c r="B107" s="163">
        <f>'Power Purchased Model'!S21</f>
        <v>6.7343068821868934</v>
      </c>
      <c r="M107" s="101"/>
    </row>
    <row r="108" spans="1:17" x14ac:dyDescent="0.2">
      <c r="A108" s="128" t="str">
        <f>'Power Purchased Model'!P22</f>
        <v>Spring Fall Flag</v>
      </c>
      <c r="B108" s="163">
        <f>'Power Purchased Model'!S22</f>
        <v>-4.7074878563522153</v>
      </c>
      <c r="M108" s="101"/>
    </row>
    <row r="109" spans="1:17" x14ac:dyDescent="0.2">
      <c r="A109" s="128" t="str">
        <f>'Power Purchased Model'!P23</f>
        <v>Number of Customers</v>
      </c>
      <c r="B109" s="163">
        <f>'Power Purchased Model'!S23</f>
        <v>23.198717410113364</v>
      </c>
      <c r="M109" s="101"/>
    </row>
    <row r="110" spans="1:17" x14ac:dyDescent="0.2">
      <c r="M110" s="101"/>
    </row>
    <row r="111" spans="1:17" x14ac:dyDescent="0.2">
      <c r="M111" s="101"/>
    </row>
    <row r="112" spans="1:17" x14ac:dyDescent="0.2">
      <c r="M112" s="101"/>
    </row>
    <row r="113" spans="1:12" x14ac:dyDescent="0.2">
      <c r="A113" s="408" t="s">
        <v>128</v>
      </c>
      <c r="B113" s="408"/>
      <c r="C113" s="408"/>
      <c r="D113" s="408"/>
      <c r="E113" s="408"/>
      <c r="F113" s="408"/>
      <c r="G113" s="408"/>
      <c r="H113" s="408"/>
      <c r="I113" s="81"/>
      <c r="J113" s="81"/>
      <c r="K113" s="81"/>
      <c r="L113" s="81"/>
    </row>
    <row r="114" spans="1:12" ht="51" x14ac:dyDescent="0.2">
      <c r="A114" s="133" t="s">
        <v>65</v>
      </c>
      <c r="B114" s="146" t="s">
        <v>102</v>
      </c>
      <c r="C114" s="146" t="s">
        <v>103</v>
      </c>
      <c r="D114" s="146" t="s">
        <v>7</v>
      </c>
      <c r="E114" s="146" t="s">
        <v>104</v>
      </c>
      <c r="F114" s="146" t="s">
        <v>105</v>
      </c>
      <c r="G114" s="120" t="s">
        <v>106</v>
      </c>
    </row>
    <row r="115" spans="1:12" x14ac:dyDescent="0.2">
      <c r="A115" s="270" t="s">
        <v>107</v>
      </c>
      <c r="B115" s="271"/>
      <c r="C115" s="271"/>
      <c r="D115" s="271"/>
      <c r="E115" s="271"/>
      <c r="F115" s="271"/>
      <c r="G115" s="272"/>
      <c r="H115" s="81"/>
      <c r="I115" s="81"/>
      <c r="J115" s="81"/>
    </row>
    <row r="116" spans="1:12" x14ac:dyDescent="0.2">
      <c r="A116" s="126">
        <f t="shared" ref="A116:A126" si="18">A9</f>
        <v>2014</v>
      </c>
      <c r="B116" s="127">
        <f>'Rate Class Energy Model'!B3/1000000</f>
        <v>222.84484800000001</v>
      </c>
      <c r="C116" s="127">
        <f>'Rate Class Energy Model'!C3/1000000</f>
        <v>228.23151638532309</v>
      </c>
      <c r="D116" s="164">
        <f t="shared" ref="D116:D123" si="19">C116/B116-1</f>
        <v>2.4172281449033495E-2</v>
      </c>
      <c r="E116" s="127">
        <f>'Power Purchased Model'!L153/1000000</f>
        <v>224.0596027043174</v>
      </c>
      <c r="F116" s="165">
        <f>E116/C116</f>
        <v>0.98172069420087338</v>
      </c>
      <c r="G116" s="127">
        <f t="shared" ref="G116:G125" si="20">B116*F116</f>
        <v>218.77139887764812</v>
      </c>
      <c r="H116" s="91"/>
      <c r="I116" s="91"/>
      <c r="J116" s="91"/>
    </row>
    <row r="117" spans="1:12" x14ac:dyDescent="0.2">
      <c r="A117" s="126">
        <f t="shared" si="18"/>
        <v>2015</v>
      </c>
      <c r="B117" s="127">
        <f>'Rate Class Energy Model'!B4/1000000</f>
        <v>216.43688399999999</v>
      </c>
      <c r="C117" s="127">
        <f>'Rate Class Energy Model'!C4/1000000</f>
        <v>223.98488218800622</v>
      </c>
      <c r="D117" s="164">
        <f t="shared" si="19"/>
        <v>3.4873899718525836E-2</v>
      </c>
      <c r="E117" s="127">
        <f>'Power Purchased Model'!L154/1000000</f>
        <v>224.08705359834312</v>
      </c>
      <c r="F117" s="165">
        <f t="shared" ref="F117:F125" si="21">E117/C117</f>
        <v>1.0004561531534577</v>
      </c>
      <c r="G117" s="127">
        <f t="shared" si="20"/>
        <v>216.53561236716115</v>
      </c>
      <c r="H117" s="91"/>
      <c r="I117" s="91"/>
      <c r="J117" s="91"/>
    </row>
    <row r="118" spans="1:12" x14ac:dyDescent="0.2">
      <c r="A118" s="126">
        <f t="shared" si="18"/>
        <v>2016</v>
      </c>
      <c r="B118" s="127">
        <f>'Rate Class Energy Model'!B5/1000000</f>
        <v>211.05024599999999</v>
      </c>
      <c r="C118" s="127">
        <f>'Rate Class Energy Model'!C5/1000000</f>
        <v>220.67095753909246</v>
      </c>
      <c r="D118" s="164">
        <f t="shared" si="19"/>
        <v>4.5584934021315693E-2</v>
      </c>
      <c r="E118" s="127">
        <f>'Power Purchased Model'!L155/1000000</f>
        <v>226.86474415068903</v>
      </c>
      <c r="F118" s="165">
        <f t="shared" si="21"/>
        <v>1.0280679736049967</v>
      </c>
      <c r="G118" s="127">
        <f t="shared" si="20"/>
        <v>216.97399873405604</v>
      </c>
      <c r="H118" s="91"/>
      <c r="I118" s="91"/>
      <c r="J118" s="91"/>
    </row>
    <row r="119" spans="1:12" x14ac:dyDescent="0.2">
      <c r="A119" s="126">
        <f t="shared" si="18"/>
        <v>2017</v>
      </c>
      <c r="B119" s="127">
        <f>'Rate Class Energy Model'!B6/1000000</f>
        <v>217.28099502387795</v>
      </c>
      <c r="C119" s="127">
        <f>'Rate Class Energy Model'!C6/1000000</f>
        <v>222.93693579111479</v>
      </c>
      <c r="D119" s="164">
        <f t="shared" si="19"/>
        <v>2.6030536019108652E-2</v>
      </c>
      <c r="E119" s="127">
        <f>'Power Purchased Model'!L156/1000000</f>
        <v>228.36939306634849</v>
      </c>
      <c r="F119" s="165">
        <f t="shared" si="21"/>
        <v>1.0243676861169553</v>
      </c>
      <c r="G119" s="127">
        <f t="shared" si="20"/>
        <v>222.57563010979953</v>
      </c>
      <c r="H119" s="91"/>
      <c r="I119" s="91"/>
      <c r="J119" s="91"/>
    </row>
    <row r="120" spans="1:12" x14ac:dyDescent="0.2">
      <c r="A120" s="126">
        <f t="shared" si="18"/>
        <v>2018</v>
      </c>
      <c r="B120" s="127">
        <f>'Rate Class Energy Model'!B7/1000000</f>
        <v>241.08715113</v>
      </c>
      <c r="C120" s="127">
        <f>'Rate Class Energy Model'!C7/1000000</f>
        <v>231.14670830304456</v>
      </c>
      <c r="D120" s="164">
        <f t="shared" si="19"/>
        <v>-4.1231740390823668E-2</v>
      </c>
      <c r="E120" s="127">
        <f>'Power Purchased Model'!L157/1000000</f>
        <v>229.43997793334987</v>
      </c>
      <c r="F120" s="165">
        <f t="shared" si="21"/>
        <v>0.99261624626963285</v>
      </c>
      <c r="G120" s="127">
        <f t="shared" si="20"/>
        <v>239.30702297850027</v>
      </c>
      <c r="H120" s="91"/>
      <c r="I120" s="91"/>
      <c r="J120" s="91"/>
    </row>
    <row r="121" spans="1:12" x14ac:dyDescent="0.2">
      <c r="A121" s="126">
        <f t="shared" si="18"/>
        <v>2019</v>
      </c>
      <c r="B121" s="127">
        <f>'Rate Class Energy Model'!B8/1000000</f>
        <v>255.92321100000001</v>
      </c>
      <c r="C121" s="127">
        <f>'Rate Class Energy Model'!C8/1000000</f>
        <v>238.6983764962128</v>
      </c>
      <c r="D121" s="164">
        <f t="shared" si="19"/>
        <v>-6.7304698297909415E-2</v>
      </c>
      <c r="E121" s="127">
        <f>'Power Purchased Model'!L158/1000000</f>
        <v>230.30475885437292</v>
      </c>
      <c r="F121" s="165">
        <f t="shared" si="21"/>
        <v>0.96483588298736056</v>
      </c>
      <c r="G121" s="127">
        <f t="shared" si="20"/>
        <v>246.9238972621456</v>
      </c>
      <c r="H121" s="91"/>
      <c r="I121" s="91"/>
      <c r="J121" s="91"/>
    </row>
    <row r="122" spans="1:12" x14ac:dyDescent="0.2">
      <c r="A122" s="126">
        <f t="shared" si="18"/>
        <v>2020</v>
      </c>
      <c r="B122" s="127">
        <f>'Rate Class Energy Model'!B9/1000000</f>
        <v>252.540603</v>
      </c>
      <c r="C122" s="127">
        <f>'Rate Class Energy Model'!C9/1000000</f>
        <v>248.56027593597301</v>
      </c>
      <c r="D122" s="164">
        <f t="shared" si="19"/>
        <v>-1.5761137087436983E-2</v>
      </c>
      <c r="E122" s="127">
        <f>'Power Purchased Model'!L159/1000000</f>
        <v>245.81961933170186</v>
      </c>
      <c r="F122" s="165">
        <f t="shared" si="21"/>
        <v>0.98897387527451441</v>
      </c>
      <c r="G122" s="127">
        <f t="shared" si="20"/>
        <v>249.75605881307266</v>
      </c>
      <c r="H122" s="91"/>
      <c r="I122" s="91"/>
      <c r="J122" s="91"/>
    </row>
    <row r="123" spans="1:12" ht="12.75" customHeight="1" x14ac:dyDescent="0.2">
      <c r="A123" s="126">
        <f t="shared" si="18"/>
        <v>2021</v>
      </c>
      <c r="B123" s="127">
        <f>'Rate Class Energy Model'!B10/1000000</f>
        <v>265.22688799999997</v>
      </c>
      <c r="C123" s="127">
        <f>'Rate Class Energy Model'!C10/1000000</f>
        <v>265.083240636575</v>
      </c>
      <c r="D123" s="164">
        <f t="shared" si="19"/>
        <v>-5.4160181310491939E-4</v>
      </c>
      <c r="E123" s="127">
        <f>'Power Purchased Model'!L160/1000000</f>
        <v>266.24982577701144</v>
      </c>
      <c r="F123" s="165">
        <f t="shared" si="21"/>
        <v>1.0044008257090677</v>
      </c>
      <c r="G123" s="127">
        <f t="shared" si="20"/>
        <v>266.39410530744641</v>
      </c>
      <c r="H123" s="91"/>
      <c r="I123" s="91"/>
      <c r="J123" s="91"/>
    </row>
    <row r="124" spans="1:12" x14ac:dyDescent="0.2">
      <c r="A124" s="126">
        <f t="shared" si="18"/>
        <v>2022</v>
      </c>
      <c r="B124" s="127">
        <f>'Rate Class Energy Model'!B11/1000000</f>
        <v>279.57288999999997</v>
      </c>
      <c r="C124" s="127">
        <f>'Rate Class Energy Model'!C11/1000000</f>
        <v>280.34849550124574</v>
      </c>
      <c r="D124" s="164">
        <f>C124/B124-1</f>
        <v>2.7742514706836641E-3</v>
      </c>
      <c r="E124" s="127">
        <f>'Power Purchased Model'!L161/1000000</f>
        <v>275.57256959901872</v>
      </c>
      <c r="F124" s="165">
        <f t="shared" si="21"/>
        <v>0.98296432483545892</v>
      </c>
      <c r="G124" s="127">
        <f t="shared" si="20"/>
        <v>274.81017706114801</v>
      </c>
      <c r="H124" s="91"/>
      <c r="I124" s="91"/>
      <c r="J124" s="91"/>
      <c r="K124" s="101"/>
    </row>
    <row r="125" spans="1:12" x14ac:dyDescent="0.2">
      <c r="A125" s="126">
        <f t="shared" si="18"/>
        <v>2023</v>
      </c>
      <c r="B125" s="127">
        <f>'Power Purchased Model'!B162/1000000</f>
        <v>281.39999912999997</v>
      </c>
      <c r="C125" s="127">
        <f>'Rate Class Energy Model'!C12/1000000</f>
        <v>281.89751658727067</v>
      </c>
      <c r="D125" s="164">
        <f>C125/B125-1</f>
        <v>1.7680080270392473E-3</v>
      </c>
      <c r="E125" s="127">
        <f>'Power Purchased Model'!L162/1000000</f>
        <v>283.57923980058467</v>
      </c>
      <c r="F125" s="165">
        <f t="shared" si="21"/>
        <v>1.0059657255362637</v>
      </c>
      <c r="G125" s="127">
        <f t="shared" si="20"/>
        <v>283.07875429071441</v>
      </c>
    </row>
    <row r="126" spans="1:12" x14ac:dyDescent="0.2">
      <c r="A126" s="126" t="str">
        <f t="shared" si="18"/>
        <v>2024 Bridge</v>
      </c>
      <c r="B126" s="127"/>
      <c r="C126" s="127">
        <f>'Rate Class Energy Model'!C13/1000000</f>
        <v>286.44255929903477</v>
      </c>
      <c r="D126" s="164"/>
      <c r="E126" s="127">
        <f>'Power Purchased Model'!L163/1000000</f>
        <v>289.84029047860599</v>
      </c>
      <c r="F126" s="165">
        <f>E126/C126</f>
        <v>1.0118618238430976</v>
      </c>
      <c r="G126" s="128"/>
    </row>
    <row r="127" spans="1:12" x14ac:dyDescent="0.2">
      <c r="A127" s="255">
        <v>2025</v>
      </c>
      <c r="B127" s="256"/>
      <c r="C127" s="256">
        <f>'Power Purchased Model'!H164/1000000</f>
        <v>291.37303471136585</v>
      </c>
      <c r="D127" s="164"/>
      <c r="E127" s="127">
        <f>'Power Purchased Model'!L164/1000000</f>
        <v>291.37303471136585</v>
      </c>
      <c r="F127" s="165">
        <f>E127/C127</f>
        <v>1</v>
      </c>
      <c r="G127" s="269"/>
    </row>
    <row r="129" spans="1:14" s="104" customFormat="1" ht="15" x14ac:dyDescent="0.2">
      <c r="A129" s="404" t="s">
        <v>129</v>
      </c>
      <c r="B129" s="404"/>
      <c r="C129" s="404"/>
      <c r="D129" s="404"/>
      <c r="E129" s="404"/>
      <c r="F129" s="404"/>
      <c r="G129" s="404"/>
      <c r="H129" s="404"/>
      <c r="I129" s="102"/>
      <c r="J129" s="103"/>
      <c r="K129" s="103"/>
      <c r="M129" s="105"/>
    </row>
    <row r="130" spans="1:14" ht="25.5" x14ac:dyDescent="0.2">
      <c r="A130" s="321" t="str">
        <f t="shared" ref="A130:F130" si="22">A54</f>
        <v>Year</v>
      </c>
      <c r="B130" s="320" t="str">
        <f t="shared" si="22"/>
        <v>R1(i) Residential</v>
      </c>
      <c r="C130" s="320" t="str">
        <f t="shared" si="22"/>
        <v>R1(ii) GS &lt; 50 kW</v>
      </c>
      <c r="D130" s="320" t="str">
        <f t="shared" si="22"/>
        <v>R2 GS&gt;50 kW</v>
      </c>
      <c r="E130" s="320" t="str">
        <f t="shared" si="22"/>
        <v>Seasonal</v>
      </c>
      <c r="F130" s="320" t="str">
        <f t="shared" si="22"/>
        <v>Street Lights</v>
      </c>
      <c r="G130" s="320" t="s">
        <v>8</v>
      </c>
      <c r="H130" s="84"/>
      <c r="I130" s="84"/>
      <c r="J130" s="84"/>
      <c r="K130" s="84"/>
      <c r="L130" s="84"/>
      <c r="M130" s="84"/>
      <c r="N130" s="84"/>
    </row>
    <row r="131" spans="1:14" s="104" customFormat="1" ht="15" x14ac:dyDescent="0.2">
      <c r="A131" s="167" t="s">
        <v>99</v>
      </c>
      <c r="B131" s="168"/>
      <c r="C131" s="168"/>
      <c r="D131" s="168"/>
      <c r="E131" s="168"/>
      <c r="F131" s="168"/>
      <c r="G131" s="169"/>
      <c r="H131" s="84"/>
      <c r="I131" s="84"/>
      <c r="J131" s="84"/>
      <c r="K131" s="84"/>
      <c r="L131" s="84"/>
      <c r="M131" s="84"/>
      <c r="N131" s="84"/>
    </row>
    <row r="132" spans="1:14" s="104" customFormat="1" ht="14.25" x14ac:dyDescent="0.2">
      <c r="A132" s="170">
        <f t="shared" ref="A132:A140" si="23">A116</f>
        <v>2014</v>
      </c>
      <c r="B132" s="171">
        <f>'Rate Class Customer Model'!B3</f>
        <v>7397.916666666667</v>
      </c>
      <c r="C132" s="171">
        <f>'Rate Class Customer Model'!C3</f>
        <v>955.66666666666663</v>
      </c>
      <c r="D132" s="171">
        <f>'Rate Class Customer Model'!D3</f>
        <v>43.416666666666664</v>
      </c>
      <c r="E132" s="171">
        <f>'Rate Class Customer Model'!E3</f>
        <v>3254.5</v>
      </c>
      <c r="F132" s="171">
        <f>'Rate Class Customer Model'!F3</f>
        <v>1018.5833333333334</v>
      </c>
      <c r="G132" s="171">
        <f t="shared" ref="G132:G141" si="24">SUM(B132:F132)</f>
        <v>12670.083333333334</v>
      </c>
      <c r="H132" s="84"/>
      <c r="I132" s="84"/>
      <c r="J132" s="84"/>
      <c r="K132" s="84"/>
      <c r="L132" s="84"/>
      <c r="M132" s="84"/>
      <c r="N132" s="84"/>
    </row>
    <row r="133" spans="1:14" s="104" customFormat="1" ht="14.25" x14ac:dyDescent="0.2">
      <c r="A133" s="170">
        <f t="shared" si="23"/>
        <v>2015</v>
      </c>
      <c r="B133" s="171">
        <f>'Rate Class Customer Model'!B4</f>
        <v>7479.5</v>
      </c>
      <c r="C133" s="171">
        <f>'Rate Class Customer Model'!C4</f>
        <v>954.25</v>
      </c>
      <c r="D133" s="171">
        <f>'Rate Class Customer Model'!D4</f>
        <v>42.166666666666664</v>
      </c>
      <c r="E133" s="171">
        <f>'Rate Class Customer Model'!E4</f>
        <v>3175.9166666666665</v>
      </c>
      <c r="F133" s="171">
        <f>'Rate Class Customer Model'!F4</f>
        <v>1022.6666666666666</v>
      </c>
      <c r="G133" s="171">
        <f t="shared" si="24"/>
        <v>12674.499999999998</v>
      </c>
      <c r="H133" s="84"/>
      <c r="I133" s="84"/>
      <c r="J133" s="84"/>
      <c r="K133" s="84"/>
      <c r="L133" s="84"/>
      <c r="M133" s="106"/>
    </row>
    <row r="134" spans="1:14" s="104" customFormat="1" ht="14.25" x14ac:dyDescent="0.2">
      <c r="A134" s="170">
        <f t="shared" si="23"/>
        <v>2016</v>
      </c>
      <c r="B134" s="171">
        <f>'Rate Class Customer Model'!B5</f>
        <v>7543.75</v>
      </c>
      <c r="C134" s="171">
        <f>'Rate Class Customer Model'!C5</f>
        <v>951.16666666666663</v>
      </c>
      <c r="D134" s="171">
        <f>'Rate Class Customer Model'!D5</f>
        <v>42.083333333333336</v>
      </c>
      <c r="E134" s="171">
        <f>'Rate Class Customer Model'!E5</f>
        <v>3139.9166666666665</v>
      </c>
      <c r="F134" s="171">
        <f>'Rate Class Customer Model'!F5</f>
        <v>1066.3333333333333</v>
      </c>
      <c r="G134" s="171">
        <f t="shared" si="24"/>
        <v>12743.25</v>
      </c>
      <c r="H134" s="84"/>
      <c r="I134" s="84"/>
      <c r="J134" s="84"/>
      <c r="K134" s="84"/>
      <c r="L134" s="84"/>
      <c r="M134" s="106"/>
    </row>
    <row r="135" spans="1:14" s="104" customFormat="1" ht="14.25" x14ac:dyDescent="0.2">
      <c r="A135" s="170">
        <f t="shared" si="23"/>
        <v>2017</v>
      </c>
      <c r="B135" s="171">
        <f>'Rate Class Customer Model'!B6</f>
        <v>7596.416666666667</v>
      </c>
      <c r="C135" s="171">
        <f>'Rate Class Customer Model'!C6</f>
        <v>961.16666666666663</v>
      </c>
      <c r="D135" s="171">
        <f>'Rate Class Customer Model'!D6</f>
        <v>38.166666666666664</v>
      </c>
      <c r="E135" s="171">
        <f>'Rate Class Customer Model'!E6</f>
        <v>3108.0833333333335</v>
      </c>
      <c r="F135" s="171">
        <f>'Rate Class Customer Model'!F6</f>
        <v>1070</v>
      </c>
      <c r="G135" s="171">
        <f t="shared" si="24"/>
        <v>12773.833333333334</v>
      </c>
      <c r="H135" s="84"/>
      <c r="I135" s="84"/>
      <c r="J135" s="84"/>
      <c r="K135" s="84"/>
      <c r="L135" s="84"/>
      <c r="M135" s="106"/>
    </row>
    <row r="136" spans="1:14" s="104" customFormat="1" ht="14.25" x14ac:dyDescent="0.2">
      <c r="A136" s="170">
        <f t="shared" si="23"/>
        <v>2018</v>
      </c>
      <c r="B136" s="171">
        <f>'Rate Class Customer Model'!B7</f>
        <v>7639.75</v>
      </c>
      <c r="C136" s="171">
        <f>'Rate Class Customer Model'!C7</f>
        <v>960.91666666666663</v>
      </c>
      <c r="D136" s="171">
        <f>'Rate Class Customer Model'!D7</f>
        <v>39.75</v>
      </c>
      <c r="E136" s="171">
        <f>'Rate Class Customer Model'!E7</f>
        <v>3076.4166666666665</v>
      </c>
      <c r="F136" s="171">
        <f>'Rate Class Customer Model'!F7</f>
        <v>1067.0833333333333</v>
      </c>
      <c r="G136" s="171">
        <f t="shared" si="24"/>
        <v>12783.916666666666</v>
      </c>
      <c r="H136" s="84"/>
      <c r="I136" s="84"/>
      <c r="J136" s="84"/>
      <c r="K136" s="84"/>
      <c r="L136" s="84"/>
      <c r="M136" s="106"/>
    </row>
    <row r="137" spans="1:14" s="104" customFormat="1" ht="14.25" x14ac:dyDescent="0.2">
      <c r="A137" s="170">
        <f t="shared" si="23"/>
        <v>2019</v>
      </c>
      <c r="B137" s="171">
        <f>'Rate Class Customer Model'!B8</f>
        <v>7697.5</v>
      </c>
      <c r="C137" s="171">
        <f>'Rate Class Customer Model'!C8</f>
        <v>951</v>
      </c>
      <c r="D137" s="171">
        <f>'Rate Class Customer Model'!D8</f>
        <v>39.5</v>
      </c>
      <c r="E137" s="171">
        <f>'Rate Class Customer Model'!E8</f>
        <v>3038.5</v>
      </c>
      <c r="F137" s="171">
        <f>'Rate Class Customer Model'!F8</f>
        <v>1074.5</v>
      </c>
      <c r="G137" s="171">
        <f t="shared" si="24"/>
        <v>12801</v>
      </c>
      <c r="H137" s="84"/>
      <c r="I137" s="84"/>
      <c r="J137" s="84"/>
      <c r="K137" s="84"/>
      <c r="L137" s="84"/>
      <c r="M137" s="106"/>
    </row>
    <row r="138" spans="1:14" s="104" customFormat="1" ht="14.25" x14ac:dyDescent="0.2">
      <c r="A138" s="170">
        <f t="shared" si="23"/>
        <v>2020</v>
      </c>
      <c r="B138" s="171">
        <f>'Rate Class Customer Model'!B9</f>
        <v>7924.5</v>
      </c>
      <c r="C138" s="171">
        <f>'Rate Class Customer Model'!C9</f>
        <v>968.5</v>
      </c>
      <c r="D138" s="171">
        <f>'Rate Class Customer Model'!D9</f>
        <v>40.5</v>
      </c>
      <c r="E138" s="171">
        <f>'Rate Class Customer Model'!E9</f>
        <v>2989.5</v>
      </c>
      <c r="F138" s="171">
        <f>'Rate Class Customer Model'!F9</f>
        <v>1105</v>
      </c>
      <c r="G138" s="171">
        <f t="shared" si="24"/>
        <v>13028</v>
      </c>
      <c r="H138" s="84"/>
      <c r="I138" s="84"/>
      <c r="J138" s="84"/>
      <c r="K138" s="84"/>
      <c r="L138" s="84"/>
      <c r="M138" s="106"/>
    </row>
    <row r="139" spans="1:14" s="104" customFormat="1" ht="14.25" x14ac:dyDescent="0.2">
      <c r="A139" s="170">
        <f t="shared" si="23"/>
        <v>2021</v>
      </c>
      <c r="B139" s="171">
        <f>'Rate Class Customer Model'!B10</f>
        <v>8204.5</v>
      </c>
      <c r="C139" s="171">
        <f>'Rate Class Customer Model'!C10</f>
        <v>998.5</v>
      </c>
      <c r="D139" s="171">
        <f>'Rate Class Customer Model'!D10</f>
        <v>42.5</v>
      </c>
      <c r="E139" s="171">
        <f>'Rate Class Customer Model'!E10</f>
        <v>2925</v>
      </c>
      <c r="F139" s="171">
        <f>'Rate Class Customer Model'!F10</f>
        <v>1141</v>
      </c>
      <c r="G139" s="171">
        <f t="shared" si="24"/>
        <v>13311.5</v>
      </c>
      <c r="H139" s="84"/>
      <c r="I139" s="84"/>
      <c r="J139" s="84"/>
      <c r="K139" s="84"/>
      <c r="L139" s="84"/>
      <c r="M139" s="106"/>
    </row>
    <row r="140" spans="1:14" s="104" customFormat="1" ht="14.25" x14ac:dyDescent="0.2">
      <c r="A140" s="170">
        <f t="shared" si="23"/>
        <v>2022</v>
      </c>
      <c r="B140" s="171">
        <f>'Rate Class Customer Model'!B11</f>
        <v>8360.5</v>
      </c>
      <c r="C140" s="171">
        <f>'Rate Class Customer Model'!C11</f>
        <v>1025</v>
      </c>
      <c r="D140" s="171">
        <f>'Rate Class Customer Model'!D11</f>
        <v>45.5</v>
      </c>
      <c r="E140" s="171">
        <f>'Rate Class Customer Model'!E11</f>
        <v>2848.5</v>
      </c>
      <c r="F140" s="171">
        <f>'Rate Class Customer Model'!F11</f>
        <v>1146</v>
      </c>
      <c r="G140" s="171">
        <f t="shared" si="24"/>
        <v>13425.5</v>
      </c>
      <c r="H140" s="84"/>
      <c r="I140" s="84"/>
      <c r="J140" s="84"/>
      <c r="K140" s="84"/>
      <c r="L140" s="84"/>
      <c r="M140" s="106"/>
    </row>
    <row r="141" spans="1:14" s="108" customFormat="1" ht="15" x14ac:dyDescent="0.25">
      <c r="A141" s="170">
        <v>2023</v>
      </c>
      <c r="B141" s="171">
        <f>'Rate Class Customer Model'!B12</f>
        <v>8485</v>
      </c>
      <c r="C141" s="171">
        <f>'Rate Class Customer Model'!C12</f>
        <v>1055</v>
      </c>
      <c r="D141" s="171">
        <f>'Rate Class Customer Model'!D12</f>
        <v>47</v>
      </c>
      <c r="E141" s="171">
        <f>'Rate Class Customer Model'!E12</f>
        <v>2793</v>
      </c>
      <c r="F141" s="171">
        <f>'Rate Class Customer Model'!F12</f>
        <v>1131.5</v>
      </c>
      <c r="G141" s="171">
        <f t="shared" si="24"/>
        <v>13511.5</v>
      </c>
      <c r="H141" s="107"/>
      <c r="I141" s="107"/>
    </row>
    <row r="142" spans="1:14" s="108" customFormat="1" ht="15" x14ac:dyDescent="0.25"/>
    <row r="143" spans="1:14" s="109" customFormat="1" x14ac:dyDescent="0.2">
      <c r="A143" s="406" t="s">
        <v>130</v>
      </c>
      <c r="B143" s="407"/>
      <c r="C143" s="407"/>
      <c r="D143" s="407"/>
      <c r="E143" s="407"/>
      <c r="F143" s="407"/>
    </row>
    <row r="144" spans="1:14" ht="25.5" x14ac:dyDescent="0.2">
      <c r="A144" s="321" t="s">
        <v>65</v>
      </c>
      <c r="B144" s="320" t="str">
        <f>B130</f>
        <v>R1(i) Residential</v>
      </c>
      <c r="C144" s="320" t="str">
        <f>C130</f>
        <v>R1(ii) GS &lt; 50 kW</v>
      </c>
      <c r="D144" s="320" t="str">
        <f>D130</f>
        <v>R2 GS&gt;50 kW</v>
      </c>
      <c r="E144" s="320" t="str">
        <f>E130</f>
        <v>Seasonal</v>
      </c>
      <c r="F144" s="320" t="str">
        <f>F130</f>
        <v>Street Lights</v>
      </c>
      <c r="G144" s="84"/>
      <c r="H144" s="84"/>
      <c r="I144" s="84"/>
      <c r="J144" s="84"/>
      <c r="K144" s="84"/>
      <c r="L144" s="84"/>
      <c r="M144" s="84"/>
    </row>
    <row r="145" spans="1:16377" s="109" customFormat="1" x14ac:dyDescent="0.2">
      <c r="A145" s="172" t="s">
        <v>108</v>
      </c>
      <c r="B145" s="173"/>
      <c r="C145" s="173"/>
      <c r="D145" s="173"/>
      <c r="E145" s="173"/>
      <c r="F145" s="173"/>
      <c r="G145" s="84"/>
      <c r="H145" s="84"/>
      <c r="I145" s="84"/>
      <c r="J145" s="84"/>
      <c r="K145" s="84"/>
      <c r="L145" s="84"/>
      <c r="M145" s="84"/>
      <c r="N145" s="84"/>
      <c r="O145" s="84"/>
    </row>
    <row r="146" spans="1:16377" s="109" customFormat="1" x14ac:dyDescent="0.2">
      <c r="A146" s="175">
        <f t="shared" ref="A146" si="25">A132</f>
        <v>2014</v>
      </c>
      <c r="B146" s="176"/>
      <c r="C146" s="176"/>
      <c r="D146" s="176"/>
      <c r="E146" s="176"/>
      <c r="F146" s="176"/>
      <c r="G146" s="84"/>
      <c r="H146" s="84"/>
      <c r="I146" s="84"/>
      <c r="J146" s="84"/>
      <c r="K146" s="84"/>
      <c r="L146" s="84"/>
      <c r="M146" s="84"/>
    </row>
    <row r="147" spans="1:16377" s="109" customFormat="1" x14ac:dyDescent="0.2">
      <c r="A147" s="175">
        <f t="shared" ref="A147:A154" si="26">A133</f>
        <v>2015</v>
      </c>
      <c r="B147" s="176">
        <f t="shared" ref="B147:F155" si="27">B133/B132-1</f>
        <v>1.10278794705716E-2</v>
      </c>
      <c r="C147" s="176">
        <f t="shared" si="27"/>
        <v>-1.4823857690965392E-3</v>
      </c>
      <c r="D147" s="176">
        <f t="shared" si="27"/>
        <v>-2.8790786948176605E-2</v>
      </c>
      <c r="E147" s="176">
        <f>E133/E132-1</f>
        <v>-2.4146054181389931E-2</v>
      </c>
      <c r="F147" s="176">
        <f>F133/F132-1</f>
        <v>4.0088358013579128E-3</v>
      </c>
      <c r="G147" s="84"/>
      <c r="H147" s="84"/>
      <c r="I147" s="84"/>
      <c r="J147" s="84"/>
      <c r="K147" s="84"/>
      <c r="L147" s="84"/>
      <c r="M147" s="84"/>
    </row>
    <row r="148" spans="1:16377" s="109" customFormat="1" x14ac:dyDescent="0.2">
      <c r="A148" s="175">
        <f t="shared" si="26"/>
        <v>2016</v>
      </c>
      <c r="B148" s="176">
        <f t="shared" si="27"/>
        <v>8.5901464001605365E-3</v>
      </c>
      <c r="C148" s="176">
        <f t="shared" si="27"/>
        <v>-3.2311588507554223E-3</v>
      </c>
      <c r="D148" s="176">
        <f t="shared" si="27"/>
        <v>-1.9762845849801147E-3</v>
      </c>
      <c r="E148" s="176">
        <f t="shared" si="27"/>
        <v>-1.1335310015481048E-2</v>
      </c>
      <c r="F148" s="176">
        <f t="shared" si="27"/>
        <v>4.2698826597131756E-2</v>
      </c>
      <c r="G148" s="84"/>
      <c r="H148" s="84"/>
      <c r="I148" s="84"/>
      <c r="J148" s="84"/>
      <c r="K148" s="84"/>
      <c r="L148" s="84"/>
      <c r="M148" s="84"/>
    </row>
    <row r="149" spans="1:16377" s="109" customFormat="1" x14ac:dyDescent="0.2">
      <c r="A149" s="175">
        <f t="shared" si="26"/>
        <v>2017</v>
      </c>
      <c r="B149" s="176">
        <f t="shared" si="27"/>
        <v>6.9814968240817787E-3</v>
      </c>
      <c r="C149" s="176">
        <f t="shared" si="27"/>
        <v>1.0513404590853259E-2</v>
      </c>
      <c r="D149" s="176">
        <f t="shared" si="27"/>
        <v>-9.3069306930693152E-2</v>
      </c>
      <c r="E149" s="176">
        <f t="shared" si="27"/>
        <v>-1.0138273308739509E-2</v>
      </c>
      <c r="F149" s="176">
        <f t="shared" si="27"/>
        <v>3.4385745545484347E-3</v>
      </c>
      <c r="G149" s="84"/>
      <c r="H149" s="84"/>
      <c r="I149" s="84"/>
      <c r="J149" s="84"/>
      <c r="K149" s="84"/>
      <c r="L149" s="84"/>
      <c r="M149" s="84"/>
    </row>
    <row r="150" spans="1:16377" s="109" customFormat="1" x14ac:dyDescent="0.2">
      <c r="A150" s="175">
        <f t="shared" si="26"/>
        <v>2018</v>
      </c>
      <c r="B150" s="176">
        <f t="shared" si="27"/>
        <v>5.7044439812630188E-3</v>
      </c>
      <c r="C150" s="176">
        <f t="shared" si="27"/>
        <v>-2.6010057222125571E-4</v>
      </c>
      <c r="D150" s="176">
        <f t="shared" si="27"/>
        <v>4.1484716157205392E-2</v>
      </c>
      <c r="E150" s="176">
        <f t="shared" si="27"/>
        <v>-1.0188487009679115E-2</v>
      </c>
      <c r="F150" s="176">
        <f t="shared" si="27"/>
        <v>-2.7258566978194398E-3</v>
      </c>
      <c r="G150" s="84"/>
      <c r="H150" s="84"/>
      <c r="I150" s="84"/>
      <c r="J150" s="84"/>
      <c r="K150" s="84"/>
      <c r="L150" s="84"/>
      <c r="M150" s="84"/>
    </row>
    <row r="151" spans="1:16377" s="109" customFormat="1" x14ac:dyDescent="0.2">
      <c r="A151" s="175">
        <f t="shared" si="26"/>
        <v>2019</v>
      </c>
      <c r="B151" s="176">
        <f t="shared" si="27"/>
        <v>7.5591478778755938E-3</v>
      </c>
      <c r="C151" s="176">
        <f t="shared" si="27"/>
        <v>-1.0320006937819759E-2</v>
      </c>
      <c r="D151" s="176">
        <f t="shared" si="27"/>
        <v>-6.2893081761006275E-3</v>
      </c>
      <c r="E151" s="176">
        <f t="shared" si="27"/>
        <v>-1.2324945147222044E-2</v>
      </c>
      <c r="F151" s="176">
        <f t="shared" si="27"/>
        <v>6.9504099960953081E-3</v>
      </c>
      <c r="G151" s="84"/>
      <c r="H151" s="84"/>
      <c r="I151" s="84"/>
      <c r="J151" s="84"/>
      <c r="K151" s="84"/>
      <c r="L151" s="84"/>
      <c r="M151" s="84"/>
    </row>
    <row r="152" spans="1:16377" s="109" customFormat="1" x14ac:dyDescent="0.2">
      <c r="A152" s="175">
        <f t="shared" si="26"/>
        <v>2020</v>
      </c>
      <c r="B152" s="176">
        <f t="shared" si="27"/>
        <v>2.9490094186424232E-2</v>
      </c>
      <c r="C152" s="176">
        <f t="shared" si="27"/>
        <v>1.8401682439537437E-2</v>
      </c>
      <c r="D152" s="176">
        <f t="shared" si="27"/>
        <v>2.5316455696202445E-2</v>
      </c>
      <c r="E152" s="176">
        <f t="shared" si="27"/>
        <v>-1.6126378147112042E-2</v>
      </c>
      <c r="F152" s="176">
        <f t="shared" si="27"/>
        <v>2.8385295486272666E-2</v>
      </c>
      <c r="G152" s="84"/>
      <c r="H152" s="84"/>
      <c r="I152" s="84"/>
      <c r="J152" s="84"/>
      <c r="K152" s="84"/>
      <c r="L152" s="84"/>
      <c r="M152" s="84"/>
    </row>
    <row r="153" spans="1:16377" s="109" customFormat="1" x14ac:dyDescent="0.2">
      <c r="A153" s="175">
        <f t="shared" si="26"/>
        <v>2021</v>
      </c>
      <c r="B153" s="176">
        <f t="shared" si="27"/>
        <v>3.5333459524260258E-2</v>
      </c>
      <c r="C153" s="176">
        <f>C139/C138-1</f>
        <v>3.097573567372236E-2</v>
      </c>
      <c r="D153" s="176">
        <f t="shared" si="27"/>
        <v>4.9382716049382713E-2</v>
      </c>
      <c r="E153" s="176">
        <f t="shared" si="27"/>
        <v>-2.1575514300050225E-2</v>
      </c>
      <c r="F153" s="176">
        <f t="shared" si="27"/>
        <v>3.2579185520362097E-2</v>
      </c>
      <c r="G153" s="84"/>
      <c r="H153" s="84"/>
      <c r="I153" s="84"/>
      <c r="J153" s="84"/>
      <c r="K153" s="84"/>
      <c r="L153" s="84"/>
      <c r="M153" s="84"/>
    </row>
    <row r="154" spans="1:16377" s="109" customFormat="1" x14ac:dyDescent="0.2">
      <c r="A154" s="175">
        <f t="shared" si="26"/>
        <v>2022</v>
      </c>
      <c r="B154" s="176">
        <f t="shared" si="27"/>
        <v>1.9013955755987633E-2</v>
      </c>
      <c r="C154" s="176">
        <f t="shared" si="27"/>
        <v>2.6539809714571927E-2</v>
      </c>
      <c r="D154" s="176">
        <f t="shared" si="27"/>
        <v>7.0588235294117618E-2</v>
      </c>
      <c r="E154" s="176">
        <f t="shared" si="27"/>
        <v>-2.6153846153846194E-2</v>
      </c>
      <c r="F154" s="176">
        <f t="shared" si="27"/>
        <v>4.382120946538226E-3</v>
      </c>
      <c r="G154" s="84"/>
      <c r="H154" s="84"/>
      <c r="I154" s="84"/>
      <c r="J154" s="84"/>
      <c r="K154" s="84"/>
      <c r="L154" s="84"/>
      <c r="M154" s="84"/>
    </row>
    <row r="155" spans="1:16377" s="109" customFormat="1" x14ac:dyDescent="0.2">
      <c r="A155" s="175">
        <v>2023</v>
      </c>
      <c r="B155" s="176">
        <f t="shared" si="27"/>
        <v>1.4891453860415016E-2</v>
      </c>
      <c r="C155" s="176">
        <f t="shared" si="27"/>
        <v>2.9268292682926855E-2</v>
      </c>
      <c r="D155" s="176">
        <f t="shared" si="27"/>
        <v>3.2967032967033072E-2</v>
      </c>
      <c r="E155" s="176">
        <f t="shared" si="27"/>
        <v>-1.9483938915218491E-2</v>
      </c>
      <c r="F155" s="176">
        <f t="shared" si="27"/>
        <v>-1.265270506108207E-2</v>
      </c>
      <c r="G155" s="84"/>
      <c r="H155" s="84"/>
      <c r="I155" s="84"/>
      <c r="J155" s="84"/>
      <c r="K155" s="84"/>
      <c r="L155" s="84"/>
      <c r="M155" s="84"/>
    </row>
    <row r="156" spans="1:16377" s="109" customFormat="1" x14ac:dyDescent="0.2">
      <c r="A156" s="347" t="s">
        <v>214</v>
      </c>
      <c r="B156" s="348">
        <f>'Rate Class Customer Model'!B33-1</f>
        <v>1.5350117767038984E-2</v>
      </c>
      <c r="C156" s="348">
        <f>'Rate Class Customer Model'!C33-1</f>
        <v>1.1048013344701957E-2</v>
      </c>
      <c r="D156" s="348">
        <f>'Rate Class Customer Model'!D33-1</f>
        <v>8.8505151007534089E-3</v>
      </c>
      <c r="E156" s="348">
        <f>'Rate Class Customer Model'!E33-1</f>
        <v>-1.6847834847676935E-2</v>
      </c>
      <c r="F156" s="348">
        <f>'Rate Class Customer Model'!F33-1</f>
        <v>1.1749760565994638E-2</v>
      </c>
      <c r="G156" s="84"/>
      <c r="H156" s="84"/>
      <c r="I156" s="84"/>
      <c r="J156" s="84"/>
      <c r="K156" s="84"/>
      <c r="L156" s="84"/>
      <c r="M156" s="84"/>
    </row>
    <row r="157" spans="1:16377" s="109" customFormat="1" ht="25.5" x14ac:dyDescent="0.2">
      <c r="A157" s="322" t="s">
        <v>212</v>
      </c>
      <c r="B157" s="178">
        <f>'Rate Class Customer Model'!B31-1</f>
        <v>7.9710352397011075E-3</v>
      </c>
      <c r="C157" s="178">
        <f>'Rate Class Customer Model'!C31-1</f>
        <v>-9.7854384737972033E-4</v>
      </c>
      <c r="D157" s="178">
        <f>'Rate Class Customer Model'!D31-1</f>
        <v>-1.8730898925365169E-2</v>
      </c>
      <c r="E157" s="178">
        <f>'Rate Class Customer Model'!E31-1</f>
        <v>-1.364104241701436E-2</v>
      </c>
      <c r="F157" s="178">
        <f>'Rate Class Customer Model'!F31-1</f>
        <v>1.0745859248658229E-2</v>
      </c>
      <c r="G157" s="84"/>
      <c r="H157" s="84"/>
      <c r="I157" s="84"/>
      <c r="J157" s="84"/>
    </row>
    <row r="158" spans="1:16377" s="108" customFormat="1" ht="15" x14ac:dyDescent="0.25">
      <c r="A158" s="177"/>
      <c r="B158" s="178"/>
      <c r="C158" s="178"/>
      <c r="D158" s="178"/>
      <c r="E158" s="178"/>
      <c r="F158" s="178"/>
    </row>
    <row r="159" spans="1:16377" s="108" customFormat="1" ht="15" x14ac:dyDescent="0.25">
      <c r="A159" s="406" t="s">
        <v>131</v>
      </c>
      <c r="B159" s="407"/>
      <c r="C159" s="407"/>
      <c r="D159" s="407"/>
      <c r="E159" s="407"/>
      <c r="F159" s="407"/>
      <c r="G159" s="407"/>
      <c r="H159" s="407"/>
      <c r="I159" s="407"/>
      <c r="J159" s="84"/>
      <c r="K159" s="84"/>
      <c r="L159" s="84"/>
      <c r="M159" s="84"/>
      <c r="N159" s="84"/>
      <c r="O159" s="84"/>
      <c r="P159" s="84"/>
      <c r="Q159" s="84"/>
      <c r="R159" s="84"/>
      <c r="S159" s="84"/>
      <c r="T159" s="84"/>
      <c r="U159" s="84"/>
      <c r="V159" s="84"/>
      <c r="W159" s="84"/>
      <c r="X159" s="84"/>
      <c r="Y159" s="84"/>
      <c r="Z159" s="84"/>
      <c r="AA159" s="407"/>
      <c r="AB159" s="407"/>
      <c r="AC159" s="407"/>
      <c r="AD159" s="406"/>
      <c r="AE159" s="407"/>
      <c r="AF159" s="407"/>
      <c r="AG159" s="407"/>
      <c r="AH159" s="407"/>
      <c r="AI159" s="407"/>
      <c r="AJ159" s="406"/>
      <c r="AK159" s="407"/>
      <c r="AL159" s="407"/>
      <c r="AM159" s="407"/>
      <c r="AN159" s="407"/>
      <c r="AO159" s="407"/>
      <c r="AP159" s="406"/>
      <c r="AQ159" s="407"/>
      <c r="AR159" s="407"/>
      <c r="AS159" s="407"/>
      <c r="AT159" s="407"/>
      <c r="AU159" s="407"/>
      <c r="AV159" s="406"/>
      <c r="AW159" s="407"/>
      <c r="AX159" s="407"/>
      <c r="AY159" s="407"/>
      <c r="AZ159" s="407"/>
      <c r="BA159" s="407"/>
      <c r="BB159" s="406"/>
      <c r="BC159" s="407"/>
      <c r="BD159" s="407"/>
      <c r="BE159" s="407"/>
      <c r="BF159" s="407"/>
      <c r="BG159" s="407"/>
      <c r="BH159" s="406"/>
      <c r="BI159" s="407"/>
      <c r="BJ159" s="407"/>
      <c r="BK159" s="407"/>
      <c r="BL159" s="407"/>
      <c r="BM159" s="407"/>
      <c r="BN159" s="406"/>
      <c r="BO159" s="407"/>
      <c r="BP159" s="407"/>
      <c r="BQ159" s="407"/>
      <c r="BR159" s="407"/>
      <c r="BS159" s="407"/>
      <c r="BT159" s="406"/>
      <c r="BU159" s="407"/>
      <c r="BV159" s="407"/>
      <c r="BW159" s="407"/>
      <c r="BX159" s="407"/>
      <c r="BY159" s="407"/>
      <c r="BZ159" s="406"/>
      <c r="CA159" s="407"/>
      <c r="CB159" s="407"/>
      <c r="CC159" s="407"/>
      <c r="CD159" s="407"/>
      <c r="CE159" s="407"/>
      <c r="CF159" s="406"/>
      <c r="CG159" s="407"/>
      <c r="CH159" s="407"/>
      <c r="CI159" s="407"/>
      <c r="CJ159" s="407"/>
      <c r="CK159" s="407"/>
      <c r="CL159" s="406"/>
      <c r="CM159" s="407"/>
      <c r="CN159" s="407"/>
      <c r="CO159" s="407"/>
      <c r="CP159" s="407"/>
      <c r="CQ159" s="407"/>
      <c r="CR159" s="406"/>
      <c r="CS159" s="407"/>
      <c r="CT159" s="407"/>
      <c r="CU159" s="407"/>
      <c r="CV159" s="407"/>
      <c r="CW159" s="407"/>
      <c r="CX159" s="406"/>
      <c r="CY159" s="407"/>
      <c r="CZ159" s="407"/>
      <c r="DA159" s="407"/>
      <c r="DB159" s="407"/>
      <c r="DC159" s="407"/>
      <c r="DD159" s="406"/>
      <c r="DE159" s="407"/>
      <c r="DF159" s="407"/>
      <c r="DG159" s="407"/>
      <c r="DH159" s="407"/>
      <c r="DI159" s="407"/>
      <c r="DJ159" s="406"/>
      <c r="DK159" s="407"/>
      <c r="DL159" s="407"/>
      <c r="DM159" s="407"/>
      <c r="DN159" s="407"/>
      <c r="DO159" s="407"/>
      <c r="DP159" s="406"/>
      <c r="DQ159" s="407"/>
      <c r="DR159" s="407"/>
      <c r="DS159" s="407"/>
      <c r="DT159" s="407"/>
      <c r="DU159" s="407"/>
      <c r="DV159" s="406"/>
      <c r="DW159" s="407"/>
      <c r="DX159" s="407"/>
      <c r="DY159" s="407"/>
      <c r="DZ159" s="407"/>
      <c r="EA159" s="407"/>
      <c r="EB159" s="406"/>
      <c r="EC159" s="407"/>
      <c r="ED159" s="407"/>
      <c r="EE159" s="407"/>
      <c r="EF159" s="407"/>
      <c r="EG159" s="407"/>
      <c r="EH159" s="406"/>
      <c r="EI159" s="407"/>
      <c r="EJ159" s="407"/>
      <c r="EK159" s="407"/>
      <c r="EL159" s="407"/>
      <c r="EM159" s="407"/>
      <c r="EN159" s="406"/>
      <c r="EO159" s="407"/>
      <c r="EP159" s="407"/>
      <c r="EQ159" s="407"/>
      <c r="ER159" s="407"/>
      <c r="ES159" s="407"/>
      <c r="ET159" s="406"/>
      <c r="EU159" s="407"/>
      <c r="EV159" s="407"/>
      <c r="EW159" s="407"/>
      <c r="EX159" s="407"/>
      <c r="EY159" s="407"/>
      <c r="EZ159" s="406"/>
      <c r="FA159" s="407"/>
      <c r="FB159" s="407"/>
      <c r="FC159" s="407"/>
      <c r="FD159" s="407"/>
      <c r="FE159" s="407"/>
      <c r="FF159" s="406"/>
      <c r="FG159" s="407"/>
      <c r="FH159" s="407"/>
      <c r="FI159" s="407"/>
      <c r="FJ159" s="407"/>
      <c r="FK159" s="407"/>
      <c r="FL159" s="406"/>
      <c r="FM159" s="407"/>
      <c r="FN159" s="407"/>
      <c r="FO159" s="407"/>
      <c r="FP159" s="407"/>
      <c r="FQ159" s="407"/>
      <c r="FR159" s="406"/>
      <c r="FS159" s="407"/>
      <c r="FT159" s="407"/>
      <c r="FU159" s="407"/>
      <c r="FV159" s="407"/>
      <c r="FW159" s="407"/>
      <c r="FX159" s="406"/>
      <c r="FY159" s="407"/>
      <c r="FZ159" s="407"/>
      <c r="GA159" s="407"/>
      <c r="GB159" s="407"/>
      <c r="GC159" s="407"/>
      <c r="GD159" s="406"/>
      <c r="GE159" s="407"/>
      <c r="GF159" s="407"/>
      <c r="GG159" s="407"/>
      <c r="GH159" s="407"/>
      <c r="GI159" s="407"/>
      <c r="GJ159" s="406"/>
      <c r="GK159" s="407"/>
      <c r="GL159" s="407"/>
      <c r="GM159" s="407"/>
      <c r="GN159" s="407"/>
      <c r="GO159" s="407"/>
      <c r="GP159" s="406"/>
      <c r="GQ159" s="407"/>
      <c r="GR159" s="407"/>
      <c r="GS159" s="407"/>
      <c r="GT159" s="407"/>
      <c r="GU159" s="407"/>
      <c r="GV159" s="406"/>
      <c r="GW159" s="407"/>
      <c r="GX159" s="407"/>
      <c r="GY159" s="407"/>
      <c r="GZ159" s="407"/>
      <c r="HA159" s="407"/>
      <c r="HB159" s="406"/>
      <c r="HC159" s="407"/>
      <c r="HD159" s="407"/>
      <c r="HE159" s="407"/>
      <c r="HF159" s="407"/>
      <c r="HG159" s="407"/>
      <c r="HH159" s="406"/>
      <c r="HI159" s="407"/>
      <c r="HJ159" s="407"/>
      <c r="HK159" s="407"/>
      <c r="HL159" s="407"/>
      <c r="HM159" s="407"/>
      <c r="HN159" s="406"/>
      <c r="HO159" s="407"/>
      <c r="HP159" s="407"/>
      <c r="HQ159" s="407"/>
      <c r="HR159" s="407"/>
      <c r="HS159" s="407"/>
      <c r="HT159" s="406"/>
      <c r="HU159" s="407"/>
      <c r="HV159" s="407"/>
      <c r="HW159" s="407"/>
      <c r="HX159" s="407"/>
      <c r="HY159" s="407"/>
      <c r="HZ159" s="406"/>
      <c r="IA159" s="407"/>
      <c r="IB159" s="407"/>
      <c r="IC159" s="407"/>
      <c r="ID159" s="407"/>
      <c r="IE159" s="407"/>
      <c r="IF159" s="406"/>
      <c r="IG159" s="407"/>
      <c r="IH159" s="407"/>
      <c r="II159" s="407"/>
      <c r="IJ159" s="407"/>
      <c r="IK159" s="407"/>
      <c r="IL159" s="406"/>
      <c r="IM159" s="407"/>
      <c r="IN159" s="407"/>
      <c r="IO159" s="407"/>
      <c r="IP159" s="407"/>
      <c r="IQ159" s="407"/>
      <c r="IR159" s="406"/>
      <c r="IS159" s="407"/>
      <c r="IT159" s="407"/>
      <c r="IU159" s="407"/>
      <c r="IV159" s="407"/>
      <c r="IW159" s="407"/>
      <c r="IX159" s="406"/>
      <c r="IY159" s="407"/>
      <c r="IZ159" s="407"/>
      <c r="JA159" s="407"/>
      <c r="JB159" s="407"/>
      <c r="JC159" s="407"/>
      <c r="JD159" s="406"/>
      <c r="JE159" s="407"/>
      <c r="JF159" s="407"/>
      <c r="JG159" s="407"/>
      <c r="JH159" s="407"/>
      <c r="JI159" s="407"/>
      <c r="JJ159" s="406"/>
      <c r="JK159" s="407"/>
      <c r="JL159" s="407"/>
      <c r="JM159" s="407"/>
      <c r="JN159" s="407"/>
      <c r="JO159" s="407"/>
      <c r="JP159" s="406"/>
      <c r="JQ159" s="407"/>
      <c r="JR159" s="407"/>
      <c r="JS159" s="407"/>
      <c r="JT159" s="407"/>
      <c r="JU159" s="407"/>
      <c r="JV159" s="406"/>
      <c r="JW159" s="407"/>
      <c r="JX159" s="407"/>
      <c r="JY159" s="407"/>
      <c r="JZ159" s="407"/>
      <c r="KA159" s="407"/>
      <c r="KB159" s="406"/>
      <c r="KC159" s="407"/>
      <c r="KD159" s="407"/>
      <c r="KE159" s="407"/>
      <c r="KF159" s="407"/>
      <c r="KG159" s="407"/>
      <c r="KH159" s="406"/>
      <c r="KI159" s="407"/>
      <c r="KJ159" s="407"/>
      <c r="KK159" s="407"/>
      <c r="KL159" s="407"/>
      <c r="KM159" s="407"/>
      <c r="KN159" s="406"/>
      <c r="KO159" s="407"/>
      <c r="KP159" s="407"/>
      <c r="KQ159" s="407"/>
      <c r="KR159" s="407"/>
      <c r="KS159" s="407"/>
      <c r="KT159" s="406"/>
      <c r="KU159" s="407"/>
      <c r="KV159" s="407"/>
      <c r="KW159" s="407"/>
      <c r="KX159" s="407"/>
      <c r="KY159" s="407"/>
      <c r="KZ159" s="406"/>
      <c r="LA159" s="407"/>
      <c r="LB159" s="407"/>
      <c r="LC159" s="407"/>
      <c r="LD159" s="407"/>
      <c r="LE159" s="407"/>
      <c r="LF159" s="406"/>
      <c r="LG159" s="407"/>
      <c r="LH159" s="407"/>
      <c r="LI159" s="407"/>
      <c r="LJ159" s="407"/>
      <c r="LK159" s="407"/>
      <c r="LL159" s="406"/>
      <c r="LM159" s="407"/>
      <c r="LN159" s="407"/>
      <c r="LO159" s="407"/>
      <c r="LP159" s="407"/>
      <c r="LQ159" s="407"/>
      <c r="LR159" s="406"/>
      <c r="LS159" s="407"/>
      <c r="LT159" s="407"/>
      <c r="LU159" s="407"/>
      <c r="LV159" s="407"/>
      <c r="LW159" s="407"/>
      <c r="LX159" s="406"/>
      <c r="LY159" s="407"/>
      <c r="LZ159" s="407"/>
      <c r="MA159" s="407"/>
      <c r="MB159" s="407"/>
      <c r="MC159" s="407"/>
      <c r="MD159" s="406"/>
      <c r="ME159" s="407"/>
      <c r="MF159" s="407"/>
      <c r="MG159" s="407"/>
      <c r="MH159" s="407"/>
      <c r="MI159" s="407"/>
      <c r="MJ159" s="406"/>
      <c r="MK159" s="407"/>
      <c r="ML159" s="407"/>
      <c r="MM159" s="407"/>
      <c r="MN159" s="407"/>
      <c r="MO159" s="407"/>
      <c r="MP159" s="406"/>
      <c r="MQ159" s="407"/>
      <c r="MR159" s="407"/>
      <c r="MS159" s="407"/>
      <c r="MT159" s="407"/>
      <c r="MU159" s="407"/>
      <c r="MV159" s="406"/>
      <c r="MW159" s="407"/>
      <c r="MX159" s="407"/>
      <c r="MY159" s="407"/>
      <c r="MZ159" s="407"/>
      <c r="NA159" s="407"/>
      <c r="NB159" s="406"/>
      <c r="NC159" s="407"/>
      <c r="ND159" s="407"/>
      <c r="NE159" s="407"/>
      <c r="NF159" s="407"/>
      <c r="NG159" s="407"/>
      <c r="NH159" s="406"/>
      <c r="NI159" s="407"/>
      <c r="NJ159" s="407"/>
      <c r="NK159" s="407"/>
      <c r="NL159" s="407"/>
      <c r="NM159" s="407"/>
      <c r="NN159" s="406"/>
      <c r="NO159" s="407"/>
      <c r="NP159" s="407"/>
      <c r="NQ159" s="407"/>
      <c r="NR159" s="407"/>
      <c r="NS159" s="407"/>
      <c r="NT159" s="406"/>
      <c r="NU159" s="407"/>
      <c r="NV159" s="407"/>
      <c r="NW159" s="407"/>
      <c r="NX159" s="407"/>
      <c r="NY159" s="407"/>
      <c r="NZ159" s="406"/>
      <c r="OA159" s="407"/>
      <c r="OB159" s="407"/>
      <c r="OC159" s="407"/>
      <c r="OD159" s="407"/>
      <c r="OE159" s="407"/>
      <c r="OF159" s="406"/>
      <c r="OG159" s="407"/>
      <c r="OH159" s="407"/>
      <c r="OI159" s="407"/>
      <c r="OJ159" s="407"/>
      <c r="OK159" s="407"/>
      <c r="OL159" s="406"/>
      <c r="OM159" s="407"/>
      <c r="ON159" s="407"/>
      <c r="OO159" s="407"/>
      <c r="OP159" s="407"/>
      <c r="OQ159" s="407"/>
      <c r="OR159" s="406"/>
      <c r="OS159" s="407"/>
      <c r="OT159" s="407"/>
      <c r="OU159" s="407"/>
      <c r="OV159" s="407"/>
      <c r="OW159" s="407"/>
      <c r="OX159" s="406"/>
      <c r="OY159" s="407"/>
      <c r="OZ159" s="407"/>
      <c r="PA159" s="407"/>
      <c r="PB159" s="407"/>
      <c r="PC159" s="407"/>
      <c r="PD159" s="406"/>
      <c r="PE159" s="407"/>
      <c r="PF159" s="407"/>
      <c r="PG159" s="407"/>
      <c r="PH159" s="407"/>
      <c r="PI159" s="407"/>
      <c r="PJ159" s="406"/>
      <c r="PK159" s="407"/>
      <c r="PL159" s="407"/>
      <c r="PM159" s="407"/>
      <c r="PN159" s="407"/>
      <c r="PO159" s="407"/>
      <c r="PP159" s="406"/>
      <c r="PQ159" s="407"/>
      <c r="PR159" s="407"/>
      <c r="PS159" s="407"/>
      <c r="PT159" s="407"/>
      <c r="PU159" s="407"/>
      <c r="PV159" s="406"/>
      <c r="PW159" s="407"/>
      <c r="PX159" s="407"/>
      <c r="PY159" s="407"/>
      <c r="PZ159" s="407"/>
      <c r="QA159" s="407"/>
      <c r="QB159" s="406"/>
      <c r="QC159" s="407"/>
      <c r="QD159" s="407"/>
      <c r="QE159" s="407"/>
      <c r="QF159" s="407"/>
      <c r="QG159" s="407"/>
      <c r="QH159" s="406"/>
      <c r="QI159" s="407"/>
      <c r="QJ159" s="407"/>
      <c r="QK159" s="407"/>
      <c r="QL159" s="407"/>
      <c r="QM159" s="407"/>
      <c r="QN159" s="406"/>
      <c r="QO159" s="407"/>
      <c r="QP159" s="407"/>
      <c r="QQ159" s="407"/>
      <c r="QR159" s="407"/>
      <c r="QS159" s="407"/>
      <c r="QT159" s="406"/>
      <c r="QU159" s="407"/>
      <c r="QV159" s="407"/>
      <c r="QW159" s="407"/>
      <c r="QX159" s="407"/>
      <c r="QY159" s="407"/>
      <c r="QZ159" s="406"/>
      <c r="RA159" s="407"/>
      <c r="RB159" s="407"/>
      <c r="RC159" s="407"/>
      <c r="RD159" s="407"/>
      <c r="RE159" s="407"/>
      <c r="RF159" s="406"/>
      <c r="RG159" s="407"/>
      <c r="RH159" s="407"/>
      <c r="RI159" s="407"/>
      <c r="RJ159" s="407"/>
      <c r="RK159" s="407"/>
      <c r="RL159" s="406"/>
      <c r="RM159" s="407"/>
      <c r="RN159" s="407"/>
      <c r="RO159" s="407"/>
      <c r="RP159" s="407"/>
      <c r="RQ159" s="407"/>
      <c r="RR159" s="406"/>
      <c r="RS159" s="407"/>
      <c r="RT159" s="407"/>
      <c r="RU159" s="407"/>
      <c r="RV159" s="407"/>
      <c r="RW159" s="407"/>
      <c r="RX159" s="406"/>
      <c r="RY159" s="407"/>
      <c r="RZ159" s="407"/>
      <c r="SA159" s="407"/>
      <c r="SB159" s="407"/>
      <c r="SC159" s="407"/>
      <c r="SD159" s="406"/>
      <c r="SE159" s="407"/>
      <c r="SF159" s="407"/>
      <c r="SG159" s="407"/>
      <c r="SH159" s="407"/>
      <c r="SI159" s="407"/>
      <c r="SJ159" s="406"/>
      <c r="SK159" s="407"/>
      <c r="SL159" s="407"/>
      <c r="SM159" s="407"/>
      <c r="SN159" s="407"/>
      <c r="SO159" s="407"/>
      <c r="SP159" s="406"/>
      <c r="SQ159" s="407"/>
      <c r="SR159" s="407"/>
      <c r="SS159" s="407"/>
      <c r="ST159" s="407"/>
      <c r="SU159" s="407"/>
      <c r="SV159" s="406"/>
      <c r="SW159" s="407"/>
      <c r="SX159" s="407"/>
      <c r="SY159" s="407"/>
      <c r="SZ159" s="407"/>
      <c r="TA159" s="407"/>
      <c r="TB159" s="406"/>
      <c r="TC159" s="407"/>
      <c r="TD159" s="407"/>
      <c r="TE159" s="407"/>
      <c r="TF159" s="407"/>
      <c r="TG159" s="407"/>
      <c r="TH159" s="406"/>
      <c r="TI159" s="407"/>
      <c r="TJ159" s="407"/>
      <c r="TK159" s="407"/>
      <c r="TL159" s="407"/>
      <c r="TM159" s="407"/>
      <c r="TN159" s="406"/>
      <c r="TO159" s="407"/>
      <c r="TP159" s="407"/>
      <c r="TQ159" s="407"/>
      <c r="TR159" s="407"/>
      <c r="TS159" s="407"/>
      <c r="TT159" s="406"/>
      <c r="TU159" s="407"/>
      <c r="TV159" s="407"/>
      <c r="TW159" s="407"/>
      <c r="TX159" s="407"/>
      <c r="TY159" s="407"/>
      <c r="TZ159" s="406"/>
      <c r="UA159" s="407"/>
      <c r="UB159" s="407"/>
      <c r="UC159" s="407"/>
      <c r="UD159" s="407"/>
      <c r="UE159" s="407"/>
      <c r="UF159" s="406"/>
      <c r="UG159" s="407"/>
      <c r="UH159" s="407"/>
      <c r="UI159" s="407"/>
      <c r="UJ159" s="407"/>
      <c r="UK159" s="407"/>
      <c r="UL159" s="406"/>
      <c r="UM159" s="407"/>
      <c r="UN159" s="407"/>
      <c r="UO159" s="407"/>
      <c r="UP159" s="407"/>
      <c r="UQ159" s="407"/>
      <c r="UR159" s="406"/>
      <c r="US159" s="407"/>
      <c r="UT159" s="407"/>
      <c r="UU159" s="407"/>
      <c r="UV159" s="407"/>
      <c r="UW159" s="407"/>
      <c r="UX159" s="406"/>
      <c r="UY159" s="407"/>
      <c r="UZ159" s="407"/>
      <c r="VA159" s="407"/>
      <c r="VB159" s="407"/>
      <c r="VC159" s="407"/>
      <c r="VD159" s="406"/>
      <c r="VE159" s="407"/>
      <c r="VF159" s="407"/>
      <c r="VG159" s="407"/>
      <c r="VH159" s="407"/>
      <c r="VI159" s="407"/>
      <c r="VJ159" s="406"/>
      <c r="VK159" s="407"/>
      <c r="VL159" s="407"/>
      <c r="VM159" s="407"/>
      <c r="VN159" s="407"/>
      <c r="VO159" s="407"/>
      <c r="VP159" s="406"/>
      <c r="VQ159" s="407"/>
      <c r="VR159" s="407"/>
      <c r="VS159" s="407"/>
      <c r="VT159" s="407"/>
      <c r="VU159" s="407"/>
      <c r="VV159" s="406"/>
      <c r="VW159" s="407"/>
      <c r="VX159" s="407"/>
      <c r="VY159" s="407"/>
      <c r="VZ159" s="407"/>
      <c r="WA159" s="407"/>
      <c r="WB159" s="406"/>
      <c r="WC159" s="407"/>
      <c r="WD159" s="407"/>
      <c r="WE159" s="407"/>
      <c r="WF159" s="407"/>
      <c r="WG159" s="407"/>
      <c r="WH159" s="406"/>
      <c r="WI159" s="407"/>
      <c r="WJ159" s="407"/>
      <c r="WK159" s="407"/>
      <c r="WL159" s="407"/>
      <c r="WM159" s="407"/>
      <c r="WN159" s="406"/>
      <c r="WO159" s="407"/>
      <c r="WP159" s="407"/>
      <c r="WQ159" s="407"/>
      <c r="WR159" s="407"/>
      <c r="WS159" s="407"/>
      <c r="WT159" s="406"/>
      <c r="WU159" s="407"/>
      <c r="WV159" s="407"/>
      <c r="WW159" s="407"/>
      <c r="WX159" s="407"/>
      <c r="WY159" s="407"/>
      <c r="WZ159" s="406"/>
      <c r="XA159" s="407"/>
      <c r="XB159" s="407"/>
      <c r="XC159" s="407"/>
      <c r="XD159" s="407"/>
      <c r="XE159" s="407"/>
      <c r="XF159" s="406"/>
      <c r="XG159" s="407"/>
      <c r="XH159" s="407"/>
      <c r="XI159" s="407"/>
      <c r="XJ159" s="407"/>
      <c r="XK159" s="407"/>
      <c r="XL159" s="406"/>
      <c r="XM159" s="407"/>
      <c r="XN159" s="407"/>
      <c r="XO159" s="407"/>
      <c r="XP159" s="407"/>
      <c r="XQ159" s="407"/>
      <c r="XR159" s="406"/>
      <c r="XS159" s="407"/>
      <c r="XT159" s="407"/>
      <c r="XU159" s="407"/>
      <c r="XV159" s="407"/>
      <c r="XW159" s="407"/>
      <c r="XX159" s="406"/>
      <c r="XY159" s="407"/>
      <c r="XZ159" s="407"/>
      <c r="YA159" s="407"/>
      <c r="YB159" s="407"/>
      <c r="YC159" s="407"/>
      <c r="YD159" s="406"/>
      <c r="YE159" s="407"/>
      <c r="YF159" s="407"/>
      <c r="YG159" s="407"/>
      <c r="YH159" s="407"/>
      <c r="YI159" s="407"/>
      <c r="YJ159" s="406"/>
      <c r="YK159" s="407"/>
      <c r="YL159" s="407"/>
      <c r="YM159" s="407"/>
      <c r="YN159" s="407"/>
      <c r="YO159" s="407"/>
      <c r="YP159" s="406"/>
      <c r="YQ159" s="407"/>
      <c r="YR159" s="407"/>
      <c r="YS159" s="407"/>
      <c r="YT159" s="407"/>
      <c r="YU159" s="407"/>
      <c r="YV159" s="406"/>
      <c r="YW159" s="407"/>
      <c r="YX159" s="407"/>
      <c r="YY159" s="407"/>
      <c r="YZ159" s="407"/>
      <c r="ZA159" s="407"/>
      <c r="ZB159" s="406"/>
      <c r="ZC159" s="407"/>
      <c r="ZD159" s="407"/>
      <c r="ZE159" s="407"/>
      <c r="ZF159" s="407"/>
      <c r="ZG159" s="407"/>
      <c r="ZH159" s="406"/>
      <c r="ZI159" s="407"/>
      <c r="ZJ159" s="407"/>
      <c r="ZK159" s="407"/>
      <c r="ZL159" s="407"/>
      <c r="ZM159" s="407"/>
      <c r="ZN159" s="406"/>
      <c r="ZO159" s="407"/>
      <c r="ZP159" s="407"/>
      <c r="ZQ159" s="407"/>
      <c r="ZR159" s="407"/>
      <c r="ZS159" s="407"/>
      <c r="ZT159" s="406"/>
      <c r="ZU159" s="407"/>
      <c r="ZV159" s="407"/>
      <c r="ZW159" s="407"/>
      <c r="ZX159" s="407"/>
      <c r="ZY159" s="407"/>
      <c r="ZZ159" s="406"/>
      <c r="AAA159" s="407"/>
      <c r="AAB159" s="407"/>
      <c r="AAC159" s="407"/>
      <c r="AAD159" s="407"/>
      <c r="AAE159" s="407"/>
      <c r="AAF159" s="406"/>
      <c r="AAG159" s="407"/>
      <c r="AAH159" s="407"/>
      <c r="AAI159" s="407"/>
      <c r="AAJ159" s="407"/>
      <c r="AAK159" s="407"/>
      <c r="AAL159" s="406"/>
      <c r="AAM159" s="407"/>
      <c r="AAN159" s="407"/>
      <c r="AAO159" s="407"/>
      <c r="AAP159" s="407"/>
      <c r="AAQ159" s="407"/>
      <c r="AAR159" s="406"/>
      <c r="AAS159" s="407"/>
      <c r="AAT159" s="407"/>
      <c r="AAU159" s="407"/>
      <c r="AAV159" s="407"/>
      <c r="AAW159" s="407"/>
      <c r="AAX159" s="406"/>
      <c r="AAY159" s="407"/>
      <c r="AAZ159" s="407"/>
      <c r="ABA159" s="407"/>
      <c r="ABB159" s="407"/>
      <c r="ABC159" s="407"/>
      <c r="ABD159" s="406"/>
      <c r="ABE159" s="407"/>
      <c r="ABF159" s="407"/>
      <c r="ABG159" s="407"/>
      <c r="ABH159" s="407"/>
      <c r="ABI159" s="407"/>
      <c r="ABJ159" s="406"/>
      <c r="ABK159" s="407"/>
      <c r="ABL159" s="407"/>
      <c r="ABM159" s="407"/>
      <c r="ABN159" s="407"/>
      <c r="ABO159" s="407"/>
      <c r="ABP159" s="406"/>
      <c r="ABQ159" s="407"/>
      <c r="ABR159" s="407"/>
      <c r="ABS159" s="407"/>
      <c r="ABT159" s="407"/>
      <c r="ABU159" s="407"/>
      <c r="ABV159" s="406"/>
      <c r="ABW159" s="407"/>
      <c r="ABX159" s="407"/>
      <c r="ABY159" s="407"/>
      <c r="ABZ159" s="407"/>
      <c r="ACA159" s="407"/>
      <c r="ACB159" s="406"/>
      <c r="ACC159" s="407"/>
      <c r="ACD159" s="407"/>
      <c r="ACE159" s="407"/>
      <c r="ACF159" s="407"/>
      <c r="ACG159" s="407"/>
      <c r="ACH159" s="406"/>
      <c r="ACI159" s="407"/>
      <c r="ACJ159" s="407"/>
      <c r="ACK159" s="407"/>
      <c r="ACL159" s="407"/>
      <c r="ACM159" s="407"/>
      <c r="ACN159" s="406"/>
      <c r="ACO159" s="407"/>
      <c r="ACP159" s="407"/>
      <c r="ACQ159" s="407"/>
      <c r="ACR159" s="407"/>
      <c r="ACS159" s="407"/>
      <c r="ACT159" s="406"/>
      <c r="ACU159" s="407"/>
      <c r="ACV159" s="407"/>
      <c r="ACW159" s="407"/>
      <c r="ACX159" s="407"/>
      <c r="ACY159" s="407"/>
      <c r="ACZ159" s="406"/>
      <c r="ADA159" s="407"/>
      <c r="ADB159" s="407"/>
      <c r="ADC159" s="407"/>
      <c r="ADD159" s="407"/>
      <c r="ADE159" s="407"/>
      <c r="ADF159" s="406"/>
      <c r="ADG159" s="407"/>
      <c r="ADH159" s="407"/>
      <c r="ADI159" s="407"/>
      <c r="ADJ159" s="407"/>
      <c r="ADK159" s="407"/>
      <c r="ADL159" s="406"/>
      <c r="ADM159" s="407"/>
      <c r="ADN159" s="407"/>
      <c r="ADO159" s="407"/>
      <c r="ADP159" s="407"/>
      <c r="ADQ159" s="407"/>
      <c r="ADR159" s="406"/>
      <c r="ADS159" s="407"/>
      <c r="ADT159" s="407"/>
      <c r="ADU159" s="407"/>
      <c r="ADV159" s="407"/>
      <c r="ADW159" s="407"/>
      <c r="ADX159" s="406"/>
      <c r="ADY159" s="407"/>
      <c r="ADZ159" s="407"/>
      <c r="AEA159" s="407"/>
      <c r="AEB159" s="407"/>
      <c r="AEC159" s="407"/>
      <c r="AED159" s="406"/>
      <c r="AEE159" s="407"/>
      <c r="AEF159" s="407"/>
      <c r="AEG159" s="407"/>
      <c r="AEH159" s="407"/>
      <c r="AEI159" s="407"/>
      <c r="AEJ159" s="406"/>
      <c r="AEK159" s="407"/>
      <c r="AEL159" s="407"/>
      <c r="AEM159" s="407"/>
      <c r="AEN159" s="407"/>
      <c r="AEO159" s="407"/>
      <c r="AEP159" s="406"/>
      <c r="AEQ159" s="407"/>
      <c r="AER159" s="407"/>
      <c r="AES159" s="407"/>
      <c r="AET159" s="407"/>
      <c r="AEU159" s="407"/>
      <c r="AEV159" s="406"/>
      <c r="AEW159" s="407"/>
      <c r="AEX159" s="407"/>
      <c r="AEY159" s="407"/>
      <c r="AEZ159" s="407"/>
      <c r="AFA159" s="407"/>
      <c r="AFB159" s="406"/>
      <c r="AFC159" s="407"/>
      <c r="AFD159" s="407"/>
      <c r="AFE159" s="407"/>
      <c r="AFF159" s="407"/>
      <c r="AFG159" s="407"/>
      <c r="AFH159" s="406"/>
      <c r="AFI159" s="407"/>
      <c r="AFJ159" s="407"/>
      <c r="AFK159" s="407"/>
      <c r="AFL159" s="407"/>
      <c r="AFM159" s="407"/>
      <c r="AFN159" s="406"/>
      <c r="AFO159" s="407"/>
      <c r="AFP159" s="407"/>
      <c r="AFQ159" s="407"/>
      <c r="AFR159" s="407"/>
      <c r="AFS159" s="407"/>
      <c r="AFT159" s="406"/>
      <c r="AFU159" s="407"/>
      <c r="AFV159" s="407"/>
      <c r="AFW159" s="407"/>
      <c r="AFX159" s="407"/>
      <c r="AFY159" s="407"/>
      <c r="AFZ159" s="406"/>
      <c r="AGA159" s="407"/>
      <c r="AGB159" s="407"/>
      <c r="AGC159" s="407"/>
      <c r="AGD159" s="407"/>
      <c r="AGE159" s="407"/>
      <c r="AGF159" s="406"/>
      <c r="AGG159" s="407"/>
      <c r="AGH159" s="407"/>
      <c r="AGI159" s="407"/>
      <c r="AGJ159" s="407"/>
      <c r="AGK159" s="407"/>
      <c r="AGL159" s="406"/>
      <c r="AGM159" s="407"/>
      <c r="AGN159" s="407"/>
      <c r="AGO159" s="407"/>
      <c r="AGP159" s="407"/>
      <c r="AGQ159" s="407"/>
      <c r="AGR159" s="406"/>
      <c r="AGS159" s="407"/>
      <c r="AGT159" s="407"/>
      <c r="AGU159" s="407"/>
      <c r="AGV159" s="407"/>
      <c r="AGW159" s="407"/>
      <c r="AGX159" s="406"/>
      <c r="AGY159" s="407"/>
      <c r="AGZ159" s="407"/>
      <c r="AHA159" s="407"/>
      <c r="AHB159" s="407"/>
      <c r="AHC159" s="407"/>
      <c r="AHD159" s="406"/>
      <c r="AHE159" s="407"/>
      <c r="AHF159" s="407"/>
      <c r="AHG159" s="407"/>
      <c r="AHH159" s="407"/>
      <c r="AHI159" s="407"/>
      <c r="AHJ159" s="406"/>
      <c r="AHK159" s="407"/>
      <c r="AHL159" s="407"/>
      <c r="AHM159" s="407"/>
      <c r="AHN159" s="407"/>
      <c r="AHO159" s="407"/>
      <c r="AHP159" s="406"/>
      <c r="AHQ159" s="407"/>
      <c r="AHR159" s="407"/>
      <c r="AHS159" s="407"/>
      <c r="AHT159" s="407"/>
      <c r="AHU159" s="407"/>
      <c r="AHV159" s="406"/>
      <c r="AHW159" s="407"/>
      <c r="AHX159" s="407"/>
      <c r="AHY159" s="407"/>
      <c r="AHZ159" s="407"/>
      <c r="AIA159" s="407"/>
      <c r="AIB159" s="406"/>
      <c r="AIC159" s="407"/>
      <c r="AID159" s="407"/>
      <c r="AIE159" s="407"/>
      <c r="AIF159" s="407"/>
      <c r="AIG159" s="407"/>
      <c r="AIH159" s="406"/>
      <c r="AII159" s="407"/>
      <c r="AIJ159" s="407"/>
      <c r="AIK159" s="407"/>
      <c r="AIL159" s="407"/>
      <c r="AIM159" s="407"/>
      <c r="AIN159" s="406"/>
      <c r="AIO159" s="407"/>
      <c r="AIP159" s="407"/>
      <c r="AIQ159" s="407"/>
      <c r="AIR159" s="407"/>
      <c r="AIS159" s="407"/>
      <c r="AIT159" s="406"/>
      <c r="AIU159" s="407"/>
      <c r="AIV159" s="407"/>
      <c r="AIW159" s="407"/>
      <c r="AIX159" s="407"/>
      <c r="AIY159" s="407"/>
      <c r="AIZ159" s="406"/>
      <c r="AJA159" s="407"/>
      <c r="AJB159" s="407"/>
      <c r="AJC159" s="407"/>
      <c r="AJD159" s="407"/>
      <c r="AJE159" s="407"/>
      <c r="AJF159" s="406"/>
      <c r="AJG159" s="407"/>
      <c r="AJH159" s="407"/>
      <c r="AJI159" s="407"/>
      <c r="AJJ159" s="407"/>
      <c r="AJK159" s="407"/>
      <c r="AJL159" s="406"/>
      <c r="AJM159" s="407"/>
      <c r="AJN159" s="407"/>
      <c r="AJO159" s="407"/>
      <c r="AJP159" s="407"/>
      <c r="AJQ159" s="407"/>
      <c r="AJR159" s="406"/>
      <c r="AJS159" s="407"/>
      <c r="AJT159" s="407"/>
      <c r="AJU159" s="407"/>
      <c r="AJV159" s="407"/>
      <c r="AJW159" s="407"/>
      <c r="AJX159" s="406"/>
      <c r="AJY159" s="407"/>
      <c r="AJZ159" s="407"/>
      <c r="AKA159" s="407"/>
      <c r="AKB159" s="407"/>
      <c r="AKC159" s="407"/>
      <c r="AKD159" s="406"/>
      <c r="AKE159" s="407"/>
      <c r="AKF159" s="407"/>
      <c r="AKG159" s="407"/>
      <c r="AKH159" s="407"/>
      <c r="AKI159" s="407"/>
      <c r="AKJ159" s="406"/>
      <c r="AKK159" s="407"/>
      <c r="AKL159" s="407"/>
      <c r="AKM159" s="407"/>
      <c r="AKN159" s="407"/>
      <c r="AKO159" s="407"/>
      <c r="AKP159" s="406"/>
      <c r="AKQ159" s="407"/>
      <c r="AKR159" s="407"/>
      <c r="AKS159" s="407"/>
      <c r="AKT159" s="407"/>
      <c r="AKU159" s="407"/>
      <c r="AKV159" s="406"/>
      <c r="AKW159" s="407"/>
      <c r="AKX159" s="407"/>
      <c r="AKY159" s="407"/>
      <c r="AKZ159" s="407"/>
      <c r="ALA159" s="407"/>
      <c r="ALB159" s="406"/>
      <c r="ALC159" s="407"/>
      <c r="ALD159" s="407"/>
      <c r="ALE159" s="407"/>
      <c r="ALF159" s="407"/>
      <c r="ALG159" s="407"/>
      <c r="ALH159" s="406"/>
      <c r="ALI159" s="407"/>
      <c r="ALJ159" s="407"/>
      <c r="ALK159" s="407"/>
      <c r="ALL159" s="407"/>
      <c r="ALM159" s="407"/>
      <c r="ALN159" s="406"/>
      <c r="ALO159" s="407"/>
      <c r="ALP159" s="407"/>
      <c r="ALQ159" s="407"/>
      <c r="ALR159" s="407"/>
      <c r="ALS159" s="407"/>
      <c r="ALT159" s="406"/>
      <c r="ALU159" s="407"/>
      <c r="ALV159" s="407"/>
      <c r="ALW159" s="407"/>
      <c r="ALX159" s="407"/>
      <c r="ALY159" s="407"/>
      <c r="ALZ159" s="406"/>
      <c r="AMA159" s="407"/>
      <c r="AMB159" s="407"/>
      <c r="AMC159" s="407"/>
      <c r="AMD159" s="407"/>
      <c r="AME159" s="407"/>
      <c r="AMF159" s="406"/>
      <c r="AMG159" s="407"/>
      <c r="AMH159" s="407"/>
      <c r="AMI159" s="407"/>
      <c r="AMJ159" s="407"/>
      <c r="AMK159" s="407"/>
      <c r="AML159" s="406"/>
      <c r="AMM159" s="407"/>
      <c r="AMN159" s="407"/>
      <c r="AMO159" s="407"/>
      <c r="AMP159" s="407"/>
      <c r="AMQ159" s="407"/>
      <c r="AMR159" s="406"/>
      <c r="AMS159" s="407"/>
      <c r="AMT159" s="407"/>
      <c r="AMU159" s="407"/>
      <c r="AMV159" s="407"/>
      <c r="AMW159" s="407"/>
      <c r="AMX159" s="406"/>
      <c r="AMY159" s="407"/>
      <c r="AMZ159" s="407"/>
      <c r="ANA159" s="407"/>
      <c r="ANB159" s="407"/>
      <c r="ANC159" s="407"/>
      <c r="AND159" s="406"/>
      <c r="ANE159" s="407"/>
      <c r="ANF159" s="407"/>
      <c r="ANG159" s="407"/>
      <c r="ANH159" s="407"/>
      <c r="ANI159" s="407"/>
      <c r="ANJ159" s="406"/>
      <c r="ANK159" s="407"/>
      <c r="ANL159" s="407"/>
      <c r="ANM159" s="407"/>
      <c r="ANN159" s="407"/>
      <c r="ANO159" s="407"/>
      <c r="ANP159" s="406"/>
      <c r="ANQ159" s="407"/>
      <c r="ANR159" s="407"/>
      <c r="ANS159" s="407"/>
      <c r="ANT159" s="407"/>
      <c r="ANU159" s="407"/>
      <c r="ANV159" s="406"/>
      <c r="ANW159" s="407"/>
      <c r="ANX159" s="407"/>
      <c r="ANY159" s="407"/>
      <c r="ANZ159" s="407"/>
      <c r="AOA159" s="407"/>
      <c r="AOB159" s="406"/>
      <c r="AOC159" s="407"/>
      <c r="AOD159" s="407"/>
      <c r="AOE159" s="407"/>
      <c r="AOF159" s="407"/>
      <c r="AOG159" s="407"/>
      <c r="AOH159" s="406"/>
      <c r="AOI159" s="407"/>
      <c r="AOJ159" s="407"/>
      <c r="AOK159" s="407"/>
      <c r="AOL159" s="407"/>
      <c r="AOM159" s="407"/>
      <c r="AON159" s="406"/>
      <c r="AOO159" s="407"/>
      <c r="AOP159" s="407"/>
      <c r="AOQ159" s="407"/>
      <c r="AOR159" s="407"/>
      <c r="AOS159" s="407"/>
      <c r="AOT159" s="406"/>
      <c r="AOU159" s="407"/>
      <c r="AOV159" s="407"/>
      <c r="AOW159" s="407"/>
      <c r="AOX159" s="407"/>
      <c r="AOY159" s="407"/>
      <c r="AOZ159" s="406"/>
      <c r="APA159" s="407"/>
      <c r="APB159" s="407"/>
      <c r="APC159" s="407"/>
      <c r="APD159" s="407"/>
      <c r="APE159" s="407"/>
      <c r="APF159" s="406"/>
      <c r="APG159" s="407"/>
      <c r="APH159" s="407"/>
      <c r="API159" s="407"/>
      <c r="APJ159" s="407"/>
      <c r="APK159" s="407"/>
      <c r="APL159" s="406"/>
      <c r="APM159" s="407"/>
      <c r="APN159" s="407"/>
      <c r="APO159" s="407"/>
      <c r="APP159" s="407"/>
      <c r="APQ159" s="407"/>
      <c r="APR159" s="406"/>
      <c r="APS159" s="407"/>
      <c r="APT159" s="407"/>
      <c r="APU159" s="407"/>
      <c r="APV159" s="407"/>
      <c r="APW159" s="407"/>
      <c r="APX159" s="406"/>
      <c r="APY159" s="407"/>
      <c r="APZ159" s="407"/>
      <c r="AQA159" s="407"/>
      <c r="AQB159" s="407"/>
      <c r="AQC159" s="407"/>
      <c r="AQD159" s="406"/>
      <c r="AQE159" s="407"/>
      <c r="AQF159" s="407"/>
      <c r="AQG159" s="407"/>
      <c r="AQH159" s="407"/>
      <c r="AQI159" s="407"/>
      <c r="AQJ159" s="406"/>
      <c r="AQK159" s="407"/>
      <c r="AQL159" s="407"/>
      <c r="AQM159" s="407"/>
      <c r="AQN159" s="407"/>
      <c r="AQO159" s="407"/>
      <c r="AQP159" s="406"/>
      <c r="AQQ159" s="407"/>
      <c r="AQR159" s="407"/>
      <c r="AQS159" s="407"/>
      <c r="AQT159" s="407"/>
      <c r="AQU159" s="407"/>
      <c r="AQV159" s="406"/>
      <c r="AQW159" s="407"/>
      <c r="AQX159" s="407"/>
      <c r="AQY159" s="407"/>
      <c r="AQZ159" s="407"/>
      <c r="ARA159" s="407"/>
      <c r="ARB159" s="406"/>
      <c r="ARC159" s="407"/>
      <c r="ARD159" s="407"/>
      <c r="ARE159" s="407"/>
      <c r="ARF159" s="407"/>
      <c r="ARG159" s="407"/>
      <c r="ARH159" s="406"/>
      <c r="ARI159" s="407"/>
      <c r="ARJ159" s="407"/>
      <c r="ARK159" s="407"/>
      <c r="ARL159" s="407"/>
      <c r="ARM159" s="407"/>
      <c r="ARN159" s="406"/>
      <c r="ARO159" s="407"/>
      <c r="ARP159" s="407"/>
      <c r="ARQ159" s="407"/>
      <c r="ARR159" s="407"/>
      <c r="ARS159" s="407"/>
      <c r="ART159" s="406"/>
      <c r="ARU159" s="407"/>
      <c r="ARV159" s="407"/>
      <c r="ARW159" s="407"/>
      <c r="ARX159" s="407"/>
      <c r="ARY159" s="407"/>
      <c r="ARZ159" s="406"/>
      <c r="ASA159" s="407"/>
      <c r="ASB159" s="407"/>
      <c r="ASC159" s="407"/>
      <c r="ASD159" s="407"/>
      <c r="ASE159" s="407"/>
      <c r="ASF159" s="406"/>
      <c r="ASG159" s="407"/>
      <c r="ASH159" s="407"/>
      <c r="ASI159" s="407"/>
      <c r="ASJ159" s="407"/>
      <c r="ASK159" s="407"/>
      <c r="ASL159" s="406"/>
      <c r="ASM159" s="407"/>
      <c r="ASN159" s="407"/>
      <c r="ASO159" s="407"/>
      <c r="ASP159" s="407"/>
      <c r="ASQ159" s="407"/>
      <c r="ASR159" s="406"/>
      <c r="ASS159" s="407"/>
      <c r="AST159" s="407"/>
      <c r="ASU159" s="407"/>
      <c r="ASV159" s="407"/>
      <c r="ASW159" s="407"/>
      <c r="ASX159" s="406"/>
      <c r="ASY159" s="407"/>
      <c r="ASZ159" s="407"/>
      <c r="ATA159" s="407"/>
      <c r="ATB159" s="407"/>
      <c r="ATC159" s="407"/>
      <c r="ATD159" s="406"/>
      <c r="ATE159" s="407"/>
      <c r="ATF159" s="407"/>
      <c r="ATG159" s="407"/>
      <c r="ATH159" s="407"/>
      <c r="ATI159" s="407"/>
      <c r="ATJ159" s="406"/>
      <c r="ATK159" s="407"/>
      <c r="ATL159" s="407"/>
      <c r="ATM159" s="407"/>
      <c r="ATN159" s="407"/>
      <c r="ATO159" s="407"/>
      <c r="ATP159" s="406"/>
      <c r="ATQ159" s="407"/>
      <c r="ATR159" s="407"/>
      <c r="ATS159" s="407"/>
      <c r="ATT159" s="407"/>
      <c r="ATU159" s="407"/>
      <c r="ATV159" s="406"/>
      <c r="ATW159" s="407"/>
      <c r="ATX159" s="407"/>
      <c r="ATY159" s="407"/>
      <c r="ATZ159" s="407"/>
      <c r="AUA159" s="407"/>
      <c r="AUB159" s="406"/>
      <c r="AUC159" s="407"/>
      <c r="AUD159" s="407"/>
      <c r="AUE159" s="407"/>
      <c r="AUF159" s="407"/>
      <c r="AUG159" s="407"/>
      <c r="AUH159" s="406"/>
      <c r="AUI159" s="407"/>
      <c r="AUJ159" s="407"/>
      <c r="AUK159" s="407"/>
      <c r="AUL159" s="407"/>
      <c r="AUM159" s="407"/>
      <c r="AUN159" s="406"/>
      <c r="AUO159" s="407"/>
      <c r="AUP159" s="407"/>
      <c r="AUQ159" s="407"/>
      <c r="AUR159" s="407"/>
      <c r="AUS159" s="407"/>
      <c r="AUT159" s="406"/>
      <c r="AUU159" s="407"/>
      <c r="AUV159" s="407"/>
      <c r="AUW159" s="407"/>
      <c r="AUX159" s="407"/>
      <c r="AUY159" s="407"/>
      <c r="AUZ159" s="406"/>
      <c r="AVA159" s="407"/>
      <c r="AVB159" s="407"/>
      <c r="AVC159" s="407"/>
      <c r="AVD159" s="407"/>
      <c r="AVE159" s="407"/>
      <c r="AVF159" s="406"/>
      <c r="AVG159" s="407"/>
      <c r="AVH159" s="407"/>
      <c r="AVI159" s="407"/>
      <c r="AVJ159" s="407"/>
      <c r="AVK159" s="407"/>
      <c r="AVL159" s="406"/>
      <c r="AVM159" s="407"/>
      <c r="AVN159" s="407"/>
      <c r="AVO159" s="407"/>
      <c r="AVP159" s="407"/>
      <c r="AVQ159" s="407"/>
      <c r="AVR159" s="406"/>
      <c r="AVS159" s="407"/>
      <c r="AVT159" s="407"/>
      <c r="AVU159" s="407"/>
      <c r="AVV159" s="407"/>
      <c r="AVW159" s="407"/>
      <c r="AVX159" s="406"/>
      <c r="AVY159" s="407"/>
      <c r="AVZ159" s="407"/>
      <c r="AWA159" s="407"/>
      <c r="AWB159" s="407"/>
      <c r="AWC159" s="407"/>
      <c r="AWD159" s="406"/>
      <c r="AWE159" s="407"/>
      <c r="AWF159" s="407"/>
      <c r="AWG159" s="407"/>
      <c r="AWH159" s="407"/>
      <c r="AWI159" s="407"/>
      <c r="AWJ159" s="406"/>
      <c r="AWK159" s="407"/>
      <c r="AWL159" s="407"/>
      <c r="AWM159" s="407"/>
      <c r="AWN159" s="407"/>
      <c r="AWO159" s="407"/>
      <c r="AWP159" s="406"/>
      <c r="AWQ159" s="407"/>
      <c r="AWR159" s="407"/>
      <c r="AWS159" s="407"/>
      <c r="AWT159" s="407"/>
      <c r="AWU159" s="407"/>
      <c r="AWV159" s="406"/>
      <c r="AWW159" s="407"/>
      <c r="AWX159" s="407"/>
      <c r="AWY159" s="407"/>
      <c r="AWZ159" s="407"/>
      <c r="AXA159" s="407"/>
      <c r="AXB159" s="406"/>
      <c r="AXC159" s="407"/>
      <c r="AXD159" s="407"/>
      <c r="AXE159" s="407"/>
      <c r="AXF159" s="407"/>
      <c r="AXG159" s="407"/>
      <c r="AXH159" s="406"/>
      <c r="AXI159" s="407"/>
      <c r="AXJ159" s="407"/>
      <c r="AXK159" s="407"/>
      <c r="AXL159" s="407"/>
      <c r="AXM159" s="407"/>
      <c r="AXN159" s="406"/>
      <c r="AXO159" s="407"/>
      <c r="AXP159" s="407"/>
      <c r="AXQ159" s="407"/>
      <c r="AXR159" s="407"/>
      <c r="AXS159" s="407"/>
      <c r="AXT159" s="406"/>
      <c r="AXU159" s="407"/>
      <c r="AXV159" s="407"/>
      <c r="AXW159" s="407"/>
      <c r="AXX159" s="407"/>
      <c r="AXY159" s="407"/>
      <c r="AXZ159" s="406"/>
      <c r="AYA159" s="407"/>
      <c r="AYB159" s="407"/>
      <c r="AYC159" s="407"/>
      <c r="AYD159" s="407"/>
      <c r="AYE159" s="407"/>
      <c r="AYF159" s="406"/>
      <c r="AYG159" s="407"/>
      <c r="AYH159" s="407"/>
      <c r="AYI159" s="407"/>
      <c r="AYJ159" s="407"/>
      <c r="AYK159" s="407"/>
      <c r="AYL159" s="406"/>
      <c r="AYM159" s="407"/>
      <c r="AYN159" s="407"/>
      <c r="AYO159" s="407"/>
      <c r="AYP159" s="407"/>
      <c r="AYQ159" s="407"/>
      <c r="AYR159" s="406"/>
      <c r="AYS159" s="407"/>
      <c r="AYT159" s="407"/>
      <c r="AYU159" s="407"/>
      <c r="AYV159" s="407"/>
      <c r="AYW159" s="407"/>
      <c r="AYX159" s="406"/>
      <c r="AYY159" s="407"/>
      <c r="AYZ159" s="407"/>
      <c r="AZA159" s="407"/>
      <c r="AZB159" s="407"/>
      <c r="AZC159" s="407"/>
      <c r="AZD159" s="406"/>
      <c r="AZE159" s="407"/>
      <c r="AZF159" s="407"/>
      <c r="AZG159" s="407"/>
      <c r="AZH159" s="407"/>
      <c r="AZI159" s="407"/>
      <c r="AZJ159" s="406"/>
      <c r="AZK159" s="407"/>
      <c r="AZL159" s="407"/>
      <c r="AZM159" s="407"/>
      <c r="AZN159" s="407"/>
      <c r="AZO159" s="407"/>
      <c r="AZP159" s="406"/>
      <c r="AZQ159" s="407"/>
      <c r="AZR159" s="407"/>
      <c r="AZS159" s="407"/>
      <c r="AZT159" s="407"/>
      <c r="AZU159" s="407"/>
      <c r="AZV159" s="406"/>
      <c r="AZW159" s="407"/>
      <c r="AZX159" s="407"/>
      <c r="AZY159" s="407"/>
      <c r="AZZ159" s="407"/>
      <c r="BAA159" s="407"/>
      <c r="BAB159" s="406"/>
      <c r="BAC159" s="407"/>
      <c r="BAD159" s="407"/>
      <c r="BAE159" s="407"/>
      <c r="BAF159" s="407"/>
      <c r="BAG159" s="407"/>
      <c r="BAH159" s="406"/>
      <c r="BAI159" s="407"/>
      <c r="BAJ159" s="407"/>
      <c r="BAK159" s="407"/>
      <c r="BAL159" s="407"/>
      <c r="BAM159" s="407"/>
      <c r="BAN159" s="406"/>
      <c r="BAO159" s="407"/>
      <c r="BAP159" s="407"/>
      <c r="BAQ159" s="407"/>
      <c r="BAR159" s="407"/>
      <c r="BAS159" s="407"/>
      <c r="BAT159" s="406"/>
      <c r="BAU159" s="407"/>
      <c r="BAV159" s="407"/>
      <c r="BAW159" s="407"/>
      <c r="BAX159" s="407"/>
      <c r="BAY159" s="407"/>
      <c r="BAZ159" s="406"/>
      <c r="BBA159" s="407"/>
      <c r="BBB159" s="407"/>
      <c r="BBC159" s="407"/>
      <c r="BBD159" s="407"/>
      <c r="BBE159" s="407"/>
      <c r="BBF159" s="406"/>
      <c r="BBG159" s="407"/>
      <c r="BBH159" s="407"/>
      <c r="BBI159" s="407"/>
      <c r="BBJ159" s="407"/>
      <c r="BBK159" s="407"/>
      <c r="BBL159" s="406"/>
      <c r="BBM159" s="407"/>
      <c r="BBN159" s="407"/>
      <c r="BBO159" s="407"/>
      <c r="BBP159" s="407"/>
      <c r="BBQ159" s="407"/>
      <c r="BBR159" s="406"/>
      <c r="BBS159" s="407"/>
      <c r="BBT159" s="407"/>
      <c r="BBU159" s="407"/>
      <c r="BBV159" s="407"/>
      <c r="BBW159" s="407"/>
      <c r="BBX159" s="406"/>
      <c r="BBY159" s="407"/>
      <c r="BBZ159" s="407"/>
      <c r="BCA159" s="407"/>
      <c r="BCB159" s="407"/>
      <c r="BCC159" s="407"/>
      <c r="BCD159" s="406"/>
      <c r="BCE159" s="407"/>
      <c r="BCF159" s="407"/>
      <c r="BCG159" s="407"/>
      <c r="BCH159" s="407"/>
      <c r="BCI159" s="407"/>
      <c r="BCJ159" s="406"/>
      <c r="BCK159" s="407"/>
      <c r="BCL159" s="407"/>
      <c r="BCM159" s="407"/>
      <c r="BCN159" s="407"/>
      <c r="BCO159" s="407"/>
      <c r="BCP159" s="406"/>
      <c r="BCQ159" s="407"/>
      <c r="BCR159" s="407"/>
      <c r="BCS159" s="407"/>
      <c r="BCT159" s="407"/>
      <c r="BCU159" s="407"/>
      <c r="BCV159" s="406"/>
      <c r="BCW159" s="407"/>
      <c r="BCX159" s="407"/>
      <c r="BCY159" s="407"/>
      <c r="BCZ159" s="407"/>
      <c r="BDA159" s="407"/>
      <c r="BDB159" s="406"/>
      <c r="BDC159" s="407"/>
      <c r="BDD159" s="407"/>
      <c r="BDE159" s="407"/>
      <c r="BDF159" s="407"/>
      <c r="BDG159" s="407"/>
      <c r="BDH159" s="406"/>
      <c r="BDI159" s="407"/>
      <c r="BDJ159" s="407"/>
      <c r="BDK159" s="407"/>
      <c r="BDL159" s="407"/>
      <c r="BDM159" s="407"/>
      <c r="BDN159" s="406"/>
      <c r="BDO159" s="407"/>
      <c r="BDP159" s="407"/>
      <c r="BDQ159" s="407"/>
      <c r="BDR159" s="407"/>
      <c r="BDS159" s="407"/>
      <c r="BDT159" s="406"/>
      <c r="BDU159" s="407"/>
      <c r="BDV159" s="407"/>
      <c r="BDW159" s="407"/>
      <c r="BDX159" s="407"/>
      <c r="BDY159" s="407"/>
      <c r="BDZ159" s="406"/>
      <c r="BEA159" s="407"/>
      <c r="BEB159" s="407"/>
      <c r="BEC159" s="407"/>
      <c r="BED159" s="407"/>
      <c r="BEE159" s="407"/>
      <c r="BEF159" s="406"/>
      <c r="BEG159" s="407"/>
      <c r="BEH159" s="407"/>
      <c r="BEI159" s="407"/>
      <c r="BEJ159" s="407"/>
      <c r="BEK159" s="407"/>
      <c r="BEL159" s="406"/>
      <c r="BEM159" s="407"/>
      <c r="BEN159" s="407"/>
      <c r="BEO159" s="407"/>
      <c r="BEP159" s="407"/>
      <c r="BEQ159" s="407"/>
      <c r="BER159" s="406"/>
      <c r="BES159" s="407"/>
      <c r="BET159" s="407"/>
      <c r="BEU159" s="407"/>
      <c r="BEV159" s="407"/>
      <c r="BEW159" s="407"/>
      <c r="BEX159" s="406"/>
      <c r="BEY159" s="407"/>
      <c r="BEZ159" s="407"/>
      <c r="BFA159" s="407"/>
      <c r="BFB159" s="407"/>
      <c r="BFC159" s="407"/>
      <c r="BFD159" s="406"/>
      <c r="BFE159" s="407"/>
      <c r="BFF159" s="407"/>
      <c r="BFG159" s="407"/>
      <c r="BFH159" s="407"/>
      <c r="BFI159" s="407"/>
      <c r="BFJ159" s="406"/>
      <c r="BFK159" s="407"/>
      <c r="BFL159" s="407"/>
      <c r="BFM159" s="407"/>
      <c r="BFN159" s="407"/>
      <c r="BFO159" s="407"/>
      <c r="BFP159" s="406"/>
      <c r="BFQ159" s="407"/>
      <c r="BFR159" s="407"/>
      <c r="BFS159" s="407"/>
      <c r="BFT159" s="407"/>
      <c r="BFU159" s="407"/>
      <c r="BFV159" s="406"/>
      <c r="BFW159" s="407"/>
      <c r="BFX159" s="407"/>
      <c r="BFY159" s="407"/>
      <c r="BFZ159" s="407"/>
      <c r="BGA159" s="407"/>
      <c r="BGB159" s="406"/>
      <c r="BGC159" s="407"/>
      <c r="BGD159" s="407"/>
      <c r="BGE159" s="407"/>
      <c r="BGF159" s="407"/>
      <c r="BGG159" s="407"/>
      <c r="BGH159" s="406"/>
      <c r="BGI159" s="407"/>
      <c r="BGJ159" s="407"/>
      <c r="BGK159" s="407"/>
      <c r="BGL159" s="407"/>
      <c r="BGM159" s="407"/>
      <c r="BGN159" s="406"/>
      <c r="BGO159" s="407"/>
      <c r="BGP159" s="407"/>
      <c r="BGQ159" s="407"/>
      <c r="BGR159" s="407"/>
      <c r="BGS159" s="407"/>
      <c r="BGT159" s="406"/>
      <c r="BGU159" s="407"/>
      <c r="BGV159" s="407"/>
      <c r="BGW159" s="407"/>
      <c r="BGX159" s="407"/>
      <c r="BGY159" s="407"/>
      <c r="BGZ159" s="406"/>
      <c r="BHA159" s="407"/>
      <c r="BHB159" s="407"/>
      <c r="BHC159" s="407"/>
      <c r="BHD159" s="407"/>
      <c r="BHE159" s="407"/>
      <c r="BHF159" s="406"/>
      <c r="BHG159" s="407"/>
      <c r="BHH159" s="407"/>
      <c r="BHI159" s="407"/>
      <c r="BHJ159" s="407"/>
      <c r="BHK159" s="407"/>
      <c r="BHL159" s="406"/>
      <c r="BHM159" s="407"/>
      <c r="BHN159" s="407"/>
      <c r="BHO159" s="407"/>
      <c r="BHP159" s="407"/>
      <c r="BHQ159" s="407"/>
      <c r="BHR159" s="406"/>
      <c r="BHS159" s="407"/>
      <c r="BHT159" s="407"/>
      <c r="BHU159" s="407"/>
      <c r="BHV159" s="407"/>
      <c r="BHW159" s="407"/>
      <c r="BHX159" s="406"/>
      <c r="BHY159" s="407"/>
      <c r="BHZ159" s="407"/>
      <c r="BIA159" s="407"/>
      <c r="BIB159" s="407"/>
      <c r="BIC159" s="407"/>
      <c r="BID159" s="406"/>
      <c r="BIE159" s="407"/>
      <c r="BIF159" s="407"/>
      <c r="BIG159" s="407"/>
      <c r="BIH159" s="407"/>
      <c r="BII159" s="407"/>
      <c r="BIJ159" s="406"/>
      <c r="BIK159" s="407"/>
      <c r="BIL159" s="407"/>
      <c r="BIM159" s="407"/>
      <c r="BIN159" s="407"/>
      <c r="BIO159" s="407"/>
      <c r="BIP159" s="406"/>
      <c r="BIQ159" s="407"/>
      <c r="BIR159" s="407"/>
      <c r="BIS159" s="407"/>
      <c r="BIT159" s="407"/>
      <c r="BIU159" s="407"/>
      <c r="BIV159" s="406"/>
      <c r="BIW159" s="407"/>
      <c r="BIX159" s="407"/>
      <c r="BIY159" s="407"/>
      <c r="BIZ159" s="407"/>
      <c r="BJA159" s="407"/>
      <c r="BJB159" s="406"/>
      <c r="BJC159" s="407"/>
      <c r="BJD159" s="407"/>
      <c r="BJE159" s="407"/>
      <c r="BJF159" s="407"/>
      <c r="BJG159" s="407"/>
      <c r="BJH159" s="406"/>
      <c r="BJI159" s="407"/>
      <c r="BJJ159" s="407"/>
      <c r="BJK159" s="407"/>
      <c r="BJL159" s="407"/>
      <c r="BJM159" s="407"/>
      <c r="BJN159" s="406"/>
      <c r="BJO159" s="407"/>
      <c r="BJP159" s="407"/>
      <c r="BJQ159" s="407"/>
      <c r="BJR159" s="407"/>
      <c r="BJS159" s="407"/>
      <c r="BJT159" s="406"/>
      <c r="BJU159" s="407"/>
      <c r="BJV159" s="407"/>
      <c r="BJW159" s="407"/>
      <c r="BJX159" s="407"/>
      <c r="BJY159" s="407"/>
      <c r="BJZ159" s="406"/>
      <c r="BKA159" s="407"/>
      <c r="BKB159" s="407"/>
      <c r="BKC159" s="407"/>
      <c r="BKD159" s="407"/>
      <c r="BKE159" s="407"/>
      <c r="BKF159" s="406"/>
      <c r="BKG159" s="407"/>
      <c r="BKH159" s="407"/>
      <c r="BKI159" s="407"/>
      <c r="BKJ159" s="407"/>
      <c r="BKK159" s="407"/>
      <c r="BKL159" s="406"/>
      <c r="BKM159" s="407"/>
      <c r="BKN159" s="407"/>
      <c r="BKO159" s="407"/>
      <c r="BKP159" s="407"/>
      <c r="BKQ159" s="407"/>
      <c r="BKR159" s="406"/>
      <c r="BKS159" s="407"/>
      <c r="BKT159" s="407"/>
      <c r="BKU159" s="407"/>
      <c r="BKV159" s="407"/>
      <c r="BKW159" s="407"/>
      <c r="BKX159" s="406"/>
      <c r="BKY159" s="407"/>
      <c r="BKZ159" s="407"/>
      <c r="BLA159" s="407"/>
      <c r="BLB159" s="407"/>
      <c r="BLC159" s="407"/>
      <c r="BLD159" s="406"/>
      <c r="BLE159" s="407"/>
      <c r="BLF159" s="407"/>
      <c r="BLG159" s="407"/>
      <c r="BLH159" s="407"/>
      <c r="BLI159" s="407"/>
      <c r="BLJ159" s="406"/>
      <c r="BLK159" s="407"/>
      <c r="BLL159" s="407"/>
      <c r="BLM159" s="407"/>
      <c r="BLN159" s="407"/>
      <c r="BLO159" s="407"/>
      <c r="BLP159" s="406"/>
      <c r="BLQ159" s="407"/>
      <c r="BLR159" s="407"/>
      <c r="BLS159" s="407"/>
      <c r="BLT159" s="407"/>
      <c r="BLU159" s="407"/>
      <c r="BLV159" s="406"/>
      <c r="BLW159" s="407"/>
      <c r="BLX159" s="407"/>
      <c r="BLY159" s="407"/>
      <c r="BLZ159" s="407"/>
      <c r="BMA159" s="407"/>
      <c r="BMB159" s="406"/>
      <c r="BMC159" s="407"/>
      <c r="BMD159" s="407"/>
      <c r="BME159" s="407"/>
      <c r="BMF159" s="407"/>
      <c r="BMG159" s="407"/>
      <c r="BMH159" s="406"/>
      <c r="BMI159" s="407"/>
      <c r="BMJ159" s="407"/>
      <c r="BMK159" s="407"/>
      <c r="BML159" s="407"/>
      <c r="BMM159" s="407"/>
      <c r="BMN159" s="406"/>
      <c r="BMO159" s="407"/>
      <c r="BMP159" s="407"/>
      <c r="BMQ159" s="407"/>
      <c r="BMR159" s="407"/>
      <c r="BMS159" s="407"/>
      <c r="BMT159" s="406"/>
      <c r="BMU159" s="407"/>
      <c r="BMV159" s="407"/>
      <c r="BMW159" s="407"/>
      <c r="BMX159" s="407"/>
      <c r="BMY159" s="407"/>
      <c r="BMZ159" s="406"/>
      <c r="BNA159" s="407"/>
      <c r="BNB159" s="407"/>
      <c r="BNC159" s="407"/>
      <c r="BND159" s="407"/>
      <c r="BNE159" s="407"/>
      <c r="BNF159" s="406"/>
      <c r="BNG159" s="407"/>
      <c r="BNH159" s="407"/>
      <c r="BNI159" s="407"/>
      <c r="BNJ159" s="407"/>
      <c r="BNK159" s="407"/>
      <c r="BNL159" s="406"/>
      <c r="BNM159" s="407"/>
      <c r="BNN159" s="407"/>
      <c r="BNO159" s="407"/>
      <c r="BNP159" s="407"/>
      <c r="BNQ159" s="407"/>
      <c r="BNR159" s="406"/>
      <c r="BNS159" s="407"/>
      <c r="BNT159" s="407"/>
      <c r="BNU159" s="407"/>
      <c r="BNV159" s="407"/>
      <c r="BNW159" s="407"/>
      <c r="BNX159" s="406"/>
      <c r="BNY159" s="407"/>
      <c r="BNZ159" s="407"/>
      <c r="BOA159" s="407"/>
      <c r="BOB159" s="407"/>
      <c r="BOC159" s="407"/>
      <c r="BOD159" s="406"/>
      <c r="BOE159" s="407"/>
      <c r="BOF159" s="407"/>
      <c r="BOG159" s="407"/>
      <c r="BOH159" s="407"/>
      <c r="BOI159" s="407"/>
      <c r="BOJ159" s="406"/>
      <c r="BOK159" s="407"/>
      <c r="BOL159" s="407"/>
      <c r="BOM159" s="407"/>
      <c r="BON159" s="407"/>
      <c r="BOO159" s="407"/>
      <c r="BOP159" s="406"/>
      <c r="BOQ159" s="407"/>
      <c r="BOR159" s="407"/>
      <c r="BOS159" s="407"/>
      <c r="BOT159" s="407"/>
      <c r="BOU159" s="407"/>
      <c r="BOV159" s="406"/>
      <c r="BOW159" s="407"/>
      <c r="BOX159" s="407"/>
      <c r="BOY159" s="407"/>
      <c r="BOZ159" s="407"/>
      <c r="BPA159" s="407"/>
      <c r="BPB159" s="406"/>
      <c r="BPC159" s="407"/>
      <c r="BPD159" s="407"/>
      <c r="BPE159" s="407"/>
      <c r="BPF159" s="407"/>
      <c r="BPG159" s="407"/>
      <c r="BPH159" s="406"/>
      <c r="BPI159" s="407"/>
      <c r="BPJ159" s="407"/>
      <c r="BPK159" s="407"/>
      <c r="BPL159" s="407"/>
      <c r="BPM159" s="407"/>
      <c r="BPN159" s="406"/>
      <c r="BPO159" s="407"/>
      <c r="BPP159" s="407"/>
      <c r="BPQ159" s="407"/>
      <c r="BPR159" s="407"/>
      <c r="BPS159" s="407"/>
      <c r="BPT159" s="406"/>
      <c r="BPU159" s="407"/>
      <c r="BPV159" s="407"/>
      <c r="BPW159" s="407"/>
      <c r="BPX159" s="407"/>
      <c r="BPY159" s="407"/>
      <c r="BPZ159" s="406"/>
      <c r="BQA159" s="407"/>
      <c r="BQB159" s="407"/>
      <c r="BQC159" s="407"/>
      <c r="BQD159" s="407"/>
      <c r="BQE159" s="407"/>
      <c r="BQF159" s="406"/>
      <c r="BQG159" s="407"/>
      <c r="BQH159" s="407"/>
      <c r="BQI159" s="407"/>
      <c r="BQJ159" s="407"/>
      <c r="BQK159" s="407"/>
      <c r="BQL159" s="406"/>
      <c r="BQM159" s="407"/>
      <c r="BQN159" s="407"/>
      <c r="BQO159" s="407"/>
      <c r="BQP159" s="407"/>
      <c r="BQQ159" s="407"/>
      <c r="BQR159" s="406"/>
      <c r="BQS159" s="407"/>
      <c r="BQT159" s="407"/>
      <c r="BQU159" s="407"/>
      <c r="BQV159" s="407"/>
      <c r="BQW159" s="407"/>
      <c r="BQX159" s="406"/>
      <c r="BQY159" s="407"/>
      <c r="BQZ159" s="407"/>
      <c r="BRA159" s="407"/>
      <c r="BRB159" s="407"/>
      <c r="BRC159" s="407"/>
      <c r="BRD159" s="406"/>
      <c r="BRE159" s="407"/>
      <c r="BRF159" s="407"/>
      <c r="BRG159" s="407"/>
      <c r="BRH159" s="407"/>
      <c r="BRI159" s="407"/>
      <c r="BRJ159" s="406"/>
      <c r="BRK159" s="407"/>
      <c r="BRL159" s="407"/>
      <c r="BRM159" s="407"/>
      <c r="BRN159" s="407"/>
      <c r="BRO159" s="407"/>
      <c r="BRP159" s="406"/>
      <c r="BRQ159" s="407"/>
      <c r="BRR159" s="407"/>
      <c r="BRS159" s="407"/>
      <c r="BRT159" s="407"/>
      <c r="BRU159" s="407"/>
      <c r="BRV159" s="406"/>
      <c r="BRW159" s="407"/>
      <c r="BRX159" s="407"/>
      <c r="BRY159" s="407"/>
      <c r="BRZ159" s="407"/>
      <c r="BSA159" s="407"/>
      <c r="BSB159" s="406"/>
      <c r="BSC159" s="407"/>
      <c r="BSD159" s="407"/>
      <c r="BSE159" s="407"/>
      <c r="BSF159" s="407"/>
      <c r="BSG159" s="407"/>
      <c r="BSH159" s="406"/>
      <c r="BSI159" s="407"/>
      <c r="BSJ159" s="407"/>
      <c r="BSK159" s="407"/>
      <c r="BSL159" s="407"/>
      <c r="BSM159" s="407"/>
      <c r="BSN159" s="406"/>
      <c r="BSO159" s="407"/>
      <c r="BSP159" s="407"/>
      <c r="BSQ159" s="407"/>
      <c r="BSR159" s="407"/>
      <c r="BSS159" s="407"/>
      <c r="BST159" s="406"/>
      <c r="BSU159" s="407"/>
      <c r="BSV159" s="407"/>
      <c r="BSW159" s="407"/>
      <c r="BSX159" s="407"/>
      <c r="BSY159" s="407"/>
      <c r="BSZ159" s="406"/>
      <c r="BTA159" s="407"/>
      <c r="BTB159" s="407"/>
      <c r="BTC159" s="407"/>
      <c r="BTD159" s="407"/>
      <c r="BTE159" s="407"/>
      <c r="BTF159" s="406"/>
      <c r="BTG159" s="407"/>
      <c r="BTH159" s="407"/>
      <c r="BTI159" s="407"/>
      <c r="BTJ159" s="407"/>
      <c r="BTK159" s="407"/>
      <c r="BTL159" s="406"/>
      <c r="BTM159" s="407"/>
      <c r="BTN159" s="407"/>
      <c r="BTO159" s="407"/>
      <c r="BTP159" s="407"/>
      <c r="BTQ159" s="407"/>
      <c r="BTR159" s="406"/>
      <c r="BTS159" s="407"/>
      <c r="BTT159" s="407"/>
      <c r="BTU159" s="407"/>
      <c r="BTV159" s="407"/>
      <c r="BTW159" s="407"/>
      <c r="BTX159" s="406"/>
      <c r="BTY159" s="407"/>
      <c r="BTZ159" s="407"/>
      <c r="BUA159" s="407"/>
      <c r="BUB159" s="407"/>
      <c r="BUC159" s="407"/>
      <c r="BUD159" s="406"/>
      <c r="BUE159" s="407"/>
      <c r="BUF159" s="407"/>
      <c r="BUG159" s="407"/>
      <c r="BUH159" s="407"/>
      <c r="BUI159" s="407"/>
      <c r="BUJ159" s="406"/>
      <c r="BUK159" s="407"/>
      <c r="BUL159" s="407"/>
      <c r="BUM159" s="407"/>
      <c r="BUN159" s="407"/>
      <c r="BUO159" s="407"/>
      <c r="BUP159" s="406"/>
      <c r="BUQ159" s="407"/>
      <c r="BUR159" s="407"/>
      <c r="BUS159" s="407"/>
      <c r="BUT159" s="407"/>
      <c r="BUU159" s="407"/>
      <c r="BUV159" s="406"/>
      <c r="BUW159" s="407"/>
      <c r="BUX159" s="407"/>
      <c r="BUY159" s="407"/>
      <c r="BUZ159" s="407"/>
      <c r="BVA159" s="407"/>
      <c r="BVB159" s="406"/>
      <c r="BVC159" s="407"/>
      <c r="BVD159" s="407"/>
      <c r="BVE159" s="407"/>
      <c r="BVF159" s="407"/>
      <c r="BVG159" s="407"/>
      <c r="BVH159" s="406"/>
      <c r="BVI159" s="407"/>
      <c r="BVJ159" s="407"/>
      <c r="BVK159" s="407"/>
      <c r="BVL159" s="407"/>
      <c r="BVM159" s="407"/>
      <c r="BVN159" s="406"/>
      <c r="BVO159" s="407"/>
      <c r="BVP159" s="407"/>
      <c r="BVQ159" s="407"/>
      <c r="BVR159" s="407"/>
      <c r="BVS159" s="407"/>
      <c r="BVT159" s="406"/>
      <c r="BVU159" s="407"/>
      <c r="BVV159" s="407"/>
      <c r="BVW159" s="407"/>
      <c r="BVX159" s="407"/>
      <c r="BVY159" s="407"/>
      <c r="BVZ159" s="406"/>
      <c r="BWA159" s="407"/>
      <c r="BWB159" s="407"/>
      <c r="BWC159" s="407"/>
      <c r="BWD159" s="407"/>
      <c r="BWE159" s="407"/>
      <c r="BWF159" s="406"/>
      <c r="BWG159" s="407"/>
      <c r="BWH159" s="407"/>
      <c r="BWI159" s="407"/>
      <c r="BWJ159" s="407"/>
      <c r="BWK159" s="407"/>
      <c r="BWL159" s="406"/>
      <c r="BWM159" s="407"/>
      <c r="BWN159" s="407"/>
      <c r="BWO159" s="407"/>
      <c r="BWP159" s="407"/>
      <c r="BWQ159" s="407"/>
      <c r="BWR159" s="406"/>
      <c r="BWS159" s="407"/>
      <c r="BWT159" s="407"/>
      <c r="BWU159" s="407"/>
      <c r="BWV159" s="407"/>
      <c r="BWW159" s="407"/>
      <c r="BWX159" s="406"/>
      <c r="BWY159" s="407"/>
      <c r="BWZ159" s="407"/>
      <c r="BXA159" s="407"/>
      <c r="BXB159" s="407"/>
      <c r="BXC159" s="407"/>
      <c r="BXD159" s="406"/>
      <c r="BXE159" s="407"/>
      <c r="BXF159" s="407"/>
      <c r="BXG159" s="407"/>
      <c r="BXH159" s="407"/>
      <c r="BXI159" s="407"/>
      <c r="BXJ159" s="406"/>
      <c r="BXK159" s="407"/>
      <c r="BXL159" s="407"/>
      <c r="BXM159" s="407"/>
      <c r="BXN159" s="407"/>
      <c r="BXO159" s="407"/>
      <c r="BXP159" s="406"/>
      <c r="BXQ159" s="407"/>
      <c r="BXR159" s="407"/>
      <c r="BXS159" s="407"/>
      <c r="BXT159" s="407"/>
      <c r="BXU159" s="407"/>
      <c r="BXV159" s="406"/>
      <c r="BXW159" s="407"/>
      <c r="BXX159" s="407"/>
      <c r="BXY159" s="407"/>
      <c r="BXZ159" s="407"/>
      <c r="BYA159" s="407"/>
      <c r="BYB159" s="406"/>
      <c r="BYC159" s="407"/>
      <c r="BYD159" s="407"/>
      <c r="BYE159" s="407"/>
      <c r="BYF159" s="407"/>
      <c r="BYG159" s="407"/>
      <c r="BYH159" s="406"/>
      <c r="BYI159" s="407"/>
      <c r="BYJ159" s="407"/>
      <c r="BYK159" s="407"/>
      <c r="BYL159" s="407"/>
      <c r="BYM159" s="407"/>
      <c r="BYN159" s="406"/>
      <c r="BYO159" s="407"/>
      <c r="BYP159" s="407"/>
      <c r="BYQ159" s="407"/>
      <c r="BYR159" s="407"/>
      <c r="BYS159" s="407"/>
      <c r="BYT159" s="406"/>
      <c r="BYU159" s="407"/>
      <c r="BYV159" s="407"/>
      <c r="BYW159" s="407"/>
      <c r="BYX159" s="407"/>
      <c r="BYY159" s="407"/>
      <c r="BYZ159" s="406"/>
      <c r="BZA159" s="407"/>
      <c r="BZB159" s="407"/>
      <c r="BZC159" s="407"/>
      <c r="BZD159" s="407"/>
      <c r="BZE159" s="407"/>
      <c r="BZF159" s="406"/>
      <c r="BZG159" s="407"/>
      <c r="BZH159" s="407"/>
      <c r="BZI159" s="407"/>
      <c r="BZJ159" s="407"/>
      <c r="BZK159" s="407"/>
      <c r="BZL159" s="406"/>
      <c r="BZM159" s="407"/>
      <c r="BZN159" s="407"/>
      <c r="BZO159" s="407"/>
      <c r="BZP159" s="407"/>
      <c r="BZQ159" s="407"/>
      <c r="BZR159" s="406"/>
      <c r="BZS159" s="407"/>
      <c r="BZT159" s="407"/>
      <c r="BZU159" s="407"/>
      <c r="BZV159" s="407"/>
      <c r="BZW159" s="407"/>
      <c r="BZX159" s="406"/>
      <c r="BZY159" s="407"/>
      <c r="BZZ159" s="407"/>
      <c r="CAA159" s="407"/>
      <c r="CAB159" s="407"/>
      <c r="CAC159" s="407"/>
      <c r="CAD159" s="406"/>
      <c r="CAE159" s="407"/>
      <c r="CAF159" s="407"/>
      <c r="CAG159" s="407"/>
      <c r="CAH159" s="407"/>
      <c r="CAI159" s="407"/>
      <c r="CAJ159" s="406"/>
      <c r="CAK159" s="407"/>
      <c r="CAL159" s="407"/>
      <c r="CAM159" s="407"/>
      <c r="CAN159" s="407"/>
      <c r="CAO159" s="407"/>
      <c r="CAP159" s="406"/>
      <c r="CAQ159" s="407"/>
      <c r="CAR159" s="407"/>
      <c r="CAS159" s="407"/>
      <c r="CAT159" s="407"/>
      <c r="CAU159" s="407"/>
      <c r="CAV159" s="406"/>
      <c r="CAW159" s="407"/>
      <c r="CAX159" s="407"/>
      <c r="CAY159" s="407"/>
      <c r="CAZ159" s="407"/>
      <c r="CBA159" s="407"/>
      <c r="CBB159" s="406"/>
      <c r="CBC159" s="407"/>
      <c r="CBD159" s="407"/>
      <c r="CBE159" s="407"/>
      <c r="CBF159" s="407"/>
      <c r="CBG159" s="407"/>
      <c r="CBH159" s="406"/>
      <c r="CBI159" s="407"/>
      <c r="CBJ159" s="407"/>
      <c r="CBK159" s="407"/>
      <c r="CBL159" s="407"/>
      <c r="CBM159" s="407"/>
      <c r="CBN159" s="406"/>
      <c r="CBO159" s="407"/>
      <c r="CBP159" s="407"/>
      <c r="CBQ159" s="407"/>
      <c r="CBR159" s="407"/>
      <c r="CBS159" s="407"/>
      <c r="CBT159" s="406"/>
      <c r="CBU159" s="407"/>
      <c r="CBV159" s="407"/>
      <c r="CBW159" s="407"/>
      <c r="CBX159" s="407"/>
      <c r="CBY159" s="407"/>
      <c r="CBZ159" s="406"/>
      <c r="CCA159" s="407"/>
      <c r="CCB159" s="407"/>
      <c r="CCC159" s="407"/>
      <c r="CCD159" s="407"/>
      <c r="CCE159" s="407"/>
      <c r="CCF159" s="406"/>
      <c r="CCG159" s="407"/>
      <c r="CCH159" s="407"/>
      <c r="CCI159" s="407"/>
      <c r="CCJ159" s="407"/>
      <c r="CCK159" s="407"/>
      <c r="CCL159" s="406"/>
      <c r="CCM159" s="407"/>
      <c r="CCN159" s="407"/>
      <c r="CCO159" s="407"/>
      <c r="CCP159" s="407"/>
      <c r="CCQ159" s="407"/>
      <c r="CCR159" s="406"/>
      <c r="CCS159" s="407"/>
      <c r="CCT159" s="407"/>
      <c r="CCU159" s="407"/>
      <c r="CCV159" s="407"/>
      <c r="CCW159" s="407"/>
      <c r="CCX159" s="406"/>
      <c r="CCY159" s="407"/>
      <c r="CCZ159" s="407"/>
      <c r="CDA159" s="407"/>
      <c r="CDB159" s="407"/>
      <c r="CDC159" s="407"/>
      <c r="CDD159" s="406"/>
      <c r="CDE159" s="407"/>
      <c r="CDF159" s="407"/>
      <c r="CDG159" s="407"/>
      <c r="CDH159" s="407"/>
      <c r="CDI159" s="407"/>
      <c r="CDJ159" s="406"/>
      <c r="CDK159" s="407"/>
      <c r="CDL159" s="407"/>
      <c r="CDM159" s="407"/>
      <c r="CDN159" s="407"/>
      <c r="CDO159" s="407"/>
      <c r="CDP159" s="406"/>
      <c r="CDQ159" s="407"/>
      <c r="CDR159" s="407"/>
      <c r="CDS159" s="407"/>
      <c r="CDT159" s="407"/>
      <c r="CDU159" s="407"/>
      <c r="CDV159" s="406"/>
      <c r="CDW159" s="407"/>
      <c r="CDX159" s="407"/>
      <c r="CDY159" s="407"/>
      <c r="CDZ159" s="407"/>
      <c r="CEA159" s="407"/>
      <c r="CEB159" s="406"/>
      <c r="CEC159" s="407"/>
      <c r="CED159" s="407"/>
      <c r="CEE159" s="407"/>
      <c r="CEF159" s="407"/>
      <c r="CEG159" s="407"/>
      <c r="CEH159" s="406"/>
      <c r="CEI159" s="407"/>
      <c r="CEJ159" s="407"/>
      <c r="CEK159" s="407"/>
      <c r="CEL159" s="407"/>
      <c r="CEM159" s="407"/>
      <c r="CEN159" s="406"/>
      <c r="CEO159" s="407"/>
      <c r="CEP159" s="407"/>
      <c r="CEQ159" s="407"/>
      <c r="CER159" s="407"/>
      <c r="CES159" s="407"/>
      <c r="CET159" s="406"/>
      <c r="CEU159" s="407"/>
      <c r="CEV159" s="407"/>
      <c r="CEW159" s="407"/>
      <c r="CEX159" s="407"/>
      <c r="CEY159" s="407"/>
      <c r="CEZ159" s="406"/>
      <c r="CFA159" s="407"/>
      <c r="CFB159" s="407"/>
      <c r="CFC159" s="407"/>
      <c r="CFD159" s="407"/>
      <c r="CFE159" s="407"/>
      <c r="CFF159" s="406"/>
      <c r="CFG159" s="407"/>
      <c r="CFH159" s="407"/>
      <c r="CFI159" s="407"/>
      <c r="CFJ159" s="407"/>
      <c r="CFK159" s="407"/>
      <c r="CFL159" s="406"/>
      <c r="CFM159" s="407"/>
      <c r="CFN159" s="407"/>
      <c r="CFO159" s="407"/>
      <c r="CFP159" s="407"/>
      <c r="CFQ159" s="407"/>
      <c r="CFR159" s="406"/>
      <c r="CFS159" s="407"/>
      <c r="CFT159" s="407"/>
      <c r="CFU159" s="407"/>
      <c r="CFV159" s="407"/>
      <c r="CFW159" s="407"/>
      <c r="CFX159" s="406"/>
      <c r="CFY159" s="407"/>
      <c r="CFZ159" s="407"/>
      <c r="CGA159" s="407"/>
      <c r="CGB159" s="407"/>
      <c r="CGC159" s="407"/>
      <c r="CGD159" s="406"/>
      <c r="CGE159" s="407"/>
      <c r="CGF159" s="407"/>
      <c r="CGG159" s="407"/>
      <c r="CGH159" s="407"/>
      <c r="CGI159" s="407"/>
      <c r="CGJ159" s="406"/>
      <c r="CGK159" s="407"/>
      <c r="CGL159" s="407"/>
      <c r="CGM159" s="407"/>
      <c r="CGN159" s="407"/>
      <c r="CGO159" s="407"/>
      <c r="CGP159" s="406"/>
      <c r="CGQ159" s="407"/>
      <c r="CGR159" s="407"/>
      <c r="CGS159" s="407"/>
      <c r="CGT159" s="407"/>
      <c r="CGU159" s="407"/>
      <c r="CGV159" s="406"/>
      <c r="CGW159" s="407"/>
      <c r="CGX159" s="407"/>
      <c r="CGY159" s="407"/>
      <c r="CGZ159" s="407"/>
      <c r="CHA159" s="407"/>
      <c r="CHB159" s="406"/>
      <c r="CHC159" s="407"/>
      <c r="CHD159" s="407"/>
      <c r="CHE159" s="407"/>
      <c r="CHF159" s="407"/>
      <c r="CHG159" s="407"/>
      <c r="CHH159" s="406"/>
      <c r="CHI159" s="407"/>
      <c r="CHJ159" s="407"/>
      <c r="CHK159" s="407"/>
      <c r="CHL159" s="407"/>
      <c r="CHM159" s="407"/>
      <c r="CHN159" s="406"/>
      <c r="CHO159" s="407"/>
      <c r="CHP159" s="407"/>
      <c r="CHQ159" s="407"/>
      <c r="CHR159" s="407"/>
      <c r="CHS159" s="407"/>
      <c r="CHT159" s="406"/>
      <c r="CHU159" s="407"/>
      <c r="CHV159" s="407"/>
      <c r="CHW159" s="407"/>
      <c r="CHX159" s="407"/>
      <c r="CHY159" s="407"/>
      <c r="CHZ159" s="406"/>
      <c r="CIA159" s="407"/>
      <c r="CIB159" s="407"/>
      <c r="CIC159" s="407"/>
      <c r="CID159" s="407"/>
      <c r="CIE159" s="407"/>
      <c r="CIF159" s="406"/>
      <c r="CIG159" s="407"/>
      <c r="CIH159" s="407"/>
      <c r="CII159" s="407"/>
      <c r="CIJ159" s="407"/>
      <c r="CIK159" s="407"/>
      <c r="CIL159" s="406"/>
      <c r="CIM159" s="407"/>
      <c r="CIN159" s="407"/>
      <c r="CIO159" s="407"/>
      <c r="CIP159" s="407"/>
      <c r="CIQ159" s="407"/>
      <c r="CIR159" s="406"/>
      <c r="CIS159" s="407"/>
      <c r="CIT159" s="407"/>
      <c r="CIU159" s="407"/>
      <c r="CIV159" s="407"/>
      <c r="CIW159" s="407"/>
      <c r="CIX159" s="406"/>
      <c r="CIY159" s="407"/>
      <c r="CIZ159" s="407"/>
      <c r="CJA159" s="407"/>
      <c r="CJB159" s="407"/>
      <c r="CJC159" s="407"/>
      <c r="CJD159" s="406"/>
      <c r="CJE159" s="407"/>
      <c r="CJF159" s="407"/>
      <c r="CJG159" s="407"/>
      <c r="CJH159" s="407"/>
      <c r="CJI159" s="407"/>
      <c r="CJJ159" s="406"/>
      <c r="CJK159" s="407"/>
      <c r="CJL159" s="407"/>
      <c r="CJM159" s="407"/>
      <c r="CJN159" s="407"/>
      <c r="CJO159" s="407"/>
      <c r="CJP159" s="406"/>
      <c r="CJQ159" s="407"/>
      <c r="CJR159" s="407"/>
      <c r="CJS159" s="407"/>
      <c r="CJT159" s="407"/>
      <c r="CJU159" s="407"/>
      <c r="CJV159" s="406"/>
      <c r="CJW159" s="407"/>
      <c r="CJX159" s="407"/>
      <c r="CJY159" s="407"/>
      <c r="CJZ159" s="407"/>
      <c r="CKA159" s="407"/>
      <c r="CKB159" s="406"/>
      <c r="CKC159" s="407"/>
      <c r="CKD159" s="407"/>
      <c r="CKE159" s="407"/>
      <c r="CKF159" s="407"/>
      <c r="CKG159" s="407"/>
      <c r="CKH159" s="406"/>
      <c r="CKI159" s="407"/>
      <c r="CKJ159" s="407"/>
      <c r="CKK159" s="407"/>
      <c r="CKL159" s="407"/>
      <c r="CKM159" s="407"/>
      <c r="CKN159" s="406"/>
      <c r="CKO159" s="407"/>
      <c r="CKP159" s="407"/>
      <c r="CKQ159" s="407"/>
      <c r="CKR159" s="407"/>
      <c r="CKS159" s="407"/>
      <c r="CKT159" s="406"/>
      <c r="CKU159" s="407"/>
      <c r="CKV159" s="407"/>
      <c r="CKW159" s="407"/>
      <c r="CKX159" s="407"/>
      <c r="CKY159" s="407"/>
      <c r="CKZ159" s="406"/>
      <c r="CLA159" s="407"/>
      <c r="CLB159" s="407"/>
      <c r="CLC159" s="407"/>
      <c r="CLD159" s="407"/>
      <c r="CLE159" s="407"/>
      <c r="CLF159" s="406"/>
      <c r="CLG159" s="407"/>
      <c r="CLH159" s="407"/>
      <c r="CLI159" s="407"/>
      <c r="CLJ159" s="407"/>
      <c r="CLK159" s="407"/>
      <c r="CLL159" s="406"/>
      <c r="CLM159" s="407"/>
      <c r="CLN159" s="407"/>
      <c r="CLO159" s="407"/>
      <c r="CLP159" s="407"/>
      <c r="CLQ159" s="407"/>
      <c r="CLR159" s="406"/>
      <c r="CLS159" s="407"/>
      <c r="CLT159" s="407"/>
      <c r="CLU159" s="407"/>
      <c r="CLV159" s="407"/>
      <c r="CLW159" s="407"/>
      <c r="CLX159" s="406"/>
      <c r="CLY159" s="407"/>
      <c r="CLZ159" s="407"/>
      <c r="CMA159" s="407"/>
      <c r="CMB159" s="407"/>
      <c r="CMC159" s="407"/>
      <c r="CMD159" s="406"/>
      <c r="CME159" s="407"/>
      <c r="CMF159" s="407"/>
      <c r="CMG159" s="407"/>
      <c r="CMH159" s="407"/>
      <c r="CMI159" s="407"/>
      <c r="CMJ159" s="406"/>
      <c r="CMK159" s="407"/>
      <c r="CML159" s="407"/>
      <c r="CMM159" s="407"/>
      <c r="CMN159" s="407"/>
      <c r="CMO159" s="407"/>
      <c r="CMP159" s="406"/>
      <c r="CMQ159" s="407"/>
      <c r="CMR159" s="407"/>
      <c r="CMS159" s="407"/>
      <c r="CMT159" s="407"/>
      <c r="CMU159" s="407"/>
      <c r="CMV159" s="406"/>
      <c r="CMW159" s="407"/>
      <c r="CMX159" s="407"/>
      <c r="CMY159" s="407"/>
      <c r="CMZ159" s="407"/>
      <c r="CNA159" s="407"/>
      <c r="CNB159" s="406"/>
      <c r="CNC159" s="407"/>
      <c r="CND159" s="407"/>
      <c r="CNE159" s="407"/>
      <c r="CNF159" s="407"/>
      <c r="CNG159" s="407"/>
      <c r="CNH159" s="406"/>
      <c r="CNI159" s="407"/>
      <c r="CNJ159" s="407"/>
      <c r="CNK159" s="407"/>
      <c r="CNL159" s="407"/>
      <c r="CNM159" s="407"/>
      <c r="CNN159" s="406"/>
      <c r="CNO159" s="407"/>
      <c r="CNP159" s="407"/>
      <c r="CNQ159" s="407"/>
      <c r="CNR159" s="407"/>
      <c r="CNS159" s="407"/>
      <c r="CNT159" s="406"/>
      <c r="CNU159" s="407"/>
      <c r="CNV159" s="407"/>
      <c r="CNW159" s="407"/>
      <c r="CNX159" s="407"/>
      <c r="CNY159" s="407"/>
      <c r="CNZ159" s="406"/>
      <c r="COA159" s="407"/>
      <c r="COB159" s="407"/>
      <c r="COC159" s="407"/>
      <c r="COD159" s="407"/>
      <c r="COE159" s="407"/>
      <c r="COF159" s="406"/>
      <c r="COG159" s="407"/>
      <c r="COH159" s="407"/>
      <c r="COI159" s="407"/>
      <c r="COJ159" s="407"/>
      <c r="COK159" s="407"/>
      <c r="COL159" s="406"/>
      <c r="COM159" s="407"/>
      <c r="CON159" s="407"/>
      <c r="COO159" s="407"/>
      <c r="COP159" s="407"/>
      <c r="COQ159" s="407"/>
      <c r="COR159" s="406"/>
      <c r="COS159" s="407"/>
      <c r="COT159" s="407"/>
      <c r="COU159" s="407"/>
      <c r="COV159" s="407"/>
      <c r="COW159" s="407"/>
      <c r="COX159" s="406"/>
      <c r="COY159" s="407"/>
      <c r="COZ159" s="407"/>
      <c r="CPA159" s="407"/>
      <c r="CPB159" s="407"/>
      <c r="CPC159" s="407"/>
      <c r="CPD159" s="406"/>
      <c r="CPE159" s="407"/>
      <c r="CPF159" s="407"/>
      <c r="CPG159" s="407"/>
      <c r="CPH159" s="407"/>
      <c r="CPI159" s="407"/>
      <c r="CPJ159" s="406"/>
      <c r="CPK159" s="407"/>
      <c r="CPL159" s="407"/>
      <c r="CPM159" s="407"/>
      <c r="CPN159" s="407"/>
      <c r="CPO159" s="407"/>
      <c r="CPP159" s="406"/>
      <c r="CPQ159" s="407"/>
      <c r="CPR159" s="407"/>
      <c r="CPS159" s="407"/>
      <c r="CPT159" s="407"/>
      <c r="CPU159" s="407"/>
      <c r="CPV159" s="406"/>
      <c r="CPW159" s="407"/>
      <c r="CPX159" s="407"/>
      <c r="CPY159" s="407"/>
      <c r="CPZ159" s="407"/>
      <c r="CQA159" s="407"/>
      <c r="CQB159" s="406"/>
      <c r="CQC159" s="407"/>
      <c r="CQD159" s="407"/>
      <c r="CQE159" s="407"/>
      <c r="CQF159" s="407"/>
      <c r="CQG159" s="407"/>
      <c r="CQH159" s="406"/>
      <c r="CQI159" s="407"/>
      <c r="CQJ159" s="407"/>
      <c r="CQK159" s="407"/>
      <c r="CQL159" s="407"/>
      <c r="CQM159" s="407"/>
      <c r="CQN159" s="406"/>
      <c r="CQO159" s="407"/>
      <c r="CQP159" s="407"/>
      <c r="CQQ159" s="407"/>
      <c r="CQR159" s="407"/>
      <c r="CQS159" s="407"/>
      <c r="CQT159" s="406"/>
      <c r="CQU159" s="407"/>
      <c r="CQV159" s="407"/>
      <c r="CQW159" s="407"/>
      <c r="CQX159" s="407"/>
      <c r="CQY159" s="407"/>
      <c r="CQZ159" s="406"/>
      <c r="CRA159" s="407"/>
      <c r="CRB159" s="407"/>
      <c r="CRC159" s="407"/>
      <c r="CRD159" s="407"/>
      <c r="CRE159" s="407"/>
      <c r="CRF159" s="406"/>
      <c r="CRG159" s="407"/>
      <c r="CRH159" s="407"/>
      <c r="CRI159" s="407"/>
      <c r="CRJ159" s="407"/>
      <c r="CRK159" s="407"/>
      <c r="CRL159" s="406"/>
      <c r="CRM159" s="407"/>
      <c r="CRN159" s="407"/>
      <c r="CRO159" s="407"/>
      <c r="CRP159" s="407"/>
      <c r="CRQ159" s="407"/>
      <c r="CRR159" s="406"/>
      <c r="CRS159" s="407"/>
      <c r="CRT159" s="407"/>
      <c r="CRU159" s="407"/>
      <c r="CRV159" s="407"/>
      <c r="CRW159" s="407"/>
      <c r="CRX159" s="406"/>
      <c r="CRY159" s="407"/>
      <c r="CRZ159" s="407"/>
      <c r="CSA159" s="407"/>
      <c r="CSB159" s="407"/>
      <c r="CSC159" s="407"/>
      <c r="CSD159" s="406"/>
      <c r="CSE159" s="407"/>
      <c r="CSF159" s="407"/>
      <c r="CSG159" s="407"/>
      <c r="CSH159" s="407"/>
      <c r="CSI159" s="407"/>
      <c r="CSJ159" s="406"/>
      <c r="CSK159" s="407"/>
      <c r="CSL159" s="407"/>
      <c r="CSM159" s="407"/>
      <c r="CSN159" s="407"/>
      <c r="CSO159" s="407"/>
      <c r="CSP159" s="406"/>
      <c r="CSQ159" s="407"/>
      <c r="CSR159" s="407"/>
      <c r="CSS159" s="407"/>
      <c r="CST159" s="407"/>
      <c r="CSU159" s="407"/>
      <c r="CSV159" s="406"/>
      <c r="CSW159" s="407"/>
      <c r="CSX159" s="407"/>
      <c r="CSY159" s="407"/>
      <c r="CSZ159" s="407"/>
      <c r="CTA159" s="407"/>
      <c r="CTB159" s="406"/>
      <c r="CTC159" s="407"/>
      <c r="CTD159" s="407"/>
      <c r="CTE159" s="407"/>
      <c r="CTF159" s="407"/>
      <c r="CTG159" s="407"/>
      <c r="CTH159" s="406"/>
      <c r="CTI159" s="407"/>
      <c r="CTJ159" s="407"/>
      <c r="CTK159" s="407"/>
      <c r="CTL159" s="407"/>
      <c r="CTM159" s="407"/>
      <c r="CTN159" s="406"/>
      <c r="CTO159" s="407"/>
      <c r="CTP159" s="407"/>
      <c r="CTQ159" s="407"/>
      <c r="CTR159" s="407"/>
      <c r="CTS159" s="407"/>
      <c r="CTT159" s="406"/>
      <c r="CTU159" s="407"/>
      <c r="CTV159" s="407"/>
      <c r="CTW159" s="407"/>
      <c r="CTX159" s="407"/>
      <c r="CTY159" s="407"/>
      <c r="CTZ159" s="406"/>
      <c r="CUA159" s="407"/>
      <c r="CUB159" s="407"/>
      <c r="CUC159" s="407"/>
      <c r="CUD159" s="407"/>
      <c r="CUE159" s="407"/>
      <c r="CUF159" s="406"/>
      <c r="CUG159" s="407"/>
      <c r="CUH159" s="407"/>
      <c r="CUI159" s="407"/>
      <c r="CUJ159" s="407"/>
      <c r="CUK159" s="407"/>
      <c r="CUL159" s="406"/>
      <c r="CUM159" s="407"/>
      <c r="CUN159" s="407"/>
      <c r="CUO159" s="407"/>
      <c r="CUP159" s="407"/>
      <c r="CUQ159" s="407"/>
      <c r="CUR159" s="406"/>
      <c r="CUS159" s="407"/>
      <c r="CUT159" s="407"/>
      <c r="CUU159" s="407"/>
      <c r="CUV159" s="407"/>
      <c r="CUW159" s="407"/>
      <c r="CUX159" s="406"/>
      <c r="CUY159" s="407"/>
      <c r="CUZ159" s="407"/>
      <c r="CVA159" s="407"/>
      <c r="CVB159" s="407"/>
      <c r="CVC159" s="407"/>
      <c r="CVD159" s="406"/>
      <c r="CVE159" s="407"/>
      <c r="CVF159" s="407"/>
      <c r="CVG159" s="407"/>
      <c r="CVH159" s="407"/>
      <c r="CVI159" s="407"/>
      <c r="CVJ159" s="406"/>
      <c r="CVK159" s="407"/>
      <c r="CVL159" s="407"/>
      <c r="CVM159" s="407"/>
      <c r="CVN159" s="407"/>
      <c r="CVO159" s="407"/>
      <c r="CVP159" s="406"/>
      <c r="CVQ159" s="407"/>
      <c r="CVR159" s="407"/>
      <c r="CVS159" s="407"/>
      <c r="CVT159" s="407"/>
      <c r="CVU159" s="407"/>
      <c r="CVV159" s="406"/>
      <c r="CVW159" s="407"/>
      <c r="CVX159" s="407"/>
      <c r="CVY159" s="407"/>
      <c r="CVZ159" s="407"/>
      <c r="CWA159" s="407"/>
      <c r="CWB159" s="406"/>
      <c r="CWC159" s="407"/>
      <c r="CWD159" s="407"/>
      <c r="CWE159" s="407"/>
      <c r="CWF159" s="407"/>
      <c r="CWG159" s="407"/>
      <c r="CWH159" s="406"/>
      <c r="CWI159" s="407"/>
      <c r="CWJ159" s="407"/>
      <c r="CWK159" s="407"/>
      <c r="CWL159" s="407"/>
      <c r="CWM159" s="407"/>
      <c r="CWN159" s="406"/>
      <c r="CWO159" s="407"/>
      <c r="CWP159" s="407"/>
      <c r="CWQ159" s="407"/>
      <c r="CWR159" s="407"/>
      <c r="CWS159" s="407"/>
      <c r="CWT159" s="406"/>
      <c r="CWU159" s="407"/>
      <c r="CWV159" s="407"/>
      <c r="CWW159" s="407"/>
      <c r="CWX159" s="407"/>
      <c r="CWY159" s="407"/>
      <c r="CWZ159" s="406"/>
      <c r="CXA159" s="407"/>
      <c r="CXB159" s="407"/>
      <c r="CXC159" s="407"/>
      <c r="CXD159" s="407"/>
      <c r="CXE159" s="407"/>
      <c r="CXF159" s="406"/>
      <c r="CXG159" s="407"/>
      <c r="CXH159" s="407"/>
      <c r="CXI159" s="407"/>
      <c r="CXJ159" s="407"/>
      <c r="CXK159" s="407"/>
      <c r="CXL159" s="406"/>
      <c r="CXM159" s="407"/>
      <c r="CXN159" s="407"/>
      <c r="CXO159" s="407"/>
      <c r="CXP159" s="407"/>
      <c r="CXQ159" s="407"/>
      <c r="CXR159" s="406"/>
      <c r="CXS159" s="407"/>
      <c r="CXT159" s="407"/>
      <c r="CXU159" s="407"/>
      <c r="CXV159" s="407"/>
      <c r="CXW159" s="407"/>
      <c r="CXX159" s="406"/>
      <c r="CXY159" s="407"/>
      <c r="CXZ159" s="407"/>
      <c r="CYA159" s="407"/>
      <c r="CYB159" s="407"/>
      <c r="CYC159" s="407"/>
      <c r="CYD159" s="406"/>
      <c r="CYE159" s="407"/>
      <c r="CYF159" s="407"/>
      <c r="CYG159" s="407"/>
      <c r="CYH159" s="407"/>
      <c r="CYI159" s="407"/>
      <c r="CYJ159" s="406"/>
      <c r="CYK159" s="407"/>
      <c r="CYL159" s="407"/>
      <c r="CYM159" s="407"/>
      <c r="CYN159" s="407"/>
      <c r="CYO159" s="407"/>
      <c r="CYP159" s="406"/>
      <c r="CYQ159" s="407"/>
      <c r="CYR159" s="407"/>
      <c r="CYS159" s="407"/>
      <c r="CYT159" s="407"/>
      <c r="CYU159" s="407"/>
      <c r="CYV159" s="406"/>
      <c r="CYW159" s="407"/>
      <c r="CYX159" s="407"/>
      <c r="CYY159" s="407"/>
      <c r="CYZ159" s="407"/>
      <c r="CZA159" s="407"/>
      <c r="CZB159" s="406"/>
      <c r="CZC159" s="407"/>
      <c r="CZD159" s="407"/>
      <c r="CZE159" s="407"/>
      <c r="CZF159" s="407"/>
      <c r="CZG159" s="407"/>
      <c r="CZH159" s="406"/>
      <c r="CZI159" s="407"/>
      <c r="CZJ159" s="407"/>
      <c r="CZK159" s="407"/>
      <c r="CZL159" s="407"/>
      <c r="CZM159" s="407"/>
      <c r="CZN159" s="406"/>
      <c r="CZO159" s="407"/>
      <c r="CZP159" s="407"/>
      <c r="CZQ159" s="407"/>
      <c r="CZR159" s="407"/>
      <c r="CZS159" s="407"/>
      <c r="CZT159" s="406"/>
      <c r="CZU159" s="407"/>
      <c r="CZV159" s="407"/>
      <c r="CZW159" s="407"/>
      <c r="CZX159" s="407"/>
      <c r="CZY159" s="407"/>
      <c r="CZZ159" s="406"/>
      <c r="DAA159" s="407"/>
      <c r="DAB159" s="407"/>
      <c r="DAC159" s="407"/>
      <c r="DAD159" s="407"/>
      <c r="DAE159" s="407"/>
      <c r="DAF159" s="406"/>
      <c r="DAG159" s="407"/>
      <c r="DAH159" s="407"/>
      <c r="DAI159" s="407"/>
      <c r="DAJ159" s="407"/>
      <c r="DAK159" s="407"/>
      <c r="DAL159" s="406"/>
      <c r="DAM159" s="407"/>
      <c r="DAN159" s="407"/>
      <c r="DAO159" s="407"/>
      <c r="DAP159" s="407"/>
      <c r="DAQ159" s="407"/>
      <c r="DAR159" s="406"/>
      <c r="DAS159" s="407"/>
      <c r="DAT159" s="407"/>
      <c r="DAU159" s="407"/>
      <c r="DAV159" s="407"/>
      <c r="DAW159" s="407"/>
      <c r="DAX159" s="406"/>
      <c r="DAY159" s="407"/>
      <c r="DAZ159" s="407"/>
      <c r="DBA159" s="407"/>
      <c r="DBB159" s="407"/>
      <c r="DBC159" s="407"/>
      <c r="DBD159" s="406"/>
      <c r="DBE159" s="407"/>
      <c r="DBF159" s="407"/>
      <c r="DBG159" s="407"/>
      <c r="DBH159" s="407"/>
      <c r="DBI159" s="407"/>
      <c r="DBJ159" s="406"/>
      <c r="DBK159" s="407"/>
      <c r="DBL159" s="407"/>
      <c r="DBM159" s="407"/>
      <c r="DBN159" s="407"/>
      <c r="DBO159" s="407"/>
      <c r="DBP159" s="406"/>
      <c r="DBQ159" s="407"/>
      <c r="DBR159" s="407"/>
      <c r="DBS159" s="407"/>
      <c r="DBT159" s="407"/>
      <c r="DBU159" s="407"/>
      <c r="DBV159" s="406"/>
      <c r="DBW159" s="407"/>
      <c r="DBX159" s="407"/>
      <c r="DBY159" s="407"/>
      <c r="DBZ159" s="407"/>
      <c r="DCA159" s="407"/>
      <c r="DCB159" s="406"/>
      <c r="DCC159" s="407"/>
      <c r="DCD159" s="407"/>
      <c r="DCE159" s="407"/>
      <c r="DCF159" s="407"/>
      <c r="DCG159" s="407"/>
      <c r="DCH159" s="406"/>
      <c r="DCI159" s="407"/>
      <c r="DCJ159" s="407"/>
      <c r="DCK159" s="407"/>
      <c r="DCL159" s="407"/>
      <c r="DCM159" s="407"/>
      <c r="DCN159" s="406"/>
      <c r="DCO159" s="407"/>
      <c r="DCP159" s="407"/>
      <c r="DCQ159" s="407"/>
      <c r="DCR159" s="407"/>
      <c r="DCS159" s="407"/>
      <c r="DCT159" s="406"/>
      <c r="DCU159" s="407"/>
      <c r="DCV159" s="407"/>
      <c r="DCW159" s="407"/>
      <c r="DCX159" s="407"/>
      <c r="DCY159" s="407"/>
      <c r="DCZ159" s="406"/>
      <c r="DDA159" s="407"/>
      <c r="DDB159" s="407"/>
      <c r="DDC159" s="407"/>
      <c r="DDD159" s="407"/>
      <c r="DDE159" s="407"/>
      <c r="DDF159" s="406"/>
      <c r="DDG159" s="407"/>
      <c r="DDH159" s="407"/>
      <c r="DDI159" s="407"/>
      <c r="DDJ159" s="407"/>
      <c r="DDK159" s="407"/>
      <c r="DDL159" s="406"/>
      <c r="DDM159" s="407"/>
      <c r="DDN159" s="407"/>
      <c r="DDO159" s="407"/>
      <c r="DDP159" s="407"/>
      <c r="DDQ159" s="407"/>
      <c r="DDR159" s="406"/>
      <c r="DDS159" s="407"/>
      <c r="DDT159" s="407"/>
      <c r="DDU159" s="407"/>
      <c r="DDV159" s="407"/>
      <c r="DDW159" s="407"/>
      <c r="DDX159" s="406"/>
      <c r="DDY159" s="407"/>
      <c r="DDZ159" s="407"/>
      <c r="DEA159" s="407"/>
      <c r="DEB159" s="407"/>
      <c r="DEC159" s="407"/>
      <c r="DED159" s="406"/>
      <c r="DEE159" s="407"/>
      <c r="DEF159" s="407"/>
      <c r="DEG159" s="407"/>
      <c r="DEH159" s="407"/>
      <c r="DEI159" s="407"/>
      <c r="DEJ159" s="406"/>
      <c r="DEK159" s="407"/>
      <c r="DEL159" s="407"/>
      <c r="DEM159" s="407"/>
      <c r="DEN159" s="407"/>
      <c r="DEO159" s="407"/>
      <c r="DEP159" s="406"/>
      <c r="DEQ159" s="407"/>
      <c r="DER159" s="407"/>
      <c r="DES159" s="407"/>
      <c r="DET159" s="407"/>
      <c r="DEU159" s="407"/>
      <c r="DEV159" s="406"/>
      <c r="DEW159" s="407"/>
      <c r="DEX159" s="407"/>
      <c r="DEY159" s="407"/>
      <c r="DEZ159" s="407"/>
      <c r="DFA159" s="407"/>
      <c r="DFB159" s="406"/>
      <c r="DFC159" s="407"/>
      <c r="DFD159" s="407"/>
      <c r="DFE159" s="407"/>
      <c r="DFF159" s="407"/>
      <c r="DFG159" s="407"/>
      <c r="DFH159" s="406"/>
      <c r="DFI159" s="407"/>
      <c r="DFJ159" s="407"/>
      <c r="DFK159" s="407"/>
      <c r="DFL159" s="407"/>
      <c r="DFM159" s="407"/>
      <c r="DFN159" s="406"/>
      <c r="DFO159" s="407"/>
      <c r="DFP159" s="407"/>
      <c r="DFQ159" s="407"/>
      <c r="DFR159" s="407"/>
      <c r="DFS159" s="407"/>
      <c r="DFT159" s="406"/>
      <c r="DFU159" s="407"/>
      <c r="DFV159" s="407"/>
      <c r="DFW159" s="407"/>
      <c r="DFX159" s="407"/>
      <c r="DFY159" s="407"/>
      <c r="DFZ159" s="406"/>
      <c r="DGA159" s="407"/>
      <c r="DGB159" s="407"/>
      <c r="DGC159" s="407"/>
      <c r="DGD159" s="407"/>
      <c r="DGE159" s="407"/>
      <c r="DGF159" s="406"/>
      <c r="DGG159" s="407"/>
      <c r="DGH159" s="407"/>
      <c r="DGI159" s="407"/>
      <c r="DGJ159" s="407"/>
      <c r="DGK159" s="407"/>
      <c r="DGL159" s="406"/>
      <c r="DGM159" s="407"/>
      <c r="DGN159" s="407"/>
      <c r="DGO159" s="407"/>
      <c r="DGP159" s="407"/>
      <c r="DGQ159" s="407"/>
      <c r="DGR159" s="406"/>
      <c r="DGS159" s="407"/>
      <c r="DGT159" s="407"/>
      <c r="DGU159" s="407"/>
      <c r="DGV159" s="407"/>
      <c r="DGW159" s="407"/>
      <c r="DGX159" s="406"/>
      <c r="DGY159" s="407"/>
      <c r="DGZ159" s="407"/>
      <c r="DHA159" s="407"/>
      <c r="DHB159" s="407"/>
      <c r="DHC159" s="407"/>
      <c r="DHD159" s="406"/>
      <c r="DHE159" s="407"/>
      <c r="DHF159" s="407"/>
      <c r="DHG159" s="407"/>
      <c r="DHH159" s="407"/>
      <c r="DHI159" s="407"/>
      <c r="DHJ159" s="406"/>
      <c r="DHK159" s="407"/>
      <c r="DHL159" s="407"/>
      <c r="DHM159" s="407"/>
      <c r="DHN159" s="407"/>
      <c r="DHO159" s="407"/>
      <c r="DHP159" s="406"/>
      <c r="DHQ159" s="407"/>
      <c r="DHR159" s="407"/>
      <c r="DHS159" s="407"/>
      <c r="DHT159" s="407"/>
      <c r="DHU159" s="407"/>
      <c r="DHV159" s="406"/>
      <c r="DHW159" s="407"/>
      <c r="DHX159" s="407"/>
      <c r="DHY159" s="407"/>
      <c r="DHZ159" s="407"/>
      <c r="DIA159" s="407"/>
      <c r="DIB159" s="406"/>
      <c r="DIC159" s="407"/>
      <c r="DID159" s="407"/>
      <c r="DIE159" s="407"/>
      <c r="DIF159" s="407"/>
      <c r="DIG159" s="407"/>
      <c r="DIH159" s="406"/>
      <c r="DII159" s="407"/>
      <c r="DIJ159" s="407"/>
      <c r="DIK159" s="407"/>
      <c r="DIL159" s="407"/>
      <c r="DIM159" s="407"/>
      <c r="DIN159" s="406"/>
      <c r="DIO159" s="407"/>
      <c r="DIP159" s="407"/>
      <c r="DIQ159" s="407"/>
      <c r="DIR159" s="407"/>
      <c r="DIS159" s="407"/>
      <c r="DIT159" s="406"/>
      <c r="DIU159" s="407"/>
      <c r="DIV159" s="407"/>
      <c r="DIW159" s="407"/>
      <c r="DIX159" s="407"/>
      <c r="DIY159" s="407"/>
      <c r="DIZ159" s="406"/>
      <c r="DJA159" s="407"/>
      <c r="DJB159" s="407"/>
      <c r="DJC159" s="407"/>
      <c r="DJD159" s="407"/>
      <c r="DJE159" s="407"/>
      <c r="DJF159" s="406"/>
      <c r="DJG159" s="407"/>
      <c r="DJH159" s="407"/>
      <c r="DJI159" s="407"/>
      <c r="DJJ159" s="407"/>
      <c r="DJK159" s="407"/>
      <c r="DJL159" s="406"/>
      <c r="DJM159" s="407"/>
      <c r="DJN159" s="407"/>
      <c r="DJO159" s="407"/>
      <c r="DJP159" s="407"/>
      <c r="DJQ159" s="407"/>
      <c r="DJR159" s="406"/>
      <c r="DJS159" s="407"/>
      <c r="DJT159" s="407"/>
      <c r="DJU159" s="407"/>
      <c r="DJV159" s="407"/>
      <c r="DJW159" s="407"/>
      <c r="DJX159" s="406"/>
      <c r="DJY159" s="407"/>
      <c r="DJZ159" s="407"/>
      <c r="DKA159" s="407"/>
      <c r="DKB159" s="407"/>
      <c r="DKC159" s="407"/>
      <c r="DKD159" s="406"/>
      <c r="DKE159" s="407"/>
      <c r="DKF159" s="407"/>
      <c r="DKG159" s="407"/>
      <c r="DKH159" s="407"/>
      <c r="DKI159" s="407"/>
      <c r="DKJ159" s="406"/>
      <c r="DKK159" s="407"/>
      <c r="DKL159" s="407"/>
      <c r="DKM159" s="407"/>
      <c r="DKN159" s="407"/>
      <c r="DKO159" s="407"/>
      <c r="DKP159" s="406"/>
      <c r="DKQ159" s="407"/>
      <c r="DKR159" s="407"/>
      <c r="DKS159" s="407"/>
      <c r="DKT159" s="407"/>
      <c r="DKU159" s="407"/>
      <c r="DKV159" s="406"/>
      <c r="DKW159" s="407"/>
      <c r="DKX159" s="407"/>
      <c r="DKY159" s="407"/>
      <c r="DKZ159" s="407"/>
      <c r="DLA159" s="407"/>
      <c r="DLB159" s="406"/>
      <c r="DLC159" s="407"/>
      <c r="DLD159" s="407"/>
      <c r="DLE159" s="407"/>
      <c r="DLF159" s="407"/>
      <c r="DLG159" s="407"/>
      <c r="DLH159" s="406"/>
      <c r="DLI159" s="407"/>
      <c r="DLJ159" s="407"/>
      <c r="DLK159" s="407"/>
      <c r="DLL159" s="407"/>
      <c r="DLM159" s="407"/>
      <c r="DLN159" s="406"/>
      <c r="DLO159" s="407"/>
      <c r="DLP159" s="407"/>
      <c r="DLQ159" s="407"/>
      <c r="DLR159" s="407"/>
      <c r="DLS159" s="407"/>
      <c r="DLT159" s="406"/>
      <c r="DLU159" s="407"/>
      <c r="DLV159" s="407"/>
      <c r="DLW159" s="407"/>
      <c r="DLX159" s="407"/>
      <c r="DLY159" s="407"/>
      <c r="DLZ159" s="406"/>
      <c r="DMA159" s="407"/>
      <c r="DMB159" s="407"/>
      <c r="DMC159" s="407"/>
      <c r="DMD159" s="407"/>
      <c r="DME159" s="407"/>
      <c r="DMF159" s="406"/>
      <c r="DMG159" s="407"/>
      <c r="DMH159" s="407"/>
      <c r="DMI159" s="407"/>
      <c r="DMJ159" s="407"/>
      <c r="DMK159" s="407"/>
      <c r="DML159" s="406"/>
      <c r="DMM159" s="407"/>
      <c r="DMN159" s="407"/>
      <c r="DMO159" s="407"/>
      <c r="DMP159" s="407"/>
      <c r="DMQ159" s="407"/>
      <c r="DMR159" s="406"/>
      <c r="DMS159" s="407"/>
      <c r="DMT159" s="407"/>
      <c r="DMU159" s="407"/>
      <c r="DMV159" s="407"/>
      <c r="DMW159" s="407"/>
      <c r="DMX159" s="406"/>
      <c r="DMY159" s="407"/>
      <c r="DMZ159" s="407"/>
      <c r="DNA159" s="407"/>
      <c r="DNB159" s="407"/>
      <c r="DNC159" s="407"/>
      <c r="DND159" s="406"/>
      <c r="DNE159" s="407"/>
      <c r="DNF159" s="407"/>
      <c r="DNG159" s="407"/>
      <c r="DNH159" s="407"/>
      <c r="DNI159" s="407"/>
      <c r="DNJ159" s="406"/>
      <c r="DNK159" s="407"/>
      <c r="DNL159" s="407"/>
      <c r="DNM159" s="407"/>
      <c r="DNN159" s="407"/>
      <c r="DNO159" s="407"/>
      <c r="DNP159" s="406"/>
      <c r="DNQ159" s="407"/>
      <c r="DNR159" s="407"/>
      <c r="DNS159" s="407"/>
      <c r="DNT159" s="407"/>
      <c r="DNU159" s="407"/>
      <c r="DNV159" s="406"/>
      <c r="DNW159" s="407"/>
      <c r="DNX159" s="407"/>
      <c r="DNY159" s="407"/>
      <c r="DNZ159" s="407"/>
      <c r="DOA159" s="407"/>
      <c r="DOB159" s="406"/>
      <c r="DOC159" s="407"/>
      <c r="DOD159" s="407"/>
      <c r="DOE159" s="407"/>
      <c r="DOF159" s="407"/>
      <c r="DOG159" s="407"/>
      <c r="DOH159" s="406"/>
      <c r="DOI159" s="407"/>
      <c r="DOJ159" s="407"/>
      <c r="DOK159" s="407"/>
      <c r="DOL159" s="407"/>
      <c r="DOM159" s="407"/>
      <c r="DON159" s="406"/>
      <c r="DOO159" s="407"/>
      <c r="DOP159" s="407"/>
      <c r="DOQ159" s="407"/>
      <c r="DOR159" s="407"/>
      <c r="DOS159" s="407"/>
      <c r="DOT159" s="406"/>
      <c r="DOU159" s="407"/>
      <c r="DOV159" s="407"/>
      <c r="DOW159" s="407"/>
      <c r="DOX159" s="407"/>
      <c r="DOY159" s="407"/>
      <c r="DOZ159" s="406"/>
      <c r="DPA159" s="407"/>
      <c r="DPB159" s="407"/>
      <c r="DPC159" s="407"/>
      <c r="DPD159" s="407"/>
      <c r="DPE159" s="407"/>
      <c r="DPF159" s="406"/>
      <c r="DPG159" s="407"/>
      <c r="DPH159" s="407"/>
      <c r="DPI159" s="407"/>
      <c r="DPJ159" s="407"/>
      <c r="DPK159" s="407"/>
      <c r="DPL159" s="406"/>
      <c r="DPM159" s="407"/>
      <c r="DPN159" s="407"/>
      <c r="DPO159" s="407"/>
      <c r="DPP159" s="407"/>
      <c r="DPQ159" s="407"/>
      <c r="DPR159" s="406"/>
      <c r="DPS159" s="407"/>
      <c r="DPT159" s="407"/>
      <c r="DPU159" s="407"/>
      <c r="DPV159" s="407"/>
      <c r="DPW159" s="407"/>
      <c r="DPX159" s="406"/>
      <c r="DPY159" s="407"/>
      <c r="DPZ159" s="407"/>
      <c r="DQA159" s="407"/>
      <c r="DQB159" s="407"/>
      <c r="DQC159" s="407"/>
      <c r="DQD159" s="406"/>
      <c r="DQE159" s="407"/>
      <c r="DQF159" s="407"/>
      <c r="DQG159" s="407"/>
      <c r="DQH159" s="407"/>
      <c r="DQI159" s="407"/>
      <c r="DQJ159" s="406"/>
      <c r="DQK159" s="407"/>
      <c r="DQL159" s="407"/>
      <c r="DQM159" s="407"/>
      <c r="DQN159" s="407"/>
      <c r="DQO159" s="407"/>
      <c r="DQP159" s="406"/>
      <c r="DQQ159" s="407"/>
      <c r="DQR159" s="407"/>
      <c r="DQS159" s="407"/>
      <c r="DQT159" s="407"/>
      <c r="DQU159" s="407"/>
      <c r="DQV159" s="406"/>
      <c r="DQW159" s="407"/>
      <c r="DQX159" s="407"/>
      <c r="DQY159" s="407"/>
      <c r="DQZ159" s="407"/>
      <c r="DRA159" s="407"/>
      <c r="DRB159" s="406"/>
      <c r="DRC159" s="407"/>
      <c r="DRD159" s="407"/>
      <c r="DRE159" s="407"/>
      <c r="DRF159" s="407"/>
      <c r="DRG159" s="407"/>
      <c r="DRH159" s="406"/>
      <c r="DRI159" s="407"/>
      <c r="DRJ159" s="407"/>
      <c r="DRK159" s="407"/>
      <c r="DRL159" s="407"/>
      <c r="DRM159" s="407"/>
      <c r="DRN159" s="406"/>
      <c r="DRO159" s="407"/>
      <c r="DRP159" s="407"/>
      <c r="DRQ159" s="407"/>
      <c r="DRR159" s="407"/>
      <c r="DRS159" s="407"/>
      <c r="DRT159" s="406"/>
      <c r="DRU159" s="407"/>
      <c r="DRV159" s="407"/>
      <c r="DRW159" s="407"/>
      <c r="DRX159" s="407"/>
      <c r="DRY159" s="407"/>
      <c r="DRZ159" s="406"/>
      <c r="DSA159" s="407"/>
      <c r="DSB159" s="407"/>
      <c r="DSC159" s="407"/>
      <c r="DSD159" s="407"/>
      <c r="DSE159" s="407"/>
      <c r="DSF159" s="406"/>
      <c r="DSG159" s="407"/>
      <c r="DSH159" s="407"/>
      <c r="DSI159" s="407"/>
      <c r="DSJ159" s="407"/>
      <c r="DSK159" s="407"/>
      <c r="DSL159" s="406"/>
      <c r="DSM159" s="407"/>
      <c r="DSN159" s="407"/>
      <c r="DSO159" s="407"/>
      <c r="DSP159" s="407"/>
      <c r="DSQ159" s="407"/>
      <c r="DSR159" s="406"/>
      <c r="DSS159" s="407"/>
      <c r="DST159" s="407"/>
      <c r="DSU159" s="407"/>
      <c r="DSV159" s="407"/>
      <c r="DSW159" s="407"/>
      <c r="DSX159" s="406"/>
      <c r="DSY159" s="407"/>
      <c r="DSZ159" s="407"/>
      <c r="DTA159" s="407"/>
      <c r="DTB159" s="407"/>
      <c r="DTC159" s="407"/>
      <c r="DTD159" s="406"/>
      <c r="DTE159" s="407"/>
      <c r="DTF159" s="407"/>
      <c r="DTG159" s="407"/>
      <c r="DTH159" s="407"/>
      <c r="DTI159" s="407"/>
      <c r="DTJ159" s="406"/>
      <c r="DTK159" s="407"/>
      <c r="DTL159" s="407"/>
      <c r="DTM159" s="407"/>
      <c r="DTN159" s="407"/>
      <c r="DTO159" s="407"/>
      <c r="DTP159" s="406"/>
      <c r="DTQ159" s="407"/>
      <c r="DTR159" s="407"/>
      <c r="DTS159" s="407"/>
      <c r="DTT159" s="407"/>
      <c r="DTU159" s="407"/>
      <c r="DTV159" s="406"/>
      <c r="DTW159" s="407"/>
      <c r="DTX159" s="407"/>
      <c r="DTY159" s="407"/>
      <c r="DTZ159" s="407"/>
      <c r="DUA159" s="407"/>
      <c r="DUB159" s="406"/>
      <c r="DUC159" s="407"/>
      <c r="DUD159" s="407"/>
      <c r="DUE159" s="407"/>
      <c r="DUF159" s="407"/>
      <c r="DUG159" s="407"/>
      <c r="DUH159" s="406"/>
      <c r="DUI159" s="407"/>
      <c r="DUJ159" s="407"/>
      <c r="DUK159" s="407"/>
      <c r="DUL159" s="407"/>
      <c r="DUM159" s="407"/>
      <c r="DUN159" s="406"/>
      <c r="DUO159" s="407"/>
      <c r="DUP159" s="407"/>
      <c r="DUQ159" s="407"/>
      <c r="DUR159" s="407"/>
      <c r="DUS159" s="407"/>
      <c r="DUT159" s="406"/>
      <c r="DUU159" s="407"/>
      <c r="DUV159" s="407"/>
      <c r="DUW159" s="407"/>
      <c r="DUX159" s="407"/>
      <c r="DUY159" s="407"/>
      <c r="DUZ159" s="406"/>
      <c r="DVA159" s="407"/>
      <c r="DVB159" s="407"/>
      <c r="DVC159" s="407"/>
      <c r="DVD159" s="407"/>
      <c r="DVE159" s="407"/>
      <c r="DVF159" s="406"/>
      <c r="DVG159" s="407"/>
      <c r="DVH159" s="407"/>
      <c r="DVI159" s="407"/>
      <c r="DVJ159" s="407"/>
      <c r="DVK159" s="407"/>
      <c r="DVL159" s="406"/>
      <c r="DVM159" s="407"/>
      <c r="DVN159" s="407"/>
      <c r="DVO159" s="407"/>
      <c r="DVP159" s="407"/>
      <c r="DVQ159" s="407"/>
      <c r="DVR159" s="406"/>
      <c r="DVS159" s="407"/>
      <c r="DVT159" s="407"/>
      <c r="DVU159" s="407"/>
      <c r="DVV159" s="407"/>
      <c r="DVW159" s="407"/>
      <c r="DVX159" s="406"/>
      <c r="DVY159" s="407"/>
      <c r="DVZ159" s="407"/>
      <c r="DWA159" s="407"/>
      <c r="DWB159" s="407"/>
      <c r="DWC159" s="407"/>
      <c r="DWD159" s="406"/>
      <c r="DWE159" s="407"/>
      <c r="DWF159" s="407"/>
      <c r="DWG159" s="407"/>
      <c r="DWH159" s="407"/>
      <c r="DWI159" s="407"/>
      <c r="DWJ159" s="406"/>
      <c r="DWK159" s="407"/>
      <c r="DWL159" s="407"/>
      <c r="DWM159" s="407"/>
      <c r="DWN159" s="407"/>
      <c r="DWO159" s="407"/>
      <c r="DWP159" s="406"/>
      <c r="DWQ159" s="407"/>
      <c r="DWR159" s="407"/>
      <c r="DWS159" s="407"/>
      <c r="DWT159" s="407"/>
      <c r="DWU159" s="407"/>
      <c r="DWV159" s="406"/>
      <c r="DWW159" s="407"/>
      <c r="DWX159" s="407"/>
      <c r="DWY159" s="407"/>
      <c r="DWZ159" s="407"/>
      <c r="DXA159" s="407"/>
      <c r="DXB159" s="406"/>
      <c r="DXC159" s="407"/>
      <c r="DXD159" s="407"/>
      <c r="DXE159" s="407"/>
      <c r="DXF159" s="407"/>
      <c r="DXG159" s="407"/>
      <c r="DXH159" s="406"/>
      <c r="DXI159" s="407"/>
      <c r="DXJ159" s="407"/>
      <c r="DXK159" s="407"/>
      <c r="DXL159" s="407"/>
      <c r="DXM159" s="407"/>
      <c r="DXN159" s="406"/>
      <c r="DXO159" s="407"/>
      <c r="DXP159" s="407"/>
      <c r="DXQ159" s="407"/>
      <c r="DXR159" s="407"/>
      <c r="DXS159" s="407"/>
      <c r="DXT159" s="406"/>
      <c r="DXU159" s="407"/>
      <c r="DXV159" s="407"/>
      <c r="DXW159" s="407"/>
      <c r="DXX159" s="407"/>
      <c r="DXY159" s="407"/>
      <c r="DXZ159" s="406"/>
      <c r="DYA159" s="407"/>
      <c r="DYB159" s="407"/>
      <c r="DYC159" s="407"/>
      <c r="DYD159" s="407"/>
      <c r="DYE159" s="407"/>
      <c r="DYF159" s="406"/>
      <c r="DYG159" s="407"/>
      <c r="DYH159" s="407"/>
      <c r="DYI159" s="407"/>
      <c r="DYJ159" s="407"/>
      <c r="DYK159" s="407"/>
      <c r="DYL159" s="406"/>
      <c r="DYM159" s="407"/>
      <c r="DYN159" s="407"/>
      <c r="DYO159" s="407"/>
      <c r="DYP159" s="407"/>
      <c r="DYQ159" s="407"/>
      <c r="DYR159" s="406"/>
      <c r="DYS159" s="407"/>
      <c r="DYT159" s="407"/>
      <c r="DYU159" s="407"/>
      <c r="DYV159" s="407"/>
      <c r="DYW159" s="407"/>
      <c r="DYX159" s="406"/>
      <c r="DYY159" s="407"/>
      <c r="DYZ159" s="407"/>
      <c r="DZA159" s="407"/>
      <c r="DZB159" s="407"/>
      <c r="DZC159" s="407"/>
      <c r="DZD159" s="406"/>
      <c r="DZE159" s="407"/>
      <c r="DZF159" s="407"/>
      <c r="DZG159" s="407"/>
      <c r="DZH159" s="407"/>
      <c r="DZI159" s="407"/>
      <c r="DZJ159" s="406"/>
      <c r="DZK159" s="407"/>
      <c r="DZL159" s="407"/>
      <c r="DZM159" s="407"/>
      <c r="DZN159" s="407"/>
      <c r="DZO159" s="407"/>
      <c r="DZP159" s="406"/>
      <c r="DZQ159" s="407"/>
      <c r="DZR159" s="407"/>
      <c r="DZS159" s="407"/>
      <c r="DZT159" s="407"/>
      <c r="DZU159" s="407"/>
      <c r="DZV159" s="406"/>
      <c r="DZW159" s="407"/>
      <c r="DZX159" s="407"/>
      <c r="DZY159" s="407"/>
      <c r="DZZ159" s="407"/>
      <c r="EAA159" s="407"/>
      <c r="EAB159" s="406"/>
      <c r="EAC159" s="407"/>
      <c r="EAD159" s="407"/>
      <c r="EAE159" s="407"/>
      <c r="EAF159" s="407"/>
      <c r="EAG159" s="407"/>
      <c r="EAH159" s="406"/>
      <c r="EAI159" s="407"/>
      <c r="EAJ159" s="407"/>
      <c r="EAK159" s="407"/>
      <c r="EAL159" s="407"/>
      <c r="EAM159" s="407"/>
      <c r="EAN159" s="406"/>
      <c r="EAO159" s="407"/>
      <c r="EAP159" s="407"/>
      <c r="EAQ159" s="407"/>
      <c r="EAR159" s="407"/>
      <c r="EAS159" s="407"/>
      <c r="EAT159" s="406"/>
      <c r="EAU159" s="407"/>
      <c r="EAV159" s="407"/>
      <c r="EAW159" s="407"/>
      <c r="EAX159" s="407"/>
      <c r="EAY159" s="407"/>
      <c r="EAZ159" s="406"/>
      <c r="EBA159" s="407"/>
      <c r="EBB159" s="407"/>
      <c r="EBC159" s="407"/>
      <c r="EBD159" s="407"/>
      <c r="EBE159" s="407"/>
      <c r="EBF159" s="406"/>
      <c r="EBG159" s="407"/>
      <c r="EBH159" s="407"/>
      <c r="EBI159" s="407"/>
      <c r="EBJ159" s="407"/>
      <c r="EBK159" s="407"/>
      <c r="EBL159" s="406"/>
      <c r="EBM159" s="407"/>
      <c r="EBN159" s="407"/>
      <c r="EBO159" s="407"/>
      <c r="EBP159" s="407"/>
      <c r="EBQ159" s="407"/>
      <c r="EBR159" s="406"/>
      <c r="EBS159" s="407"/>
      <c r="EBT159" s="407"/>
      <c r="EBU159" s="407"/>
      <c r="EBV159" s="407"/>
      <c r="EBW159" s="407"/>
      <c r="EBX159" s="406"/>
      <c r="EBY159" s="407"/>
      <c r="EBZ159" s="407"/>
      <c r="ECA159" s="407"/>
      <c r="ECB159" s="407"/>
      <c r="ECC159" s="407"/>
      <c r="ECD159" s="406"/>
      <c r="ECE159" s="407"/>
      <c r="ECF159" s="407"/>
      <c r="ECG159" s="407"/>
      <c r="ECH159" s="407"/>
      <c r="ECI159" s="407"/>
      <c r="ECJ159" s="406"/>
      <c r="ECK159" s="407"/>
      <c r="ECL159" s="407"/>
      <c r="ECM159" s="407"/>
      <c r="ECN159" s="407"/>
      <c r="ECO159" s="407"/>
      <c r="ECP159" s="406"/>
      <c r="ECQ159" s="407"/>
      <c r="ECR159" s="407"/>
      <c r="ECS159" s="407"/>
      <c r="ECT159" s="407"/>
      <c r="ECU159" s="407"/>
      <c r="ECV159" s="406"/>
      <c r="ECW159" s="407"/>
      <c r="ECX159" s="407"/>
      <c r="ECY159" s="407"/>
      <c r="ECZ159" s="407"/>
      <c r="EDA159" s="407"/>
      <c r="EDB159" s="406"/>
      <c r="EDC159" s="407"/>
      <c r="EDD159" s="407"/>
      <c r="EDE159" s="407"/>
      <c r="EDF159" s="407"/>
      <c r="EDG159" s="407"/>
      <c r="EDH159" s="406"/>
      <c r="EDI159" s="407"/>
      <c r="EDJ159" s="407"/>
      <c r="EDK159" s="407"/>
      <c r="EDL159" s="407"/>
      <c r="EDM159" s="407"/>
      <c r="EDN159" s="406"/>
      <c r="EDO159" s="407"/>
      <c r="EDP159" s="407"/>
      <c r="EDQ159" s="407"/>
      <c r="EDR159" s="407"/>
      <c r="EDS159" s="407"/>
      <c r="EDT159" s="406"/>
      <c r="EDU159" s="407"/>
      <c r="EDV159" s="407"/>
      <c r="EDW159" s="407"/>
      <c r="EDX159" s="407"/>
      <c r="EDY159" s="407"/>
      <c r="EDZ159" s="406"/>
      <c r="EEA159" s="407"/>
      <c r="EEB159" s="407"/>
      <c r="EEC159" s="407"/>
      <c r="EED159" s="407"/>
      <c r="EEE159" s="407"/>
      <c r="EEF159" s="406"/>
      <c r="EEG159" s="407"/>
      <c r="EEH159" s="407"/>
      <c r="EEI159" s="407"/>
      <c r="EEJ159" s="407"/>
      <c r="EEK159" s="407"/>
      <c r="EEL159" s="406"/>
      <c r="EEM159" s="407"/>
      <c r="EEN159" s="407"/>
      <c r="EEO159" s="407"/>
      <c r="EEP159" s="407"/>
      <c r="EEQ159" s="407"/>
      <c r="EER159" s="406"/>
      <c r="EES159" s="407"/>
      <c r="EET159" s="407"/>
      <c r="EEU159" s="407"/>
      <c r="EEV159" s="407"/>
      <c r="EEW159" s="407"/>
      <c r="EEX159" s="406"/>
      <c r="EEY159" s="407"/>
      <c r="EEZ159" s="407"/>
      <c r="EFA159" s="407"/>
      <c r="EFB159" s="407"/>
      <c r="EFC159" s="407"/>
      <c r="EFD159" s="406"/>
      <c r="EFE159" s="407"/>
      <c r="EFF159" s="407"/>
      <c r="EFG159" s="407"/>
      <c r="EFH159" s="407"/>
      <c r="EFI159" s="407"/>
      <c r="EFJ159" s="406"/>
      <c r="EFK159" s="407"/>
      <c r="EFL159" s="407"/>
      <c r="EFM159" s="407"/>
      <c r="EFN159" s="407"/>
      <c r="EFO159" s="407"/>
      <c r="EFP159" s="406"/>
      <c r="EFQ159" s="407"/>
      <c r="EFR159" s="407"/>
      <c r="EFS159" s="407"/>
      <c r="EFT159" s="407"/>
      <c r="EFU159" s="407"/>
      <c r="EFV159" s="406"/>
      <c r="EFW159" s="407"/>
      <c r="EFX159" s="407"/>
      <c r="EFY159" s="407"/>
      <c r="EFZ159" s="407"/>
      <c r="EGA159" s="407"/>
      <c r="EGB159" s="406"/>
      <c r="EGC159" s="407"/>
      <c r="EGD159" s="407"/>
      <c r="EGE159" s="407"/>
      <c r="EGF159" s="407"/>
      <c r="EGG159" s="407"/>
      <c r="EGH159" s="406"/>
      <c r="EGI159" s="407"/>
      <c r="EGJ159" s="407"/>
      <c r="EGK159" s="407"/>
      <c r="EGL159" s="407"/>
      <c r="EGM159" s="407"/>
      <c r="EGN159" s="406"/>
      <c r="EGO159" s="407"/>
      <c r="EGP159" s="407"/>
      <c r="EGQ159" s="407"/>
      <c r="EGR159" s="407"/>
      <c r="EGS159" s="407"/>
      <c r="EGT159" s="406"/>
      <c r="EGU159" s="407"/>
      <c r="EGV159" s="407"/>
      <c r="EGW159" s="407"/>
      <c r="EGX159" s="407"/>
      <c r="EGY159" s="407"/>
      <c r="EGZ159" s="406"/>
      <c r="EHA159" s="407"/>
      <c r="EHB159" s="407"/>
      <c r="EHC159" s="407"/>
      <c r="EHD159" s="407"/>
      <c r="EHE159" s="407"/>
      <c r="EHF159" s="406"/>
      <c r="EHG159" s="407"/>
      <c r="EHH159" s="407"/>
      <c r="EHI159" s="407"/>
      <c r="EHJ159" s="407"/>
      <c r="EHK159" s="407"/>
      <c r="EHL159" s="406"/>
      <c r="EHM159" s="407"/>
      <c r="EHN159" s="407"/>
      <c r="EHO159" s="407"/>
      <c r="EHP159" s="407"/>
      <c r="EHQ159" s="407"/>
      <c r="EHR159" s="406"/>
      <c r="EHS159" s="407"/>
      <c r="EHT159" s="407"/>
      <c r="EHU159" s="407"/>
      <c r="EHV159" s="407"/>
      <c r="EHW159" s="407"/>
      <c r="EHX159" s="406"/>
      <c r="EHY159" s="407"/>
      <c r="EHZ159" s="407"/>
      <c r="EIA159" s="407"/>
      <c r="EIB159" s="407"/>
      <c r="EIC159" s="407"/>
      <c r="EID159" s="406"/>
      <c r="EIE159" s="407"/>
      <c r="EIF159" s="407"/>
      <c r="EIG159" s="407"/>
      <c r="EIH159" s="407"/>
      <c r="EII159" s="407"/>
      <c r="EIJ159" s="406"/>
      <c r="EIK159" s="407"/>
      <c r="EIL159" s="407"/>
      <c r="EIM159" s="407"/>
      <c r="EIN159" s="407"/>
      <c r="EIO159" s="407"/>
      <c r="EIP159" s="406"/>
      <c r="EIQ159" s="407"/>
      <c r="EIR159" s="407"/>
      <c r="EIS159" s="407"/>
      <c r="EIT159" s="407"/>
      <c r="EIU159" s="407"/>
      <c r="EIV159" s="406"/>
      <c r="EIW159" s="407"/>
      <c r="EIX159" s="407"/>
      <c r="EIY159" s="407"/>
      <c r="EIZ159" s="407"/>
      <c r="EJA159" s="407"/>
      <c r="EJB159" s="406"/>
      <c r="EJC159" s="407"/>
      <c r="EJD159" s="407"/>
      <c r="EJE159" s="407"/>
      <c r="EJF159" s="407"/>
      <c r="EJG159" s="407"/>
      <c r="EJH159" s="406"/>
      <c r="EJI159" s="407"/>
      <c r="EJJ159" s="407"/>
      <c r="EJK159" s="407"/>
      <c r="EJL159" s="407"/>
      <c r="EJM159" s="407"/>
      <c r="EJN159" s="406"/>
      <c r="EJO159" s="407"/>
      <c r="EJP159" s="407"/>
      <c r="EJQ159" s="407"/>
      <c r="EJR159" s="407"/>
      <c r="EJS159" s="407"/>
      <c r="EJT159" s="406"/>
      <c r="EJU159" s="407"/>
      <c r="EJV159" s="407"/>
      <c r="EJW159" s="407"/>
      <c r="EJX159" s="407"/>
      <c r="EJY159" s="407"/>
      <c r="EJZ159" s="406"/>
      <c r="EKA159" s="407"/>
      <c r="EKB159" s="407"/>
      <c r="EKC159" s="407"/>
      <c r="EKD159" s="407"/>
      <c r="EKE159" s="407"/>
      <c r="EKF159" s="406"/>
      <c r="EKG159" s="407"/>
      <c r="EKH159" s="407"/>
      <c r="EKI159" s="407"/>
      <c r="EKJ159" s="407"/>
      <c r="EKK159" s="407"/>
      <c r="EKL159" s="406"/>
      <c r="EKM159" s="407"/>
      <c r="EKN159" s="407"/>
      <c r="EKO159" s="407"/>
      <c r="EKP159" s="407"/>
      <c r="EKQ159" s="407"/>
      <c r="EKR159" s="406"/>
      <c r="EKS159" s="407"/>
      <c r="EKT159" s="407"/>
      <c r="EKU159" s="407"/>
      <c r="EKV159" s="407"/>
      <c r="EKW159" s="407"/>
      <c r="EKX159" s="406"/>
      <c r="EKY159" s="407"/>
      <c r="EKZ159" s="407"/>
      <c r="ELA159" s="407"/>
      <c r="ELB159" s="407"/>
      <c r="ELC159" s="407"/>
      <c r="ELD159" s="406"/>
      <c r="ELE159" s="407"/>
      <c r="ELF159" s="407"/>
      <c r="ELG159" s="407"/>
      <c r="ELH159" s="407"/>
      <c r="ELI159" s="407"/>
      <c r="ELJ159" s="406"/>
      <c r="ELK159" s="407"/>
      <c r="ELL159" s="407"/>
      <c r="ELM159" s="407"/>
      <c r="ELN159" s="407"/>
      <c r="ELO159" s="407"/>
      <c r="ELP159" s="406"/>
      <c r="ELQ159" s="407"/>
      <c r="ELR159" s="407"/>
      <c r="ELS159" s="407"/>
      <c r="ELT159" s="407"/>
      <c r="ELU159" s="407"/>
      <c r="ELV159" s="406"/>
      <c r="ELW159" s="407"/>
      <c r="ELX159" s="407"/>
      <c r="ELY159" s="407"/>
      <c r="ELZ159" s="407"/>
      <c r="EMA159" s="407"/>
      <c r="EMB159" s="406"/>
      <c r="EMC159" s="407"/>
      <c r="EMD159" s="407"/>
      <c r="EME159" s="407"/>
      <c r="EMF159" s="407"/>
      <c r="EMG159" s="407"/>
      <c r="EMH159" s="406"/>
      <c r="EMI159" s="407"/>
      <c r="EMJ159" s="407"/>
      <c r="EMK159" s="407"/>
      <c r="EML159" s="407"/>
      <c r="EMM159" s="407"/>
      <c r="EMN159" s="406"/>
      <c r="EMO159" s="407"/>
      <c r="EMP159" s="407"/>
      <c r="EMQ159" s="407"/>
      <c r="EMR159" s="407"/>
      <c r="EMS159" s="407"/>
      <c r="EMT159" s="406"/>
      <c r="EMU159" s="407"/>
      <c r="EMV159" s="407"/>
      <c r="EMW159" s="407"/>
      <c r="EMX159" s="407"/>
      <c r="EMY159" s="407"/>
      <c r="EMZ159" s="406"/>
      <c r="ENA159" s="407"/>
      <c r="ENB159" s="407"/>
      <c r="ENC159" s="407"/>
      <c r="END159" s="407"/>
      <c r="ENE159" s="407"/>
      <c r="ENF159" s="406"/>
      <c r="ENG159" s="407"/>
      <c r="ENH159" s="407"/>
      <c r="ENI159" s="407"/>
      <c r="ENJ159" s="407"/>
      <c r="ENK159" s="407"/>
      <c r="ENL159" s="406"/>
      <c r="ENM159" s="407"/>
      <c r="ENN159" s="407"/>
      <c r="ENO159" s="407"/>
      <c r="ENP159" s="407"/>
      <c r="ENQ159" s="407"/>
      <c r="ENR159" s="406"/>
      <c r="ENS159" s="407"/>
      <c r="ENT159" s="407"/>
      <c r="ENU159" s="407"/>
      <c r="ENV159" s="407"/>
      <c r="ENW159" s="407"/>
      <c r="ENX159" s="406"/>
      <c r="ENY159" s="407"/>
      <c r="ENZ159" s="407"/>
      <c r="EOA159" s="407"/>
      <c r="EOB159" s="407"/>
      <c r="EOC159" s="407"/>
      <c r="EOD159" s="406"/>
      <c r="EOE159" s="407"/>
      <c r="EOF159" s="407"/>
      <c r="EOG159" s="407"/>
      <c r="EOH159" s="407"/>
      <c r="EOI159" s="407"/>
      <c r="EOJ159" s="406"/>
      <c r="EOK159" s="407"/>
      <c r="EOL159" s="407"/>
      <c r="EOM159" s="407"/>
      <c r="EON159" s="407"/>
      <c r="EOO159" s="407"/>
      <c r="EOP159" s="406"/>
      <c r="EOQ159" s="407"/>
      <c r="EOR159" s="407"/>
      <c r="EOS159" s="407"/>
      <c r="EOT159" s="407"/>
      <c r="EOU159" s="407"/>
      <c r="EOV159" s="406"/>
      <c r="EOW159" s="407"/>
      <c r="EOX159" s="407"/>
      <c r="EOY159" s="407"/>
      <c r="EOZ159" s="407"/>
      <c r="EPA159" s="407"/>
      <c r="EPB159" s="406"/>
      <c r="EPC159" s="407"/>
      <c r="EPD159" s="407"/>
      <c r="EPE159" s="407"/>
      <c r="EPF159" s="407"/>
      <c r="EPG159" s="407"/>
      <c r="EPH159" s="406"/>
      <c r="EPI159" s="407"/>
      <c r="EPJ159" s="407"/>
      <c r="EPK159" s="407"/>
      <c r="EPL159" s="407"/>
      <c r="EPM159" s="407"/>
      <c r="EPN159" s="406"/>
      <c r="EPO159" s="407"/>
      <c r="EPP159" s="407"/>
      <c r="EPQ159" s="407"/>
      <c r="EPR159" s="407"/>
      <c r="EPS159" s="407"/>
      <c r="EPT159" s="406"/>
      <c r="EPU159" s="407"/>
      <c r="EPV159" s="407"/>
      <c r="EPW159" s="407"/>
      <c r="EPX159" s="407"/>
      <c r="EPY159" s="407"/>
      <c r="EPZ159" s="406"/>
      <c r="EQA159" s="407"/>
      <c r="EQB159" s="407"/>
      <c r="EQC159" s="407"/>
      <c r="EQD159" s="407"/>
      <c r="EQE159" s="407"/>
      <c r="EQF159" s="406"/>
      <c r="EQG159" s="407"/>
      <c r="EQH159" s="407"/>
      <c r="EQI159" s="407"/>
      <c r="EQJ159" s="407"/>
      <c r="EQK159" s="407"/>
      <c r="EQL159" s="406"/>
      <c r="EQM159" s="407"/>
      <c r="EQN159" s="407"/>
      <c r="EQO159" s="407"/>
      <c r="EQP159" s="407"/>
      <c r="EQQ159" s="407"/>
      <c r="EQR159" s="406"/>
      <c r="EQS159" s="407"/>
      <c r="EQT159" s="407"/>
      <c r="EQU159" s="407"/>
      <c r="EQV159" s="407"/>
      <c r="EQW159" s="407"/>
      <c r="EQX159" s="406"/>
      <c r="EQY159" s="407"/>
      <c r="EQZ159" s="407"/>
      <c r="ERA159" s="407"/>
      <c r="ERB159" s="407"/>
      <c r="ERC159" s="407"/>
      <c r="ERD159" s="406"/>
      <c r="ERE159" s="407"/>
      <c r="ERF159" s="407"/>
      <c r="ERG159" s="407"/>
      <c r="ERH159" s="407"/>
      <c r="ERI159" s="407"/>
      <c r="ERJ159" s="406"/>
      <c r="ERK159" s="407"/>
      <c r="ERL159" s="407"/>
      <c r="ERM159" s="407"/>
      <c r="ERN159" s="407"/>
      <c r="ERO159" s="407"/>
      <c r="ERP159" s="406"/>
      <c r="ERQ159" s="407"/>
      <c r="ERR159" s="407"/>
      <c r="ERS159" s="407"/>
      <c r="ERT159" s="407"/>
      <c r="ERU159" s="407"/>
      <c r="ERV159" s="406"/>
      <c r="ERW159" s="407"/>
      <c r="ERX159" s="407"/>
      <c r="ERY159" s="407"/>
      <c r="ERZ159" s="407"/>
      <c r="ESA159" s="407"/>
      <c r="ESB159" s="406"/>
      <c r="ESC159" s="407"/>
      <c r="ESD159" s="407"/>
      <c r="ESE159" s="407"/>
      <c r="ESF159" s="407"/>
      <c r="ESG159" s="407"/>
      <c r="ESH159" s="406"/>
      <c r="ESI159" s="407"/>
      <c r="ESJ159" s="407"/>
      <c r="ESK159" s="407"/>
      <c r="ESL159" s="407"/>
      <c r="ESM159" s="407"/>
      <c r="ESN159" s="406"/>
      <c r="ESO159" s="407"/>
      <c r="ESP159" s="407"/>
      <c r="ESQ159" s="407"/>
      <c r="ESR159" s="407"/>
      <c r="ESS159" s="407"/>
      <c r="EST159" s="406"/>
      <c r="ESU159" s="407"/>
      <c r="ESV159" s="407"/>
      <c r="ESW159" s="407"/>
      <c r="ESX159" s="407"/>
      <c r="ESY159" s="407"/>
      <c r="ESZ159" s="406"/>
      <c r="ETA159" s="407"/>
      <c r="ETB159" s="407"/>
      <c r="ETC159" s="407"/>
      <c r="ETD159" s="407"/>
      <c r="ETE159" s="407"/>
      <c r="ETF159" s="406"/>
      <c r="ETG159" s="407"/>
      <c r="ETH159" s="407"/>
      <c r="ETI159" s="407"/>
      <c r="ETJ159" s="407"/>
      <c r="ETK159" s="407"/>
      <c r="ETL159" s="406"/>
      <c r="ETM159" s="407"/>
      <c r="ETN159" s="407"/>
      <c r="ETO159" s="407"/>
      <c r="ETP159" s="407"/>
      <c r="ETQ159" s="407"/>
      <c r="ETR159" s="406"/>
      <c r="ETS159" s="407"/>
      <c r="ETT159" s="407"/>
      <c r="ETU159" s="407"/>
      <c r="ETV159" s="407"/>
      <c r="ETW159" s="407"/>
      <c r="ETX159" s="406"/>
      <c r="ETY159" s="407"/>
      <c r="ETZ159" s="407"/>
      <c r="EUA159" s="407"/>
      <c r="EUB159" s="407"/>
      <c r="EUC159" s="407"/>
      <c r="EUD159" s="406"/>
      <c r="EUE159" s="407"/>
      <c r="EUF159" s="407"/>
      <c r="EUG159" s="407"/>
      <c r="EUH159" s="407"/>
      <c r="EUI159" s="407"/>
      <c r="EUJ159" s="406"/>
      <c r="EUK159" s="407"/>
      <c r="EUL159" s="407"/>
      <c r="EUM159" s="407"/>
      <c r="EUN159" s="407"/>
      <c r="EUO159" s="407"/>
      <c r="EUP159" s="406"/>
      <c r="EUQ159" s="407"/>
      <c r="EUR159" s="407"/>
      <c r="EUS159" s="407"/>
      <c r="EUT159" s="407"/>
      <c r="EUU159" s="407"/>
      <c r="EUV159" s="406"/>
      <c r="EUW159" s="407"/>
      <c r="EUX159" s="407"/>
      <c r="EUY159" s="407"/>
      <c r="EUZ159" s="407"/>
      <c r="EVA159" s="407"/>
      <c r="EVB159" s="406"/>
      <c r="EVC159" s="407"/>
      <c r="EVD159" s="407"/>
      <c r="EVE159" s="407"/>
      <c r="EVF159" s="407"/>
      <c r="EVG159" s="407"/>
      <c r="EVH159" s="406"/>
      <c r="EVI159" s="407"/>
      <c r="EVJ159" s="407"/>
      <c r="EVK159" s="407"/>
      <c r="EVL159" s="407"/>
      <c r="EVM159" s="407"/>
      <c r="EVN159" s="406"/>
      <c r="EVO159" s="407"/>
      <c r="EVP159" s="407"/>
      <c r="EVQ159" s="407"/>
      <c r="EVR159" s="407"/>
      <c r="EVS159" s="407"/>
      <c r="EVT159" s="406"/>
      <c r="EVU159" s="407"/>
      <c r="EVV159" s="407"/>
      <c r="EVW159" s="407"/>
      <c r="EVX159" s="407"/>
      <c r="EVY159" s="407"/>
      <c r="EVZ159" s="406"/>
      <c r="EWA159" s="407"/>
      <c r="EWB159" s="407"/>
      <c r="EWC159" s="407"/>
      <c r="EWD159" s="407"/>
      <c r="EWE159" s="407"/>
      <c r="EWF159" s="406"/>
      <c r="EWG159" s="407"/>
      <c r="EWH159" s="407"/>
      <c r="EWI159" s="407"/>
      <c r="EWJ159" s="407"/>
      <c r="EWK159" s="407"/>
      <c r="EWL159" s="406"/>
      <c r="EWM159" s="407"/>
      <c r="EWN159" s="407"/>
      <c r="EWO159" s="407"/>
      <c r="EWP159" s="407"/>
      <c r="EWQ159" s="407"/>
      <c r="EWR159" s="406"/>
      <c r="EWS159" s="407"/>
      <c r="EWT159" s="407"/>
      <c r="EWU159" s="407"/>
      <c r="EWV159" s="407"/>
      <c r="EWW159" s="407"/>
      <c r="EWX159" s="406"/>
      <c r="EWY159" s="407"/>
      <c r="EWZ159" s="407"/>
      <c r="EXA159" s="407"/>
      <c r="EXB159" s="407"/>
      <c r="EXC159" s="407"/>
      <c r="EXD159" s="406"/>
      <c r="EXE159" s="407"/>
      <c r="EXF159" s="407"/>
      <c r="EXG159" s="407"/>
      <c r="EXH159" s="407"/>
      <c r="EXI159" s="407"/>
      <c r="EXJ159" s="406"/>
      <c r="EXK159" s="407"/>
      <c r="EXL159" s="407"/>
      <c r="EXM159" s="407"/>
      <c r="EXN159" s="407"/>
      <c r="EXO159" s="407"/>
      <c r="EXP159" s="406"/>
      <c r="EXQ159" s="407"/>
      <c r="EXR159" s="407"/>
      <c r="EXS159" s="407"/>
      <c r="EXT159" s="407"/>
      <c r="EXU159" s="407"/>
      <c r="EXV159" s="406"/>
      <c r="EXW159" s="407"/>
      <c r="EXX159" s="407"/>
      <c r="EXY159" s="407"/>
      <c r="EXZ159" s="407"/>
      <c r="EYA159" s="407"/>
      <c r="EYB159" s="406"/>
      <c r="EYC159" s="407"/>
      <c r="EYD159" s="407"/>
      <c r="EYE159" s="407"/>
      <c r="EYF159" s="407"/>
      <c r="EYG159" s="407"/>
      <c r="EYH159" s="406"/>
      <c r="EYI159" s="407"/>
      <c r="EYJ159" s="407"/>
      <c r="EYK159" s="407"/>
      <c r="EYL159" s="407"/>
      <c r="EYM159" s="407"/>
      <c r="EYN159" s="406"/>
      <c r="EYO159" s="407"/>
      <c r="EYP159" s="407"/>
      <c r="EYQ159" s="407"/>
      <c r="EYR159" s="407"/>
      <c r="EYS159" s="407"/>
      <c r="EYT159" s="406"/>
      <c r="EYU159" s="407"/>
      <c r="EYV159" s="407"/>
      <c r="EYW159" s="407"/>
      <c r="EYX159" s="407"/>
      <c r="EYY159" s="407"/>
      <c r="EYZ159" s="406"/>
      <c r="EZA159" s="407"/>
      <c r="EZB159" s="407"/>
      <c r="EZC159" s="407"/>
      <c r="EZD159" s="407"/>
      <c r="EZE159" s="407"/>
      <c r="EZF159" s="406"/>
      <c r="EZG159" s="407"/>
      <c r="EZH159" s="407"/>
      <c r="EZI159" s="407"/>
      <c r="EZJ159" s="407"/>
      <c r="EZK159" s="407"/>
      <c r="EZL159" s="406"/>
      <c r="EZM159" s="407"/>
      <c r="EZN159" s="407"/>
      <c r="EZO159" s="407"/>
      <c r="EZP159" s="407"/>
      <c r="EZQ159" s="407"/>
      <c r="EZR159" s="406"/>
      <c r="EZS159" s="407"/>
      <c r="EZT159" s="407"/>
      <c r="EZU159" s="407"/>
      <c r="EZV159" s="407"/>
      <c r="EZW159" s="407"/>
      <c r="EZX159" s="406"/>
      <c r="EZY159" s="407"/>
      <c r="EZZ159" s="407"/>
      <c r="FAA159" s="407"/>
      <c r="FAB159" s="407"/>
      <c r="FAC159" s="407"/>
      <c r="FAD159" s="406"/>
      <c r="FAE159" s="407"/>
      <c r="FAF159" s="407"/>
      <c r="FAG159" s="407"/>
      <c r="FAH159" s="407"/>
      <c r="FAI159" s="407"/>
      <c r="FAJ159" s="406"/>
      <c r="FAK159" s="407"/>
      <c r="FAL159" s="407"/>
      <c r="FAM159" s="407"/>
      <c r="FAN159" s="407"/>
      <c r="FAO159" s="407"/>
      <c r="FAP159" s="406"/>
      <c r="FAQ159" s="407"/>
      <c r="FAR159" s="407"/>
      <c r="FAS159" s="407"/>
      <c r="FAT159" s="407"/>
      <c r="FAU159" s="407"/>
      <c r="FAV159" s="406"/>
      <c r="FAW159" s="407"/>
      <c r="FAX159" s="407"/>
      <c r="FAY159" s="407"/>
      <c r="FAZ159" s="407"/>
      <c r="FBA159" s="407"/>
      <c r="FBB159" s="406"/>
      <c r="FBC159" s="407"/>
      <c r="FBD159" s="407"/>
      <c r="FBE159" s="407"/>
      <c r="FBF159" s="407"/>
      <c r="FBG159" s="407"/>
      <c r="FBH159" s="406"/>
      <c r="FBI159" s="407"/>
      <c r="FBJ159" s="407"/>
      <c r="FBK159" s="407"/>
      <c r="FBL159" s="407"/>
      <c r="FBM159" s="407"/>
      <c r="FBN159" s="406"/>
      <c r="FBO159" s="407"/>
      <c r="FBP159" s="407"/>
      <c r="FBQ159" s="407"/>
      <c r="FBR159" s="407"/>
      <c r="FBS159" s="407"/>
      <c r="FBT159" s="406"/>
      <c r="FBU159" s="407"/>
      <c r="FBV159" s="407"/>
      <c r="FBW159" s="407"/>
      <c r="FBX159" s="407"/>
      <c r="FBY159" s="407"/>
      <c r="FBZ159" s="406"/>
      <c r="FCA159" s="407"/>
      <c r="FCB159" s="407"/>
      <c r="FCC159" s="407"/>
      <c r="FCD159" s="407"/>
      <c r="FCE159" s="407"/>
      <c r="FCF159" s="406"/>
      <c r="FCG159" s="407"/>
      <c r="FCH159" s="407"/>
      <c r="FCI159" s="407"/>
      <c r="FCJ159" s="407"/>
      <c r="FCK159" s="407"/>
      <c r="FCL159" s="406"/>
      <c r="FCM159" s="407"/>
      <c r="FCN159" s="407"/>
      <c r="FCO159" s="407"/>
      <c r="FCP159" s="407"/>
      <c r="FCQ159" s="407"/>
      <c r="FCR159" s="406"/>
      <c r="FCS159" s="407"/>
      <c r="FCT159" s="407"/>
      <c r="FCU159" s="407"/>
      <c r="FCV159" s="407"/>
      <c r="FCW159" s="407"/>
      <c r="FCX159" s="406"/>
      <c r="FCY159" s="407"/>
      <c r="FCZ159" s="407"/>
      <c r="FDA159" s="407"/>
      <c r="FDB159" s="407"/>
      <c r="FDC159" s="407"/>
      <c r="FDD159" s="406"/>
      <c r="FDE159" s="407"/>
      <c r="FDF159" s="407"/>
      <c r="FDG159" s="407"/>
      <c r="FDH159" s="407"/>
      <c r="FDI159" s="407"/>
      <c r="FDJ159" s="406"/>
      <c r="FDK159" s="407"/>
      <c r="FDL159" s="407"/>
      <c r="FDM159" s="407"/>
      <c r="FDN159" s="407"/>
      <c r="FDO159" s="407"/>
      <c r="FDP159" s="406"/>
      <c r="FDQ159" s="407"/>
      <c r="FDR159" s="407"/>
      <c r="FDS159" s="407"/>
      <c r="FDT159" s="407"/>
      <c r="FDU159" s="407"/>
      <c r="FDV159" s="406"/>
      <c r="FDW159" s="407"/>
      <c r="FDX159" s="407"/>
      <c r="FDY159" s="407"/>
      <c r="FDZ159" s="407"/>
      <c r="FEA159" s="407"/>
      <c r="FEB159" s="406"/>
      <c r="FEC159" s="407"/>
      <c r="FED159" s="407"/>
      <c r="FEE159" s="407"/>
      <c r="FEF159" s="407"/>
      <c r="FEG159" s="407"/>
      <c r="FEH159" s="406"/>
      <c r="FEI159" s="407"/>
      <c r="FEJ159" s="407"/>
      <c r="FEK159" s="407"/>
      <c r="FEL159" s="407"/>
      <c r="FEM159" s="407"/>
      <c r="FEN159" s="406"/>
      <c r="FEO159" s="407"/>
      <c r="FEP159" s="407"/>
      <c r="FEQ159" s="407"/>
      <c r="FER159" s="407"/>
      <c r="FES159" s="407"/>
      <c r="FET159" s="406"/>
      <c r="FEU159" s="407"/>
      <c r="FEV159" s="407"/>
      <c r="FEW159" s="407"/>
      <c r="FEX159" s="407"/>
      <c r="FEY159" s="407"/>
      <c r="FEZ159" s="406"/>
      <c r="FFA159" s="407"/>
      <c r="FFB159" s="407"/>
      <c r="FFC159" s="407"/>
      <c r="FFD159" s="407"/>
      <c r="FFE159" s="407"/>
      <c r="FFF159" s="406"/>
      <c r="FFG159" s="407"/>
      <c r="FFH159" s="407"/>
      <c r="FFI159" s="407"/>
      <c r="FFJ159" s="407"/>
      <c r="FFK159" s="407"/>
      <c r="FFL159" s="406"/>
      <c r="FFM159" s="407"/>
      <c r="FFN159" s="407"/>
      <c r="FFO159" s="407"/>
      <c r="FFP159" s="407"/>
      <c r="FFQ159" s="407"/>
      <c r="FFR159" s="406"/>
      <c r="FFS159" s="407"/>
      <c r="FFT159" s="407"/>
      <c r="FFU159" s="407"/>
      <c r="FFV159" s="407"/>
      <c r="FFW159" s="407"/>
      <c r="FFX159" s="406"/>
      <c r="FFY159" s="407"/>
      <c r="FFZ159" s="407"/>
      <c r="FGA159" s="407"/>
      <c r="FGB159" s="407"/>
      <c r="FGC159" s="407"/>
      <c r="FGD159" s="406"/>
      <c r="FGE159" s="407"/>
      <c r="FGF159" s="407"/>
      <c r="FGG159" s="407"/>
      <c r="FGH159" s="407"/>
      <c r="FGI159" s="407"/>
      <c r="FGJ159" s="406"/>
      <c r="FGK159" s="407"/>
      <c r="FGL159" s="407"/>
      <c r="FGM159" s="407"/>
      <c r="FGN159" s="407"/>
      <c r="FGO159" s="407"/>
      <c r="FGP159" s="406"/>
      <c r="FGQ159" s="407"/>
      <c r="FGR159" s="407"/>
      <c r="FGS159" s="407"/>
      <c r="FGT159" s="407"/>
      <c r="FGU159" s="407"/>
      <c r="FGV159" s="406"/>
      <c r="FGW159" s="407"/>
      <c r="FGX159" s="407"/>
      <c r="FGY159" s="407"/>
      <c r="FGZ159" s="407"/>
      <c r="FHA159" s="407"/>
      <c r="FHB159" s="406"/>
      <c r="FHC159" s="407"/>
      <c r="FHD159" s="407"/>
      <c r="FHE159" s="407"/>
      <c r="FHF159" s="407"/>
      <c r="FHG159" s="407"/>
      <c r="FHH159" s="406"/>
      <c r="FHI159" s="407"/>
      <c r="FHJ159" s="407"/>
      <c r="FHK159" s="407"/>
      <c r="FHL159" s="407"/>
      <c r="FHM159" s="407"/>
      <c r="FHN159" s="406"/>
      <c r="FHO159" s="407"/>
      <c r="FHP159" s="407"/>
      <c r="FHQ159" s="407"/>
      <c r="FHR159" s="407"/>
      <c r="FHS159" s="407"/>
      <c r="FHT159" s="406"/>
      <c r="FHU159" s="407"/>
      <c r="FHV159" s="407"/>
      <c r="FHW159" s="407"/>
      <c r="FHX159" s="407"/>
      <c r="FHY159" s="407"/>
      <c r="FHZ159" s="406"/>
      <c r="FIA159" s="407"/>
      <c r="FIB159" s="407"/>
      <c r="FIC159" s="407"/>
      <c r="FID159" s="407"/>
      <c r="FIE159" s="407"/>
      <c r="FIF159" s="406"/>
      <c r="FIG159" s="407"/>
      <c r="FIH159" s="407"/>
      <c r="FII159" s="407"/>
      <c r="FIJ159" s="407"/>
      <c r="FIK159" s="407"/>
      <c r="FIL159" s="406"/>
      <c r="FIM159" s="407"/>
      <c r="FIN159" s="407"/>
      <c r="FIO159" s="407"/>
      <c r="FIP159" s="407"/>
      <c r="FIQ159" s="407"/>
      <c r="FIR159" s="406"/>
      <c r="FIS159" s="407"/>
      <c r="FIT159" s="407"/>
      <c r="FIU159" s="407"/>
      <c r="FIV159" s="407"/>
      <c r="FIW159" s="407"/>
      <c r="FIX159" s="406"/>
      <c r="FIY159" s="407"/>
      <c r="FIZ159" s="407"/>
      <c r="FJA159" s="407"/>
      <c r="FJB159" s="407"/>
      <c r="FJC159" s="407"/>
      <c r="FJD159" s="406"/>
      <c r="FJE159" s="407"/>
      <c r="FJF159" s="407"/>
      <c r="FJG159" s="407"/>
      <c r="FJH159" s="407"/>
      <c r="FJI159" s="407"/>
      <c r="FJJ159" s="406"/>
      <c r="FJK159" s="407"/>
      <c r="FJL159" s="407"/>
      <c r="FJM159" s="407"/>
      <c r="FJN159" s="407"/>
      <c r="FJO159" s="407"/>
      <c r="FJP159" s="406"/>
      <c r="FJQ159" s="407"/>
      <c r="FJR159" s="407"/>
      <c r="FJS159" s="407"/>
      <c r="FJT159" s="407"/>
      <c r="FJU159" s="407"/>
      <c r="FJV159" s="406"/>
      <c r="FJW159" s="407"/>
      <c r="FJX159" s="407"/>
      <c r="FJY159" s="407"/>
      <c r="FJZ159" s="407"/>
      <c r="FKA159" s="407"/>
      <c r="FKB159" s="406"/>
      <c r="FKC159" s="407"/>
      <c r="FKD159" s="407"/>
      <c r="FKE159" s="407"/>
      <c r="FKF159" s="407"/>
      <c r="FKG159" s="407"/>
      <c r="FKH159" s="406"/>
      <c r="FKI159" s="407"/>
      <c r="FKJ159" s="407"/>
      <c r="FKK159" s="407"/>
      <c r="FKL159" s="407"/>
      <c r="FKM159" s="407"/>
      <c r="FKN159" s="406"/>
      <c r="FKO159" s="407"/>
      <c r="FKP159" s="407"/>
      <c r="FKQ159" s="407"/>
      <c r="FKR159" s="407"/>
      <c r="FKS159" s="407"/>
      <c r="FKT159" s="406"/>
      <c r="FKU159" s="407"/>
      <c r="FKV159" s="407"/>
      <c r="FKW159" s="407"/>
      <c r="FKX159" s="407"/>
      <c r="FKY159" s="407"/>
      <c r="FKZ159" s="406"/>
      <c r="FLA159" s="407"/>
      <c r="FLB159" s="407"/>
      <c r="FLC159" s="407"/>
      <c r="FLD159" s="407"/>
      <c r="FLE159" s="407"/>
      <c r="FLF159" s="406"/>
      <c r="FLG159" s="407"/>
      <c r="FLH159" s="407"/>
      <c r="FLI159" s="407"/>
      <c r="FLJ159" s="407"/>
      <c r="FLK159" s="407"/>
      <c r="FLL159" s="406"/>
      <c r="FLM159" s="407"/>
      <c r="FLN159" s="407"/>
      <c r="FLO159" s="407"/>
      <c r="FLP159" s="407"/>
      <c r="FLQ159" s="407"/>
      <c r="FLR159" s="406"/>
      <c r="FLS159" s="407"/>
      <c r="FLT159" s="407"/>
      <c r="FLU159" s="407"/>
      <c r="FLV159" s="407"/>
      <c r="FLW159" s="407"/>
      <c r="FLX159" s="406"/>
      <c r="FLY159" s="407"/>
      <c r="FLZ159" s="407"/>
      <c r="FMA159" s="407"/>
      <c r="FMB159" s="407"/>
      <c r="FMC159" s="407"/>
      <c r="FMD159" s="406"/>
      <c r="FME159" s="407"/>
      <c r="FMF159" s="407"/>
      <c r="FMG159" s="407"/>
      <c r="FMH159" s="407"/>
      <c r="FMI159" s="407"/>
      <c r="FMJ159" s="406"/>
      <c r="FMK159" s="407"/>
      <c r="FML159" s="407"/>
      <c r="FMM159" s="407"/>
      <c r="FMN159" s="407"/>
      <c r="FMO159" s="407"/>
      <c r="FMP159" s="406"/>
      <c r="FMQ159" s="407"/>
      <c r="FMR159" s="407"/>
      <c r="FMS159" s="407"/>
      <c r="FMT159" s="407"/>
      <c r="FMU159" s="407"/>
      <c r="FMV159" s="406"/>
      <c r="FMW159" s="407"/>
      <c r="FMX159" s="407"/>
      <c r="FMY159" s="407"/>
      <c r="FMZ159" s="407"/>
      <c r="FNA159" s="407"/>
      <c r="FNB159" s="406"/>
      <c r="FNC159" s="407"/>
      <c r="FND159" s="407"/>
      <c r="FNE159" s="407"/>
      <c r="FNF159" s="407"/>
      <c r="FNG159" s="407"/>
      <c r="FNH159" s="406"/>
      <c r="FNI159" s="407"/>
      <c r="FNJ159" s="407"/>
      <c r="FNK159" s="407"/>
      <c r="FNL159" s="407"/>
      <c r="FNM159" s="407"/>
      <c r="FNN159" s="406"/>
      <c r="FNO159" s="407"/>
      <c r="FNP159" s="407"/>
      <c r="FNQ159" s="407"/>
      <c r="FNR159" s="407"/>
      <c r="FNS159" s="407"/>
      <c r="FNT159" s="406"/>
      <c r="FNU159" s="407"/>
      <c r="FNV159" s="407"/>
      <c r="FNW159" s="407"/>
      <c r="FNX159" s="407"/>
      <c r="FNY159" s="407"/>
      <c r="FNZ159" s="406"/>
      <c r="FOA159" s="407"/>
      <c r="FOB159" s="407"/>
      <c r="FOC159" s="407"/>
      <c r="FOD159" s="407"/>
      <c r="FOE159" s="407"/>
      <c r="FOF159" s="406"/>
      <c r="FOG159" s="407"/>
      <c r="FOH159" s="407"/>
      <c r="FOI159" s="407"/>
      <c r="FOJ159" s="407"/>
      <c r="FOK159" s="407"/>
      <c r="FOL159" s="406"/>
      <c r="FOM159" s="407"/>
      <c r="FON159" s="407"/>
      <c r="FOO159" s="407"/>
      <c r="FOP159" s="407"/>
      <c r="FOQ159" s="407"/>
      <c r="FOR159" s="406"/>
      <c r="FOS159" s="407"/>
      <c r="FOT159" s="407"/>
      <c r="FOU159" s="407"/>
      <c r="FOV159" s="407"/>
      <c r="FOW159" s="407"/>
      <c r="FOX159" s="406"/>
      <c r="FOY159" s="407"/>
      <c r="FOZ159" s="407"/>
      <c r="FPA159" s="407"/>
      <c r="FPB159" s="407"/>
      <c r="FPC159" s="407"/>
      <c r="FPD159" s="406"/>
      <c r="FPE159" s="407"/>
      <c r="FPF159" s="407"/>
      <c r="FPG159" s="407"/>
      <c r="FPH159" s="407"/>
      <c r="FPI159" s="407"/>
      <c r="FPJ159" s="406"/>
      <c r="FPK159" s="407"/>
      <c r="FPL159" s="407"/>
      <c r="FPM159" s="407"/>
      <c r="FPN159" s="407"/>
      <c r="FPO159" s="407"/>
      <c r="FPP159" s="406"/>
      <c r="FPQ159" s="407"/>
      <c r="FPR159" s="407"/>
      <c r="FPS159" s="407"/>
      <c r="FPT159" s="407"/>
      <c r="FPU159" s="407"/>
      <c r="FPV159" s="406"/>
      <c r="FPW159" s="407"/>
      <c r="FPX159" s="407"/>
      <c r="FPY159" s="407"/>
      <c r="FPZ159" s="407"/>
      <c r="FQA159" s="407"/>
      <c r="FQB159" s="406"/>
      <c r="FQC159" s="407"/>
      <c r="FQD159" s="407"/>
      <c r="FQE159" s="407"/>
      <c r="FQF159" s="407"/>
      <c r="FQG159" s="407"/>
      <c r="FQH159" s="406"/>
      <c r="FQI159" s="407"/>
      <c r="FQJ159" s="407"/>
      <c r="FQK159" s="407"/>
      <c r="FQL159" s="407"/>
      <c r="FQM159" s="407"/>
      <c r="FQN159" s="406"/>
      <c r="FQO159" s="407"/>
      <c r="FQP159" s="407"/>
      <c r="FQQ159" s="407"/>
      <c r="FQR159" s="407"/>
      <c r="FQS159" s="407"/>
      <c r="FQT159" s="406"/>
      <c r="FQU159" s="407"/>
      <c r="FQV159" s="407"/>
      <c r="FQW159" s="407"/>
      <c r="FQX159" s="407"/>
      <c r="FQY159" s="407"/>
      <c r="FQZ159" s="406"/>
      <c r="FRA159" s="407"/>
      <c r="FRB159" s="407"/>
      <c r="FRC159" s="407"/>
      <c r="FRD159" s="407"/>
      <c r="FRE159" s="407"/>
      <c r="FRF159" s="406"/>
      <c r="FRG159" s="407"/>
      <c r="FRH159" s="407"/>
      <c r="FRI159" s="407"/>
      <c r="FRJ159" s="407"/>
      <c r="FRK159" s="407"/>
      <c r="FRL159" s="406"/>
      <c r="FRM159" s="407"/>
      <c r="FRN159" s="407"/>
      <c r="FRO159" s="407"/>
      <c r="FRP159" s="407"/>
      <c r="FRQ159" s="407"/>
      <c r="FRR159" s="406"/>
      <c r="FRS159" s="407"/>
      <c r="FRT159" s="407"/>
      <c r="FRU159" s="407"/>
      <c r="FRV159" s="407"/>
      <c r="FRW159" s="407"/>
      <c r="FRX159" s="406"/>
      <c r="FRY159" s="407"/>
      <c r="FRZ159" s="407"/>
      <c r="FSA159" s="407"/>
      <c r="FSB159" s="407"/>
      <c r="FSC159" s="407"/>
      <c r="FSD159" s="406"/>
      <c r="FSE159" s="407"/>
      <c r="FSF159" s="407"/>
      <c r="FSG159" s="407"/>
      <c r="FSH159" s="407"/>
      <c r="FSI159" s="407"/>
      <c r="FSJ159" s="406"/>
      <c r="FSK159" s="407"/>
      <c r="FSL159" s="407"/>
      <c r="FSM159" s="407"/>
      <c r="FSN159" s="407"/>
      <c r="FSO159" s="407"/>
      <c r="FSP159" s="406"/>
      <c r="FSQ159" s="407"/>
      <c r="FSR159" s="407"/>
      <c r="FSS159" s="407"/>
      <c r="FST159" s="407"/>
      <c r="FSU159" s="407"/>
      <c r="FSV159" s="406"/>
      <c r="FSW159" s="407"/>
      <c r="FSX159" s="407"/>
      <c r="FSY159" s="407"/>
      <c r="FSZ159" s="407"/>
      <c r="FTA159" s="407"/>
      <c r="FTB159" s="406"/>
      <c r="FTC159" s="407"/>
      <c r="FTD159" s="407"/>
      <c r="FTE159" s="407"/>
      <c r="FTF159" s="407"/>
      <c r="FTG159" s="407"/>
      <c r="FTH159" s="406"/>
      <c r="FTI159" s="407"/>
      <c r="FTJ159" s="407"/>
      <c r="FTK159" s="407"/>
      <c r="FTL159" s="407"/>
      <c r="FTM159" s="407"/>
      <c r="FTN159" s="406"/>
      <c r="FTO159" s="407"/>
      <c r="FTP159" s="407"/>
      <c r="FTQ159" s="407"/>
      <c r="FTR159" s="407"/>
      <c r="FTS159" s="407"/>
      <c r="FTT159" s="406"/>
      <c r="FTU159" s="407"/>
      <c r="FTV159" s="407"/>
      <c r="FTW159" s="407"/>
      <c r="FTX159" s="407"/>
      <c r="FTY159" s="407"/>
      <c r="FTZ159" s="406"/>
      <c r="FUA159" s="407"/>
      <c r="FUB159" s="407"/>
      <c r="FUC159" s="407"/>
      <c r="FUD159" s="407"/>
      <c r="FUE159" s="407"/>
      <c r="FUF159" s="406"/>
      <c r="FUG159" s="407"/>
      <c r="FUH159" s="407"/>
      <c r="FUI159" s="407"/>
      <c r="FUJ159" s="407"/>
      <c r="FUK159" s="407"/>
      <c r="FUL159" s="406"/>
      <c r="FUM159" s="407"/>
      <c r="FUN159" s="407"/>
      <c r="FUO159" s="407"/>
      <c r="FUP159" s="407"/>
      <c r="FUQ159" s="407"/>
      <c r="FUR159" s="406"/>
      <c r="FUS159" s="407"/>
      <c r="FUT159" s="407"/>
      <c r="FUU159" s="407"/>
      <c r="FUV159" s="407"/>
      <c r="FUW159" s="407"/>
      <c r="FUX159" s="406"/>
      <c r="FUY159" s="407"/>
      <c r="FUZ159" s="407"/>
      <c r="FVA159" s="407"/>
      <c r="FVB159" s="407"/>
      <c r="FVC159" s="407"/>
      <c r="FVD159" s="406"/>
      <c r="FVE159" s="407"/>
      <c r="FVF159" s="407"/>
      <c r="FVG159" s="407"/>
      <c r="FVH159" s="407"/>
      <c r="FVI159" s="407"/>
      <c r="FVJ159" s="406"/>
      <c r="FVK159" s="407"/>
      <c r="FVL159" s="407"/>
      <c r="FVM159" s="407"/>
      <c r="FVN159" s="407"/>
      <c r="FVO159" s="407"/>
      <c r="FVP159" s="406"/>
      <c r="FVQ159" s="407"/>
      <c r="FVR159" s="407"/>
      <c r="FVS159" s="407"/>
      <c r="FVT159" s="407"/>
      <c r="FVU159" s="407"/>
      <c r="FVV159" s="406"/>
      <c r="FVW159" s="407"/>
      <c r="FVX159" s="407"/>
      <c r="FVY159" s="407"/>
      <c r="FVZ159" s="407"/>
      <c r="FWA159" s="407"/>
      <c r="FWB159" s="406"/>
      <c r="FWC159" s="407"/>
      <c r="FWD159" s="407"/>
      <c r="FWE159" s="407"/>
      <c r="FWF159" s="407"/>
      <c r="FWG159" s="407"/>
      <c r="FWH159" s="406"/>
      <c r="FWI159" s="407"/>
      <c r="FWJ159" s="407"/>
      <c r="FWK159" s="407"/>
      <c r="FWL159" s="407"/>
      <c r="FWM159" s="407"/>
      <c r="FWN159" s="406"/>
      <c r="FWO159" s="407"/>
      <c r="FWP159" s="407"/>
      <c r="FWQ159" s="407"/>
      <c r="FWR159" s="407"/>
      <c r="FWS159" s="407"/>
      <c r="FWT159" s="406"/>
      <c r="FWU159" s="407"/>
      <c r="FWV159" s="407"/>
      <c r="FWW159" s="407"/>
      <c r="FWX159" s="407"/>
      <c r="FWY159" s="407"/>
      <c r="FWZ159" s="406"/>
      <c r="FXA159" s="407"/>
      <c r="FXB159" s="407"/>
      <c r="FXC159" s="407"/>
      <c r="FXD159" s="407"/>
      <c r="FXE159" s="407"/>
      <c r="FXF159" s="406"/>
      <c r="FXG159" s="407"/>
      <c r="FXH159" s="407"/>
      <c r="FXI159" s="407"/>
      <c r="FXJ159" s="407"/>
      <c r="FXK159" s="407"/>
      <c r="FXL159" s="406"/>
      <c r="FXM159" s="407"/>
      <c r="FXN159" s="407"/>
      <c r="FXO159" s="407"/>
      <c r="FXP159" s="407"/>
      <c r="FXQ159" s="407"/>
      <c r="FXR159" s="406"/>
      <c r="FXS159" s="407"/>
      <c r="FXT159" s="407"/>
      <c r="FXU159" s="407"/>
      <c r="FXV159" s="407"/>
      <c r="FXW159" s="407"/>
      <c r="FXX159" s="406"/>
      <c r="FXY159" s="407"/>
      <c r="FXZ159" s="407"/>
      <c r="FYA159" s="407"/>
      <c r="FYB159" s="407"/>
      <c r="FYC159" s="407"/>
      <c r="FYD159" s="406"/>
      <c r="FYE159" s="407"/>
      <c r="FYF159" s="407"/>
      <c r="FYG159" s="407"/>
      <c r="FYH159" s="407"/>
      <c r="FYI159" s="407"/>
      <c r="FYJ159" s="406"/>
      <c r="FYK159" s="407"/>
      <c r="FYL159" s="407"/>
      <c r="FYM159" s="407"/>
      <c r="FYN159" s="407"/>
      <c r="FYO159" s="407"/>
      <c r="FYP159" s="406"/>
      <c r="FYQ159" s="407"/>
      <c r="FYR159" s="407"/>
      <c r="FYS159" s="407"/>
      <c r="FYT159" s="407"/>
      <c r="FYU159" s="407"/>
      <c r="FYV159" s="406"/>
      <c r="FYW159" s="407"/>
      <c r="FYX159" s="407"/>
      <c r="FYY159" s="407"/>
      <c r="FYZ159" s="407"/>
      <c r="FZA159" s="407"/>
      <c r="FZB159" s="406"/>
      <c r="FZC159" s="407"/>
      <c r="FZD159" s="407"/>
      <c r="FZE159" s="407"/>
      <c r="FZF159" s="407"/>
      <c r="FZG159" s="407"/>
      <c r="FZH159" s="406"/>
      <c r="FZI159" s="407"/>
      <c r="FZJ159" s="407"/>
      <c r="FZK159" s="407"/>
      <c r="FZL159" s="407"/>
      <c r="FZM159" s="407"/>
      <c r="FZN159" s="406"/>
      <c r="FZO159" s="407"/>
      <c r="FZP159" s="407"/>
      <c r="FZQ159" s="407"/>
      <c r="FZR159" s="407"/>
      <c r="FZS159" s="407"/>
      <c r="FZT159" s="406"/>
      <c r="FZU159" s="407"/>
      <c r="FZV159" s="407"/>
      <c r="FZW159" s="407"/>
      <c r="FZX159" s="407"/>
      <c r="FZY159" s="407"/>
      <c r="FZZ159" s="406"/>
      <c r="GAA159" s="407"/>
      <c r="GAB159" s="407"/>
      <c r="GAC159" s="407"/>
      <c r="GAD159" s="407"/>
      <c r="GAE159" s="407"/>
      <c r="GAF159" s="406"/>
      <c r="GAG159" s="407"/>
      <c r="GAH159" s="407"/>
      <c r="GAI159" s="407"/>
      <c r="GAJ159" s="407"/>
      <c r="GAK159" s="407"/>
      <c r="GAL159" s="406"/>
      <c r="GAM159" s="407"/>
      <c r="GAN159" s="407"/>
      <c r="GAO159" s="407"/>
      <c r="GAP159" s="407"/>
      <c r="GAQ159" s="407"/>
      <c r="GAR159" s="406"/>
      <c r="GAS159" s="407"/>
      <c r="GAT159" s="407"/>
      <c r="GAU159" s="407"/>
      <c r="GAV159" s="407"/>
      <c r="GAW159" s="407"/>
      <c r="GAX159" s="406"/>
      <c r="GAY159" s="407"/>
      <c r="GAZ159" s="407"/>
      <c r="GBA159" s="407"/>
      <c r="GBB159" s="407"/>
      <c r="GBC159" s="407"/>
      <c r="GBD159" s="406"/>
      <c r="GBE159" s="407"/>
      <c r="GBF159" s="407"/>
      <c r="GBG159" s="407"/>
      <c r="GBH159" s="407"/>
      <c r="GBI159" s="407"/>
      <c r="GBJ159" s="406"/>
      <c r="GBK159" s="407"/>
      <c r="GBL159" s="407"/>
      <c r="GBM159" s="407"/>
      <c r="GBN159" s="407"/>
      <c r="GBO159" s="407"/>
      <c r="GBP159" s="406"/>
      <c r="GBQ159" s="407"/>
      <c r="GBR159" s="407"/>
      <c r="GBS159" s="407"/>
      <c r="GBT159" s="407"/>
      <c r="GBU159" s="407"/>
      <c r="GBV159" s="406"/>
      <c r="GBW159" s="407"/>
      <c r="GBX159" s="407"/>
      <c r="GBY159" s="407"/>
      <c r="GBZ159" s="407"/>
      <c r="GCA159" s="407"/>
      <c r="GCB159" s="406"/>
      <c r="GCC159" s="407"/>
      <c r="GCD159" s="407"/>
      <c r="GCE159" s="407"/>
      <c r="GCF159" s="407"/>
      <c r="GCG159" s="407"/>
      <c r="GCH159" s="406"/>
      <c r="GCI159" s="407"/>
      <c r="GCJ159" s="407"/>
      <c r="GCK159" s="407"/>
      <c r="GCL159" s="407"/>
      <c r="GCM159" s="407"/>
      <c r="GCN159" s="406"/>
      <c r="GCO159" s="407"/>
      <c r="GCP159" s="407"/>
      <c r="GCQ159" s="407"/>
      <c r="GCR159" s="407"/>
      <c r="GCS159" s="407"/>
      <c r="GCT159" s="406"/>
      <c r="GCU159" s="407"/>
      <c r="GCV159" s="407"/>
      <c r="GCW159" s="407"/>
      <c r="GCX159" s="407"/>
      <c r="GCY159" s="407"/>
      <c r="GCZ159" s="406"/>
      <c r="GDA159" s="407"/>
      <c r="GDB159" s="407"/>
      <c r="GDC159" s="407"/>
      <c r="GDD159" s="407"/>
      <c r="GDE159" s="407"/>
      <c r="GDF159" s="406"/>
      <c r="GDG159" s="407"/>
      <c r="GDH159" s="407"/>
      <c r="GDI159" s="407"/>
      <c r="GDJ159" s="407"/>
      <c r="GDK159" s="407"/>
      <c r="GDL159" s="406"/>
      <c r="GDM159" s="407"/>
      <c r="GDN159" s="407"/>
      <c r="GDO159" s="407"/>
      <c r="GDP159" s="407"/>
      <c r="GDQ159" s="407"/>
      <c r="GDR159" s="406"/>
      <c r="GDS159" s="407"/>
      <c r="GDT159" s="407"/>
      <c r="GDU159" s="407"/>
      <c r="GDV159" s="407"/>
      <c r="GDW159" s="407"/>
      <c r="GDX159" s="406"/>
      <c r="GDY159" s="407"/>
      <c r="GDZ159" s="407"/>
      <c r="GEA159" s="407"/>
      <c r="GEB159" s="407"/>
      <c r="GEC159" s="407"/>
      <c r="GED159" s="406"/>
      <c r="GEE159" s="407"/>
      <c r="GEF159" s="407"/>
      <c r="GEG159" s="407"/>
      <c r="GEH159" s="407"/>
      <c r="GEI159" s="407"/>
      <c r="GEJ159" s="406"/>
      <c r="GEK159" s="407"/>
      <c r="GEL159" s="407"/>
      <c r="GEM159" s="407"/>
      <c r="GEN159" s="407"/>
      <c r="GEO159" s="407"/>
      <c r="GEP159" s="406"/>
      <c r="GEQ159" s="407"/>
      <c r="GER159" s="407"/>
      <c r="GES159" s="407"/>
      <c r="GET159" s="407"/>
      <c r="GEU159" s="407"/>
      <c r="GEV159" s="406"/>
      <c r="GEW159" s="407"/>
      <c r="GEX159" s="407"/>
      <c r="GEY159" s="407"/>
      <c r="GEZ159" s="407"/>
      <c r="GFA159" s="407"/>
      <c r="GFB159" s="406"/>
      <c r="GFC159" s="407"/>
      <c r="GFD159" s="407"/>
      <c r="GFE159" s="407"/>
      <c r="GFF159" s="407"/>
      <c r="GFG159" s="407"/>
      <c r="GFH159" s="406"/>
      <c r="GFI159" s="407"/>
      <c r="GFJ159" s="407"/>
      <c r="GFK159" s="407"/>
      <c r="GFL159" s="407"/>
      <c r="GFM159" s="407"/>
      <c r="GFN159" s="406"/>
      <c r="GFO159" s="407"/>
      <c r="GFP159" s="407"/>
      <c r="GFQ159" s="407"/>
      <c r="GFR159" s="407"/>
      <c r="GFS159" s="407"/>
      <c r="GFT159" s="406"/>
      <c r="GFU159" s="407"/>
      <c r="GFV159" s="407"/>
      <c r="GFW159" s="407"/>
      <c r="GFX159" s="407"/>
      <c r="GFY159" s="407"/>
      <c r="GFZ159" s="406"/>
      <c r="GGA159" s="407"/>
      <c r="GGB159" s="407"/>
      <c r="GGC159" s="407"/>
      <c r="GGD159" s="407"/>
      <c r="GGE159" s="407"/>
      <c r="GGF159" s="406"/>
      <c r="GGG159" s="407"/>
      <c r="GGH159" s="407"/>
      <c r="GGI159" s="407"/>
      <c r="GGJ159" s="407"/>
      <c r="GGK159" s="407"/>
      <c r="GGL159" s="406"/>
      <c r="GGM159" s="407"/>
      <c r="GGN159" s="407"/>
      <c r="GGO159" s="407"/>
      <c r="GGP159" s="407"/>
      <c r="GGQ159" s="407"/>
      <c r="GGR159" s="406"/>
      <c r="GGS159" s="407"/>
      <c r="GGT159" s="407"/>
      <c r="GGU159" s="407"/>
      <c r="GGV159" s="407"/>
      <c r="GGW159" s="407"/>
      <c r="GGX159" s="406"/>
      <c r="GGY159" s="407"/>
      <c r="GGZ159" s="407"/>
      <c r="GHA159" s="407"/>
      <c r="GHB159" s="407"/>
      <c r="GHC159" s="407"/>
      <c r="GHD159" s="406"/>
      <c r="GHE159" s="407"/>
      <c r="GHF159" s="407"/>
      <c r="GHG159" s="407"/>
      <c r="GHH159" s="407"/>
      <c r="GHI159" s="407"/>
      <c r="GHJ159" s="406"/>
      <c r="GHK159" s="407"/>
      <c r="GHL159" s="407"/>
      <c r="GHM159" s="407"/>
      <c r="GHN159" s="407"/>
      <c r="GHO159" s="407"/>
      <c r="GHP159" s="406"/>
      <c r="GHQ159" s="407"/>
      <c r="GHR159" s="407"/>
      <c r="GHS159" s="407"/>
      <c r="GHT159" s="407"/>
      <c r="GHU159" s="407"/>
      <c r="GHV159" s="406"/>
      <c r="GHW159" s="407"/>
      <c r="GHX159" s="407"/>
      <c r="GHY159" s="407"/>
      <c r="GHZ159" s="407"/>
      <c r="GIA159" s="407"/>
      <c r="GIB159" s="406"/>
      <c r="GIC159" s="407"/>
      <c r="GID159" s="407"/>
      <c r="GIE159" s="407"/>
      <c r="GIF159" s="407"/>
      <c r="GIG159" s="407"/>
      <c r="GIH159" s="406"/>
      <c r="GII159" s="407"/>
      <c r="GIJ159" s="407"/>
      <c r="GIK159" s="407"/>
      <c r="GIL159" s="407"/>
      <c r="GIM159" s="407"/>
      <c r="GIN159" s="406"/>
      <c r="GIO159" s="407"/>
      <c r="GIP159" s="407"/>
      <c r="GIQ159" s="407"/>
      <c r="GIR159" s="407"/>
      <c r="GIS159" s="407"/>
      <c r="GIT159" s="406"/>
      <c r="GIU159" s="407"/>
      <c r="GIV159" s="407"/>
      <c r="GIW159" s="407"/>
      <c r="GIX159" s="407"/>
      <c r="GIY159" s="407"/>
      <c r="GIZ159" s="406"/>
      <c r="GJA159" s="407"/>
      <c r="GJB159" s="407"/>
      <c r="GJC159" s="407"/>
      <c r="GJD159" s="407"/>
      <c r="GJE159" s="407"/>
      <c r="GJF159" s="406"/>
      <c r="GJG159" s="407"/>
      <c r="GJH159" s="407"/>
      <c r="GJI159" s="407"/>
      <c r="GJJ159" s="407"/>
      <c r="GJK159" s="407"/>
      <c r="GJL159" s="406"/>
      <c r="GJM159" s="407"/>
      <c r="GJN159" s="407"/>
      <c r="GJO159" s="407"/>
      <c r="GJP159" s="407"/>
      <c r="GJQ159" s="407"/>
      <c r="GJR159" s="406"/>
      <c r="GJS159" s="407"/>
      <c r="GJT159" s="407"/>
      <c r="GJU159" s="407"/>
      <c r="GJV159" s="407"/>
      <c r="GJW159" s="407"/>
      <c r="GJX159" s="406"/>
      <c r="GJY159" s="407"/>
      <c r="GJZ159" s="407"/>
      <c r="GKA159" s="407"/>
      <c r="GKB159" s="407"/>
      <c r="GKC159" s="407"/>
      <c r="GKD159" s="406"/>
      <c r="GKE159" s="407"/>
      <c r="GKF159" s="407"/>
      <c r="GKG159" s="407"/>
      <c r="GKH159" s="407"/>
      <c r="GKI159" s="407"/>
      <c r="GKJ159" s="406"/>
      <c r="GKK159" s="407"/>
      <c r="GKL159" s="407"/>
      <c r="GKM159" s="407"/>
      <c r="GKN159" s="407"/>
      <c r="GKO159" s="407"/>
      <c r="GKP159" s="406"/>
      <c r="GKQ159" s="407"/>
      <c r="GKR159" s="407"/>
      <c r="GKS159" s="407"/>
      <c r="GKT159" s="407"/>
      <c r="GKU159" s="407"/>
      <c r="GKV159" s="406"/>
      <c r="GKW159" s="407"/>
      <c r="GKX159" s="407"/>
      <c r="GKY159" s="407"/>
      <c r="GKZ159" s="407"/>
      <c r="GLA159" s="407"/>
      <c r="GLB159" s="406"/>
      <c r="GLC159" s="407"/>
      <c r="GLD159" s="407"/>
      <c r="GLE159" s="407"/>
      <c r="GLF159" s="407"/>
      <c r="GLG159" s="407"/>
      <c r="GLH159" s="406"/>
      <c r="GLI159" s="407"/>
      <c r="GLJ159" s="407"/>
      <c r="GLK159" s="407"/>
      <c r="GLL159" s="407"/>
      <c r="GLM159" s="407"/>
      <c r="GLN159" s="406"/>
      <c r="GLO159" s="407"/>
      <c r="GLP159" s="407"/>
      <c r="GLQ159" s="407"/>
      <c r="GLR159" s="407"/>
      <c r="GLS159" s="407"/>
      <c r="GLT159" s="406"/>
      <c r="GLU159" s="407"/>
      <c r="GLV159" s="407"/>
      <c r="GLW159" s="407"/>
      <c r="GLX159" s="407"/>
      <c r="GLY159" s="407"/>
      <c r="GLZ159" s="406"/>
      <c r="GMA159" s="407"/>
      <c r="GMB159" s="407"/>
      <c r="GMC159" s="407"/>
      <c r="GMD159" s="407"/>
      <c r="GME159" s="407"/>
      <c r="GMF159" s="406"/>
      <c r="GMG159" s="407"/>
      <c r="GMH159" s="407"/>
      <c r="GMI159" s="407"/>
      <c r="GMJ159" s="407"/>
      <c r="GMK159" s="407"/>
      <c r="GML159" s="406"/>
      <c r="GMM159" s="407"/>
      <c r="GMN159" s="407"/>
      <c r="GMO159" s="407"/>
      <c r="GMP159" s="407"/>
      <c r="GMQ159" s="407"/>
      <c r="GMR159" s="406"/>
      <c r="GMS159" s="407"/>
      <c r="GMT159" s="407"/>
      <c r="GMU159" s="407"/>
      <c r="GMV159" s="407"/>
      <c r="GMW159" s="407"/>
      <c r="GMX159" s="406"/>
      <c r="GMY159" s="407"/>
      <c r="GMZ159" s="407"/>
      <c r="GNA159" s="407"/>
      <c r="GNB159" s="407"/>
      <c r="GNC159" s="407"/>
      <c r="GND159" s="406"/>
      <c r="GNE159" s="407"/>
      <c r="GNF159" s="407"/>
      <c r="GNG159" s="407"/>
      <c r="GNH159" s="407"/>
      <c r="GNI159" s="407"/>
      <c r="GNJ159" s="406"/>
      <c r="GNK159" s="407"/>
      <c r="GNL159" s="407"/>
      <c r="GNM159" s="407"/>
      <c r="GNN159" s="407"/>
      <c r="GNO159" s="407"/>
      <c r="GNP159" s="406"/>
      <c r="GNQ159" s="407"/>
      <c r="GNR159" s="407"/>
      <c r="GNS159" s="407"/>
      <c r="GNT159" s="407"/>
      <c r="GNU159" s="407"/>
      <c r="GNV159" s="406"/>
      <c r="GNW159" s="407"/>
      <c r="GNX159" s="407"/>
      <c r="GNY159" s="407"/>
      <c r="GNZ159" s="407"/>
      <c r="GOA159" s="407"/>
      <c r="GOB159" s="406"/>
      <c r="GOC159" s="407"/>
      <c r="GOD159" s="407"/>
      <c r="GOE159" s="407"/>
      <c r="GOF159" s="407"/>
      <c r="GOG159" s="407"/>
      <c r="GOH159" s="406"/>
      <c r="GOI159" s="407"/>
      <c r="GOJ159" s="407"/>
      <c r="GOK159" s="407"/>
      <c r="GOL159" s="407"/>
      <c r="GOM159" s="407"/>
      <c r="GON159" s="406"/>
      <c r="GOO159" s="407"/>
      <c r="GOP159" s="407"/>
      <c r="GOQ159" s="407"/>
      <c r="GOR159" s="407"/>
      <c r="GOS159" s="407"/>
      <c r="GOT159" s="406"/>
      <c r="GOU159" s="407"/>
      <c r="GOV159" s="407"/>
      <c r="GOW159" s="407"/>
      <c r="GOX159" s="407"/>
      <c r="GOY159" s="407"/>
      <c r="GOZ159" s="406"/>
      <c r="GPA159" s="407"/>
      <c r="GPB159" s="407"/>
      <c r="GPC159" s="407"/>
      <c r="GPD159" s="407"/>
      <c r="GPE159" s="407"/>
      <c r="GPF159" s="406"/>
      <c r="GPG159" s="407"/>
      <c r="GPH159" s="407"/>
      <c r="GPI159" s="407"/>
      <c r="GPJ159" s="407"/>
      <c r="GPK159" s="407"/>
      <c r="GPL159" s="406"/>
      <c r="GPM159" s="407"/>
      <c r="GPN159" s="407"/>
      <c r="GPO159" s="407"/>
      <c r="GPP159" s="407"/>
      <c r="GPQ159" s="407"/>
      <c r="GPR159" s="406"/>
      <c r="GPS159" s="407"/>
      <c r="GPT159" s="407"/>
      <c r="GPU159" s="407"/>
      <c r="GPV159" s="407"/>
      <c r="GPW159" s="407"/>
      <c r="GPX159" s="406"/>
      <c r="GPY159" s="407"/>
      <c r="GPZ159" s="407"/>
      <c r="GQA159" s="407"/>
      <c r="GQB159" s="407"/>
      <c r="GQC159" s="407"/>
      <c r="GQD159" s="406"/>
      <c r="GQE159" s="407"/>
      <c r="GQF159" s="407"/>
      <c r="GQG159" s="407"/>
      <c r="GQH159" s="407"/>
      <c r="GQI159" s="407"/>
      <c r="GQJ159" s="406"/>
      <c r="GQK159" s="407"/>
      <c r="GQL159" s="407"/>
      <c r="GQM159" s="407"/>
      <c r="GQN159" s="407"/>
      <c r="GQO159" s="407"/>
      <c r="GQP159" s="406"/>
      <c r="GQQ159" s="407"/>
      <c r="GQR159" s="407"/>
      <c r="GQS159" s="407"/>
      <c r="GQT159" s="407"/>
      <c r="GQU159" s="407"/>
      <c r="GQV159" s="406"/>
      <c r="GQW159" s="407"/>
      <c r="GQX159" s="407"/>
      <c r="GQY159" s="407"/>
      <c r="GQZ159" s="407"/>
      <c r="GRA159" s="407"/>
      <c r="GRB159" s="406"/>
      <c r="GRC159" s="407"/>
      <c r="GRD159" s="407"/>
      <c r="GRE159" s="407"/>
      <c r="GRF159" s="407"/>
      <c r="GRG159" s="407"/>
      <c r="GRH159" s="406"/>
      <c r="GRI159" s="407"/>
      <c r="GRJ159" s="407"/>
      <c r="GRK159" s="407"/>
      <c r="GRL159" s="407"/>
      <c r="GRM159" s="407"/>
      <c r="GRN159" s="406"/>
      <c r="GRO159" s="407"/>
      <c r="GRP159" s="407"/>
      <c r="GRQ159" s="407"/>
      <c r="GRR159" s="407"/>
      <c r="GRS159" s="407"/>
      <c r="GRT159" s="406"/>
      <c r="GRU159" s="407"/>
      <c r="GRV159" s="407"/>
      <c r="GRW159" s="407"/>
      <c r="GRX159" s="407"/>
      <c r="GRY159" s="407"/>
      <c r="GRZ159" s="406"/>
      <c r="GSA159" s="407"/>
      <c r="GSB159" s="407"/>
      <c r="GSC159" s="407"/>
      <c r="GSD159" s="407"/>
      <c r="GSE159" s="407"/>
      <c r="GSF159" s="406"/>
      <c r="GSG159" s="407"/>
      <c r="GSH159" s="407"/>
      <c r="GSI159" s="407"/>
      <c r="GSJ159" s="407"/>
      <c r="GSK159" s="407"/>
      <c r="GSL159" s="406"/>
      <c r="GSM159" s="407"/>
      <c r="GSN159" s="407"/>
      <c r="GSO159" s="407"/>
      <c r="GSP159" s="407"/>
      <c r="GSQ159" s="407"/>
      <c r="GSR159" s="406"/>
      <c r="GSS159" s="407"/>
      <c r="GST159" s="407"/>
      <c r="GSU159" s="407"/>
      <c r="GSV159" s="407"/>
      <c r="GSW159" s="407"/>
      <c r="GSX159" s="406"/>
      <c r="GSY159" s="407"/>
      <c r="GSZ159" s="407"/>
      <c r="GTA159" s="407"/>
      <c r="GTB159" s="407"/>
      <c r="GTC159" s="407"/>
      <c r="GTD159" s="406"/>
      <c r="GTE159" s="407"/>
      <c r="GTF159" s="407"/>
      <c r="GTG159" s="407"/>
      <c r="GTH159" s="407"/>
      <c r="GTI159" s="407"/>
      <c r="GTJ159" s="406"/>
      <c r="GTK159" s="407"/>
      <c r="GTL159" s="407"/>
      <c r="GTM159" s="407"/>
      <c r="GTN159" s="407"/>
      <c r="GTO159" s="407"/>
      <c r="GTP159" s="406"/>
      <c r="GTQ159" s="407"/>
      <c r="GTR159" s="407"/>
      <c r="GTS159" s="407"/>
      <c r="GTT159" s="407"/>
      <c r="GTU159" s="407"/>
      <c r="GTV159" s="406"/>
      <c r="GTW159" s="407"/>
      <c r="GTX159" s="407"/>
      <c r="GTY159" s="407"/>
      <c r="GTZ159" s="407"/>
      <c r="GUA159" s="407"/>
      <c r="GUB159" s="406"/>
      <c r="GUC159" s="407"/>
      <c r="GUD159" s="407"/>
      <c r="GUE159" s="407"/>
      <c r="GUF159" s="407"/>
      <c r="GUG159" s="407"/>
      <c r="GUH159" s="406"/>
      <c r="GUI159" s="407"/>
      <c r="GUJ159" s="407"/>
      <c r="GUK159" s="407"/>
      <c r="GUL159" s="407"/>
      <c r="GUM159" s="407"/>
      <c r="GUN159" s="406"/>
      <c r="GUO159" s="407"/>
      <c r="GUP159" s="407"/>
      <c r="GUQ159" s="407"/>
      <c r="GUR159" s="407"/>
      <c r="GUS159" s="407"/>
      <c r="GUT159" s="406"/>
      <c r="GUU159" s="407"/>
      <c r="GUV159" s="407"/>
      <c r="GUW159" s="407"/>
      <c r="GUX159" s="407"/>
      <c r="GUY159" s="407"/>
      <c r="GUZ159" s="406"/>
      <c r="GVA159" s="407"/>
      <c r="GVB159" s="407"/>
      <c r="GVC159" s="407"/>
      <c r="GVD159" s="407"/>
      <c r="GVE159" s="407"/>
      <c r="GVF159" s="406"/>
      <c r="GVG159" s="407"/>
      <c r="GVH159" s="407"/>
      <c r="GVI159" s="407"/>
      <c r="GVJ159" s="407"/>
      <c r="GVK159" s="407"/>
      <c r="GVL159" s="406"/>
      <c r="GVM159" s="407"/>
      <c r="GVN159" s="407"/>
      <c r="GVO159" s="407"/>
      <c r="GVP159" s="407"/>
      <c r="GVQ159" s="407"/>
      <c r="GVR159" s="406"/>
      <c r="GVS159" s="407"/>
      <c r="GVT159" s="407"/>
      <c r="GVU159" s="407"/>
      <c r="GVV159" s="407"/>
      <c r="GVW159" s="407"/>
      <c r="GVX159" s="406"/>
      <c r="GVY159" s="407"/>
      <c r="GVZ159" s="407"/>
      <c r="GWA159" s="407"/>
      <c r="GWB159" s="407"/>
      <c r="GWC159" s="407"/>
      <c r="GWD159" s="406"/>
      <c r="GWE159" s="407"/>
      <c r="GWF159" s="407"/>
      <c r="GWG159" s="407"/>
      <c r="GWH159" s="407"/>
      <c r="GWI159" s="407"/>
      <c r="GWJ159" s="406"/>
      <c r="GWK159" s="407"/>
      <c r="GWL159" s="407"/>
      <c r="GWM159" s="407"/>
      <c r="GWN159" s="407"/>
      <c r="GWO159" s="407"/>
      <c r="GWP159" s="406"/>
      <c r="GWQ159" s="407"/>
      <c r="GWR159" s="407"/>
      <c r="GWS159" s="407"/>
      <c r="GWT159" s="407"/>
      <c r="GWU159" s="407"/>
      <c r="GWV159" s="406"/>
      <c r="GWW159" s="407"/>
      <c r="GWX159" s="407"/>
      <c r="GWY159" s="407"/>
      <c r="GWZ159" s="407"/>
      <c r="GXA159" s="407"/>
      <c r="GXB159" s="406"/>
      <c r="GXC159" s="407"/>
      <c r="GXD159" s="407"/>
      <c r="GXE159" s="407"/>
      <c r="GXF159" s="407"/>
      <c r="GXG159" s="407"/>
      <c r="GXH159" s="406"/>
      <c r="GXI159" s="407"/>
      <c r="GXJ159" s="407"/>
      <c r="GXK159" s="407"/>
      <c r="GXL159" s="407"/>
      <c r="GXM159" s="407"/>
      <c r="GXN159" s="406"/>
      <c r="GXO159" s="407"/>
      <c r="GXP159" s="407"/>
      <c r="GXQ159" s="407"/>
      <c r="GXR159" s="407"/>
      <c r="GXS159" s="407"/>
      <c r="GXT159" s="406"/>
      <c r="GXU159" s="407"/>
      <c r="GXV159" s="407"/>
      <c r="GXW159" s="407"/>
      <c r="GXX159" s="407"/>
      <c r="GXY159" s="407"/>
      <c r="GXZ159" s="406"/>
      <c r="GYA159" s="407"/>
      <c r="GYB159" s="407"/>
      <c r="GYC159" s="407"/>
      <c r="GYD159" s="407"/>
      <c r="GYE159" s="407"/>
      <c r="GYF159" s="406"/>
      <c r="GYG159" s="407"/>
      <c r="GYH159" s="407"/>
      <c r="GYI159" s="407"/>
      <c r="GYJ159" s="407"/>
      <c r="GYK159" s="407"/>
      <c r="GYL159" s="406"/>
      <c r="GYM159" s="407"/>
      <c r="GYN159" s="407"/>
      <c r="GYO159" s="407"/>
      <c r="GYP159" s="407"/>
      <c r="GYQ159" s="407"/>
      <c r="GYR159" s="406"/>
      <c r="GYS159" s="407"/>
      <c r="GYT159" s="407"/>
      <c r="GYU159" s="407"/>
      <c r="GYV159" s="407"/>
      <c r="GYW159" s="407"/>
      <c r="GYX159" s="406"/>
      <c r="GYY159" s="407"/>
      <c r="GYZ159" s="407"/>
      <c r="GZA159" s="407"/>
      <c r="GZB159" s="407"/>
      <c r="GZC159" s="407"/>
      <c r="GZD159" s="406"/>
      <c r="GZE159" s="407"/>
      <c r="GZF159" s="407"/>
      <c r="GZG159" s="407"/>
      <c r="GZH159" s="407"/>
      <c r="GZI159" s="407"/>
      <c r="GZJ159" s="406"/>
      <c r="GZK159" s="407"/>
      <c r="GZL159" s="407"/>
      <c r="GZM159" s="407"/>
      <c r="GZN159" s="407"/>
      <c r="GZO159" s="407"/>
      <c r="GZP159" s="406"/>
      <c r="GZQ159" s="407"/>
      <c r="GZR159" s="407"/>
      <c r="GZS159" s="407"/>
      <c r="GZT159" s="407"/>
      <c r="GZU159" s="407"/>
      <c r="GZV159" s="406"/>
      <c r="GZW159" s="407"/>
      <c r="GZX159" s="407"/>
      <c r="GZY159" s="407"/>
      <c r="GZZ159" s="407"/>
      <c r="HAA159" s="407"/>
      <c r="HAB159" s="406"/>
      <c r="HAC159" s="407"/>
      <c r="HAD159" s="407"/>
      <c r="HAE159" s="407"/>
      <c r="HAF159" s="407"/>
      <c r="HAG159" s="407"/>
      <c r="HAH159" s="406"/>
      <c r="HAI159" s="407"/>
      <c r="HAJ159" s="407"/>
      <c r="HAK159" s="407"/>
      <c r="HAL159" s="407"/>
      <c r="HAM159" s="407"/>
      <c r="HAN159" s="406"/>
      <c r="HAO159" s="407"/>
      <c r="HAP159" s="407"/>
      <c r="HAQ159" s="407"/>
      <c r="HAR159" s="407"/>
      <c r="HAS159" s="407"/>
      <c r="HAT159" s="406"/>
      <c r="HAU159" s="407"/>
      <c r="HAV159" s="407"/>
      <c r="HAW159" s="407"/>
      <c r="HAX159" s="407"/>
      <c r="HAY159" s="407"/>
      <c r="HAZ159" s="406"/>
      <c r="HBA159" s="407"/>
      <c r="HBB159" s="407"/>
      <c r="HBC159" s="407"/>
      <c r="HBD159" s="407"/>
      <c r="HBE159" s="407"/>
      <c r="HBF159" s="406"/>
      <c r="HBG159" s="407"/>
      <c r="HBH159" s="407"/>
      <c r="HBI159" s="407"/>
      <c r="HBJ159" s="407"/>
      <c r="HBK159" s="407"/>
      <c r="HBL159" s="406"/>
      <c r="HBM159" s="407"/>
      <c r="HBN159" s="407"/>
      <c r="HBO159" s="407"/>
      <c r="HBP159" s="407"/>
      <c r="HBQ159" s="407"/>
      <c r="HBR159" s="406"/>
      <c r="HBS159" s="407"/>
      <c r="HBT159" s="407"/>
      <c r="HBU159" s="407"/>
      <c r="HBV159" s="407"/>
      <c r="HBW159" s="407"/>
      <c r="HBX159" s="406"/>
      <c r="HBY159" s="407"/>
      <c r="HBZ159" s="407"/>
      <c r="HCA159" s="407"/>
      <c r="HCB159" s="407"/>
      <c r="HCC159" s="407"/>
      <c r="HCD159" s="406"/>
      <c r="HCE159" s="407"/>
      <c r="HCF159" s="407"/>
      <c r="HCG159" s="407"/>
      <c r="HCH159" s="407"/>
      <c r="HCI159" s="407"/>
      <c r="HCJ159" s="406"/>
      <c r="HCK159" s="407"/>
      <c r="HCL159" s="407"/>
      <c r="HCM159" s="407"/>
      <c r="HCN159" s="407"/>
      <c r="HCO159" s="407"/>
      <c r="HCP159" s="406"/>
      <c r="HCQ159" s="407"/>
      <c r="HCR159" s="407"/>
      <c r="HCS159" s="407"/>
      <c r="HCT159" s="407"/>
      <c r="HCU159" s="407"/>
      <c r="HCV159" s="406"/>
      <c r="HCW159" s="407"/>
      <c r="HCX159" s="407"/>
      <c r="HCY159" s="407"/>
      <c r="HCZ159" s="407"/>
      <c r="HDA159" s="407"/>
      <c r="HDB159" s="406"/>
      <c r="HDC159" s="407"/>
      <c r="HDD159" s="407"/>
      <c r="HDE159" s="407"/>
      <c r="HDF159" s="407"/>
      <c r="HDG159" s="407"/>
      <c r="HDH159" s="406"/>
      <c r="HDI159" s="407"/>
      <c r="HDJ159" s="407"/>
      <c r="HDK159" s="407"/>
      <c r="HDL159" s="407"/>
      <c r="HDM159" s="407"/>
      <c r="HDN159" s="406"/>
      <c r="HDO159" s="407"/>
      <c r="HDP159" s="407"/>
      <c r="HDQ159" s="407"/>
      <c r="HDR159" s="407"/>
      <c r="HDS159" s="407"/>
      <c r="HDT159" s="406"/>
      <c r="HDU159" s="407"/>
      <c r="HDV159" s="407"/>
      <c r="HDW159" s="407"/>
      <c r="HDX159" s="407"/>
      <c r="HDY159" s="407"/>
      <c r="HDZ159" s="406"/>
      <c r="HEA159" s="407"/>
      <c r="HEB159" s="407"/>
      <c r="HEC159" s="407"/>
      <c r="HED159" s="407"/>
      <c r="HEE159" s="407"/>
      <c r="HEF159" s="406"/>
      <c r="HEG159" s="407"/>
      <c r="HEH159" s="407"/>
      <c r="HEI159" s="407"/>
      <c r="HEJ159" s="407"/>
      <c r="HEK159" s="407"/>
      <c r="HEL159" s="406"/>
      <c r="HEM159" s="407"/>
      <c r="HEN159" s="407"/>
      <c r="HEO159" s="407"/>
      <c r="HEP159" s="407"/>
      <c r="HEQ159" s="407"/>
      <c r="HER159" s="406"/>
      <c r="HES159" s="407"/>
      <c r="HET159" s="407"/>
      <c r="HEU159" s="407"/>
      <c r="HEV159" s="407"/>
      <c r="HEW159" s="407"/>
      <c r="HEX159" s="406"/>
      <c r="HEY159" s="407"/>
      <c r="HEZ159" s="407"/>
      <c r="HFA159" s="407"/>
      <c r="HFB159" s="407"/>
      <c r="HFC159" s="407"/>
      <c r="HFD159" s="406"/>
      <c r="HFE159" s="407"/>
      <c r="HFF159" s="407"/>
      <c r="HFG159" s="407"/>
      <c r="HFH159" s="407"/>
      <c r="HFI159" s="407"/>
      <c r="HFJ159" s="406"/>
      <c r="HFK159" s="407"/>
      <c r="HFL159" s="407"/>
      <c r="HFM159" s="407"/>
      <c r="HFN159" s="407"/>
      <c r="HFO159" s="407"/>
      <c r="HFP159" s="406"/>
      <c r="HFQ159" s="407"/>
      <c r="HFR159" s="407"/>
      <c r="HFS159" s="407"/>
      <c r="HFT159" s="407"/>
      <c r="HFU159" s="407"/>
      <c r="HFV159" s="406"/>
      <c r="HFW159" s="407"/>
      <c r="HFX159" s="407"/>
      <c r="HFY159" s="407"/>
      <c r="HFZ159" s="407"/>
      <c r="HGA159" s="407"/>
      <c r="HGB159" s="406"/>
      <c r="HGC159" s="407"/>
      <c r="HGD159" s="407"/>
      <c r="HGE159" s="407"/>
      <c r="HGF159" s="407"/>
      <c r="HGG159" s="407"/>
      <c r="HGH159" s="406"/>
      <c r="HGI159" s="407"/>
      <c r="HGJ159" s="407"/>
      <c r="HGK159" s="407"/>
      <c r="HGL159" s="407"/>
      <c r="HGM159" s="407"/>
      <c r="HGN159" s="406"/>
      <c r="HGO159" s="407"/>
      <c r="HGP159" s="407"/>
      <c r="HGQ159" s="407"/>
      <c r="HGR159" s="407"/>
      <c r="HGS159" s="407"/>
      <c r="HGT159" s="406"/>
      <c r="HGU159" s="407"/>
      <c r="HGV159" s="407"/>
      <c r="HGW159" s="407"/>
      <c r="HGX159" s="407"/>
      <c r="HGY159" s="407"/>
      <c r="HGZ159" s="406"/>
      <c r="HHA159" s="407"/>
      <c r="HHB159" s="407"/>
      <c r="HHC159" s="407"/>
      <c r="HHD159" s="407"/>
      <c r="HHE159" s="407"/>
      <c r="HHF159" s="406"/>
      <c r="HHG159" s="407"/>
      <c r="HHH159" s="407"/>
      <c r="HHI159" s="407"/>
      <c r="HHJ159" s="407"/>
      <c r="HHK159" s="407"/>
      <c r="HHL159" s="406"/>
      <c r="HHM159" s="407"/>
      <c r="HHN159" s="407"/>
      <c r="HHO159" s="407"/>
      <c r="HHP159" s="407"/>
      <c r="HHQ159" s="407"/>
      <c r="HHR159" s="406"/>
      <c r="HHS159" s="407"/>
      <c r="HHT159" s="407"/>
      <c r="HHU159" s="407"/>
      <c r="HHV159" s="407"/>
      <c r="HHW159" s="407"/>
      <c r="HHX159" s="406"/>
      <c r="HHY159" s="407"/>
      <c r="HHZ159" s="407"/>
      <c r="HIA159" s="407"/>
      <c r="HIB159" s="407"/>
      <c r="HIC159" s="407"/>
      <c r="HID159" s="406"/>
      <c r="HIE159" s="407"/>
      <c r="HIF159" s="407"/>
      <c r="HIG159" s="407"/>
      <c r="HIH159" s="407"/>
      <c r="HII159" s="407"/>
      <c r="HIJ159" s="406"/>
      <c r="HIK159" s="407"/>
      <c r="HIL159" s="407"/>
      <c r="HIM159" s="407"/>
      <c r="HIN159" s="407"/>
      <c r="HIO159" s="407"/>
      <c r="HIP159" s="406"/>
      <c r="HIQ159" s="407"/>
      <c r="HIR159" s="407"/>
      <c r="HIS159" s="407"/>
      <c r="HIT159" s="407"/>
      <c r="HIU159" s="407"/>
      <c r="HIV159" s="406"/>
      <c r="HIW159" s="407"/>
      <c r="HIX159" s="407"/>
      <c r="HIY159" s="407"/>
      <c r="HIZ159" s="407"/>
      <c r="HJA159" s="407"/>
      <c r="HJB159" s="406"/>
      <c r="HJC159" s="407"/>
      <c r="HJD159" s="407"/>
      <c r="HJE159" s="407"/>
      <c r="HJF159" s="407"/>
      <c r="HJG159" s="407"/>
      <c r="HJH159" s="406"/>
      <c r="HJI159" s="407"/>
      <c r="HJJ159" s="407"/>
      <c r="HJK159" s="407"/>
      <c r="HJL159" s="407"/>
      <c r="HJM159" s="407"/>
      <c r="HJN159" s="406"/>
      <c r="HJO159" s="407"/>
      <c r="HJP159" s="407"/>
      <c r="HJQ159" s="407"/>
      <c r="HJR159" s="407"/>
      <c r="HJS159" s="407"/>
      <c r="HJT159" s="406"/>
      <c r="HJU159" s="407"/>
      <c r="HJV159" s="407"/>
      <c r="HJW159" s="407"/>
      <c r="HJX159" s="407"/>
      <c r="HJY159" s="407"/>
      <c r="HJZ159" s="406"/>
      <c r="HKA159" s="407"/>
      <c r="HKB159" s="407"/>
      <c r="HKC159" s="407"/>
      <c r="HKD159" s="407"/>
      <c r="HKE159" s="407"/>
      <c r="HKF159" s="406"/>
      <c r="HKG159" s="407"/>
      <c r="HKH159" s="407"/>
      <c r="HKI159" s="407"/>
      <c r="HKJ159" s="407"/>
      <c r="HKK159" s="407"/>
      <c r="HKL159" s="406"/>
      <c r="HKM159" s="407"/>
      <c r="HKN159" s="407"/>
      <c r="HKO159" s="407"/>
      <c r="HKP159" s="407"/>
      <c r="HKQ159" s="407"/>
      <c r="HKR159" s="406"/>
      <c r="HKS159" s="407"/>
      <c r="HKT159" s="407"/>
      <c r="HKU159" s="407"/>
      <c r="HKV159" s="407"/>
      <c r="HKW159" s="407"/>
      <c r="HKX159" s="406"/>
      <c r="HKY159" s="407"/>
      <c r="HKZ159" s="407"/>
      <c r="HLA159" s="407"/>
      <c r="HLB159" s="407"/>
      <c r="HLC159" s="407"/>
      <c r="HLD159" s="406"/>
      <c r="HLE159" s="407"/>
      <c r="HLF159" s="407"/>
      <c r="HLG159" s="407"/>
      <c r="HLH159" s="407"/>
      <c r="HLI159" s="407"/>
      <c r="HLJ159" s="406"/>
      <c r="HLK159" s="407"/>
      <c r="HLL159" s="407"/>
      <c r="HLM159" s="407"/>
      <c r="HLN159" s="407"/>
      <c r="HLO159" s="407"/>
      <c r="HLP159" s="406"/>
      <c r="HLQ159" s="407"/>
      <c r="HLR159" s="407"/>
      <c r="HLS159" s="407"/>
      <c r="HLT159" s="407"/>
      <c r="HLU159" s="407"/>
      <c r="HLV159" s="406"/>
      <c r="HLW159" s="407"/>
      <c r="HLX159" s="407"/>
      <c r="HLY159" s="407"/>
      <c r="HLZ159" s="407"/>
      <c r="HMA159" s="407"/>
      <c r="HMB159" s="406"/>
      <c r="HMC159" s="407"/>
      <c r="HMD159" s="407"/>
      <c r="HME159" s="407"/>
      <c r="HMF159" s="407"/>
      <c r="HMG159" s="407"/>
      <c r="HMH159" s="406"/>
      <c r="HMI159" s="407"/>
      <c r="HMJ159" s="407"/>
      <c r="HMK159" s="407"/>
      <c r="HML159" s="407"/>
      <c r="HMM159" s="407"/>
      <c r="HMN159" s="406"/>
      <c r="HMO159" s="407"/>
      <c r="HMP159" s="407"/>
      <c r="HMQ159" s="407"/>
      <c r="HMR159" s="407"/>
      <c r="HMS159" s="407"/>
      <c r="HMT159" s="406"/>
      <c r="HMU159" s="407"/>
      <c r="HMV159" s="407"/>
      <c r="HMW159" s="407"/>
      <c r="HMX159" s="407"/>
      <c r="HMY159" s="407"/>
      <c r="HMZ159" s="406"/>
      <c r="HNA159" s="407"/>
      <c r="HNB159" s="407"/>
      <c r="HNC159" s="407"/>
      <c r="HND159" s="407"/>
      <c r="HNE159" s="407"/>
      <c r="HNF159" s="406"/>
      <c r="HNG159" s="407"/>
      <c r="HNH159" s="407"/>
      <c r="HNI159" s="407"/>
      <c r="HNJ159" s="407"/>
      <c r="HNK159" s="407"/>
      <c r="HNL159" s="406"/>
      <c r="HNM159" s="407"/>
      <c r="HNN159" s="407"/>
      <c r="HNO159" s="407"/>
      <c r="HNP159" s="407"/>
      <c r="HNQ159" s="407"/>
      <c r="HNR159" s="406"/>
      <c r="HNS159" s="407"/>
      <c r="HNT159" s="407"/>
      <c r="HNU159" s="407"/>
      <c r="HNV159" s="407"/>
      <c r="HNW159" s="407"/>
      <c r="HNX159" s="406"/>
      <c r="HNY159" s="407"/>
      <c r="HNZ159" s="407"/>
      <c r="HOA159" s="407"/>
      <c r="HOB159" s="407"/>
      <c r="HOC159" s="407"/>
      <c r="HOD159" s="406"/>
      <c r="HOE159" s="407"/>
      <c r="HOF159" s="407"/>
      <c r="HOG159" s="407"/>
      <c r="HOH159" s="407"/>
      <c r="HOI159" s="407"/>
      <c r="HOJ159" s="406"/>
      <c r="HOK159" s="407"/>
      <c r="HOL159" s="407"/>
      <c r="HOM159" s="407"/>
      <c r="HON159" s="407"/>
      <c r="HOO159" s="407"/>
      <c r="HOP159" s="406"/>
      <c r="HOQ159" s="407"/>
      <c r="HOR159" s="407"/>
      <c r="HOS159" s="407"/>
      <c r="HOT159" s="407"/>
      <c r="HOU159" s="407"/>
      <c r="HOV159" s="406"/>
      <c r="HOW159" s="407"/>
      <c r="HOX159" s="407"/>
      <c r="HOY159" s="407"/>
      <c r="HOZ159" s="407"/>
      <c r="HPA159" s="407"/>
      <c r="HPB159" s="406"/>
      <c r="HPC159" s="407"/>
      <c r="HPD159" s="407"/>
      <c r="HPE159" s="407"/>
      <c r="HPF159" s="407"/>
      <c r="HPG159" s="407"/>
      <c r="HPH159" s="406"/>
      <c r="HPI159" s="407"/>
      <c r="HPJ159" s="407"/>
      <c r="HPK159" s="407"/>
      <c r="HPL159" s="407"/>
      <c r="HPM159" s="407"/>
      <c r="HPN159" s="406"/>
      <c r="HPO159" s="407"/>
      <c r="HPP159" s="407"/>
      <c r="HPQ159" s="407"/>
      <c r="HPR159" s="407"/>
      <c r="HPS159" s="407"/>
      <c r="HPT159" s="406"/>
      <c r="HPU159" s="407"/>
      <c r="HPV159" s="407"/>
      <c r="HPW159" s="407"/>
      <c r="HPX159" s="407"/>
      <c r="HPY159" s="407"/>
      <c r="HPZ159" s="406"/>
      <c r="HQA159" s="407"/>
      <c r="HQB159" s="407"/>
      <c r="HQC159" s="407"/>
      <c r="HQD159" s="407"/>
      <c r="HQE159" s="407"/>
      <c r="HQF159" s="406"/>
      <c r="HQG159" s="407"/>
      <c r="HQH159" s="407"/>
      <c r="HQI159" s="407"/>
      <c r="HQJ159" s="407"/>
      <c r="HQK159" s="407"/>
      <c r="HQL159" s="406"/>
      <c r="HQM159" s="407"/>
      <c r="HQN159" s="407"/>
      <c r="HQO159" s="407"/>
      <c r="HQP159" s="407"/>
      <c r="HQQ159" s="407"/>
      <c r="HQR159" s="406"/>
      <c r="HQS159" s="407"/>
      <c r="HQT159" s="407"/>
      <c r="HQU159" s="407"/>
      <c r="HQV159" s="407"/>
      <c r="HQW159" s="407"/>
      <c r="HQX159" s="406"/>
      <c r="HQY159" s="407"/>
      <c r="HQZ159" s="407"/>
      <c r="HRA159" s="407"/>
      <c r="HRB159" s="407"/>
      <c r="HRC159" s="407"/>
      <c r="HRD159" s="406"/>
      <c r="HRE159" s="407"/>
      <c r="HRF159" s="407"/>
      <c r="HRG159" s="407"/>
      <c r="HRH159" s="407"/>
      <c r="HRI159" s="407"/>
      <c r="HRJ159" s="406"/>
      <c r="HRK159" s="407"/>
      <c r="HRL159" s="407"/>
      <c r="HRM159" s="407"/>
      <c r="HRN159" s="407"/>
      <c r="HRO159" s="407"/>
      <c r="HRP159" s="406"/>
      <c r="HRQ159" s="407"/>
      <c r="HRR159" s="407"/>
      <c r="HRS159" s="407"/>
      <c r="HRT159" s="407"/>
      <c r="HRU159" s="407"/>
      <c r="HRV159" s="406"/>
      <c r="HRW159" s="407"/>
      <c r="HRX159" s="407"/>
      <c r="HRY159" s="407"/>
      <c r="HRZ159" s="407"/>
      <c r="HSA159" s="407"/>
      <c r="HSB159" s="406"/>
      <c r="HSC159" s="407"/>
      <c r="HSD159" s="407"/>
      <c r="HSE159" s="407"/>
      <c r="HSF159" s="407"/>
      <c r="HSG159" s="407"/>
      <c r="HSH159" s="406"/>
      <c r="HSI159" s="407"/>
      <c r="HSJ159" s="407"/>
      <c r="HSK159" s="407"/>
      <c r="HSL159" s="407"/>
      <c r="HSM159" s="407"/>
      <c r="HSN159" s="406"/>
      <c r="HSO159" s="407"/>
      <c r="HSP159" s="407"/>
      <c r="HSQ159" s="407"/>
      <c r="HSR159" s="407"/>
      <c r="HSS159" s="407"/>
      <c r="HST159" s="406"/>
      <c r="HSU159" s="407"/>
      <c r="HSV159" s="407"/>
      <c r="HSW159" s="407"/>
      <c r="HSX159" s="407"/>
      <c r="HSY159" s="407"/>
      <c r="HSZ159" s="406"/>
      <c r="HTA159" s="407"/>
      <c r="HTB159" s="407"/>
      <c r="HTC159" s="407"/>
      <c r="HTD159" s="407"/>
      <c r="HTE159" s="407"/>
      <c r="HTF159" s="406"/>
      <c r="HTG159" s="407"/>
      <c r="HTH159" s="407"/>
      <c r="HTI159" s="407"/>
      <c r="HTJ159" s="407"/>
      <c r="HTK159" s="407"/>
      <c r="HTL159" s="406"/>
      <c r="HTM159" s="407"/>
      <c r="HTN159" s="407"/>
      <c r="HTO159" s="407"/>
      <c r="HTP159" s="407"/>
      <c r="HTQ159" s="407"/>
      <c r="HTR159" s="406"/>
      <c r="HTS159" s="407"/>
      <c r="HTT159" s="407"/>
      <c r="HTU159" s="407"/>
      <c r="HTV159" s="407"/>
      <c r="HTW159" s="407"/>
      <c r="HTX159" s="406"/>
      <c r="HTY159" s="407"/>
      <c r="HTZ159" s="407"/>
      <c r="HUA159" s="407"/>
      <c r="HUB159" s="407"/>
      <c r="HUC159" s="407"/>
      <c r="HUD159" s="406"/>
      <c r="HUE159" s="407"/>
      <c r="HUF159" s="407"/>
      <c r="HUG159" s="407"/>
      <c r="HUH159" s="407"/>
      <c r="HUI159" s="407"/>
      <c r="HUJ159" s="406"/>
      <c r="HUK159" s="407"/>
      <c r="HUL159" s="407"/>
      <c r="HUM159" s="407"/>
      <c r="HUN159" s="407"/>
      <c r="HUO159" s="407"/>
      <c r="HUP159" s="406"/>
      <c r="HUQ159" s="407"/>
      <c r="HUR159" s="407"/>
      <c r="HUS159" s="407"/>
      <c r="HUT159" s="407"/>
      <c r="HUU159" s="407"/>
      <c r="HUV159" s="406"/>
      <c r="HUW159" s="407"/>
      <c r="HUX159" s="407"/>
      <c r="HUY159" s="407"/>
      <c r="HUZ159" s="407"/>
      <c r="HVA159" s="407"/>
      <c r="HVB159" s="406"/>
      <c r="HVC159" s="407"/>
      <c r="HVD159" s="407"/>
      <c r="HVE159" s="407"/>
      <c r="HVF159" s="407"/>
      <c r="HVG159" s="407"/>
      <c r="HVH159" s="406"/>
      <c r="HVI159" s="407"/>
      <c r="HVJ159" s="407"/>
      <c r="HVK159" s="407"/>
      <c r="HVL159" s="407"/>
      <c r="HVM159" s="407"/>
      <c r="HVN159" s="406"/>
      <c r="HVO159" s="407"/>
      <c r="HVP159" s="407"/>
      <c r="HVQ159" s="407"/>
      <c r="HVR159" s="407"/>
      <c r="HVS159" s="407"/>
      <c r="HVT159" s="406"/>
      <c r="HVU159" s="407"/>
      <c r="HVV159" s="407"/>
      <c r="HVW159" s="407"/>
      <c r="HVX159" s="407"/>
      <c r="HVY159" s="407"/>
      <c r="HVZ159" s="406"/>
      <c r="HWA159" s="407"/>
      <c r="HWB159" s="407"/>
      <c r="HWC159" s="407"/>
      <c r="HWD159" s="407"/>
      <c r="HWE159" s="407"/>
      <c r="HWF159" s="406"/>
      <c r="HWG159" s="407"/>
      <c r="HWH159" s="407"/>
      <c r="HWI159" s="407"/>
      <c r="HWJ159" s="407"/>
      <c r="HWK159" s="407"/>
      <c r="HWL159" s="406"/>
      <c r="HWM159" s="407"/>
      <c r="HWN159" s="407"/>
      <c r="HWO159" s="407"/>
      <c r="HWP159" s="407"/>
      <c r="HWQ159" s="407"/>
      <c r="HWR159" s="406"/>
      <c r="HWS159" s="407"/>
      <c r="HWT159" s="407"/>
      <c r="HWU159" s="407"/>
      <c r="HWV159" s="407"/>
      <c r="HWW159" s="407"/>
      <c r="HWX159" s="406"/>
      <c r="HWY159" s="407"/>
      <c r="HWZ159" s="407"/>
      <c r="HXA159" s="407"/>
      <c r="HXB159" s="407"/>
      <c r="HXC159" s="407"/>
      <c r="HXD159" s="406"/>
      <c r="HXE159" s="407"/>
      <c r="HXF159" s="407"/>
      <c r="HXG159" s="407"/>
      <c r="HXH159" s="407"/>
      <c r="HXI159" s="407"/>
      <c r="HXJ159" s="406"/>
      <c r="HXK159" s="407"/>
      <c r="HXL159" s="407"/>
      <c r="HXM159" s="407"/>
      <c r="HXN159" s="407"/>
      <c r="HXO159" s="407"/>
      <c r="HXP159" s="406"/>
      <c r="HXQ159" s="407"/>
      <c r="HXR159" s="407"/>
      <c r="HXS159" s="407"/>
      <c r="HXT159" s="407"/>
      <c r="HXU159" s="407"/>
      <c r="HXV159" s="406"/>
      <c r="HXW159" s="407"/>
      <c r="HXX159" s="407"/>
      <c r="HXY159" s="407"/>
      <c r="HXZ159" s="407"/>
      <c r="HYA159" s="407"/>
      <c r="HYB159" s="406"/>
      <c r="HYC159" s="407"/>
      <c r="HYD159" s="407"/>
      <c r="HYE159" s="407"/>
      <c r="HYF159" s="407"/>
      <c r="HYG159" s="407"/>
      <c r="HYH159" s="406"/>
      <c r="HYI159" s="407"/>
      <c r="HYJ159" s="407"/>
      <c r="HYK159" s="407"/>
      <c r="HYL159" s="407"/>
      <c r="HYM159" s="407"/>
      <c r="HYN159" s="406"/>
      <c r="HYO159" s="407"/>
      <c r="HYP159" s="407"/>
      <c r="HYQ159" s="407"/>
      <c r="HYR159" s="407"/>
      <c r="HYS159" s="407"/>
      <c r="HYT159" s="406"/>
      <c r="HYU159" s="407"/>
      <c r="HYV159" s="407"/>
      <c r="HYW159" s="407"/>
      <c r="HYX159" s="407"/>
      <c r="HYY159" s="407"/>
      <c r="HYZ159" s="406"/>
      <c r="HZA159" s="407"/>
      <c r="HZB159" s="407"/>
      <c r="HZC159" s="407"/>
      <c r="HZD159" s="407"/>
      <c r="HZE159" s="407"/>
      <c r="HZF159" s="406"/>
      <c r="HZG159" s="407"/>
      <c r="HZH159" s="407"/>
      <c r="HZI159" s="407"/>
      <c r="HZJ159" s="407"/>
      <c r="HZK159" s="407"/>
      <c r="HZL159" s="406"/>
      <c r="HZM159" s="407"/>
      <c r="HZN159" s="407"/>
      <c r="HZO159" s="407"/>
      <c r="HZP159" s="407"/>
      <c r="HZQ159" s="407"/>
      <c r="HZR159" s="406"/>
      <c r="HZS159" s="407"/>
      <c r="HZT159" s="407"/>
      <c r="HZU159" s="407"/>
      <c r="HZV159" s="407"/>
      <c r="HZW159" s="407"/>
      <c r="HZX159" s="406"/>
      <c r="HZY159" s="407"/>
      <c r="HZZ159" s="407"/>
      <c r="IAA159" s="407"/>
      <c r="IAB159" s="407"/>
      <c r="IAC159" s="407"/>
      <c r="IAD159" s="406"/>
      <c r="IAE159" s="407"/>
      <c r="IAF159" s="407"/>
      <c r="IAG159" s="407"/>
      <c r="IAH159" s="407"/>
      <c r="IAI159" s="407"/>
      <c r="IAJ159" s="406"/>
      <c r="IAK159" s="407"/>
      <c r="IAL159" s="407"/>
      <c r="IAM159" s="407"/>
      <c r="IAN159" s="407"/>
      <c r="IAO159" s="407"/>
      <c r="IAP159" s="406"/>
      <c r="IAQ159" s="407"/>
      <c r="IAR159" s="407"/>
      <c r="IAS159" s="407"/>
      <c r="IAT159" s="407"/>
      <c r="IAU159" s="407"/>
      <c r="IAV159" s="406"/>
      <c r="IAW159" s="407"/>
      <c r="IAX159" s="407"/>
      <c r="IAY159" s="407"/>
      <c r="IAZ159" s="407"/>
      <c r="IBA159" s="407"/>
      <c r="IBB159" s="406"/>
      <c r="IBC159" s="407"/>
      <c r="IBD159" s="407"/>
      <c r="IBE159" s="407"/>
      <c r="IBF159" s="407"/>
      <c r="IBG159" s="407"/>
      <c r="IBH159" s="406"/>
      <c r="IBI159" s="407"/>
      <c r="IBJ159" s="407"/>
      <c r="IBK159" s="407"/>
      <c r="IBL159" s="407"/>
      <c r="IBM159" s="407"/>
      <c r="IBN159" s="406"/>
      <c r="IBO159" s="407"/>
      <c r="IBP159" s="407"/>
      <c r="IBQ159" s="407"/>
      <c r="IBR159" s="407"/>
      <c r="IBS159" s="407"/>
      <c r="IBT159" s="406"/>
      <c r="IBU159" s="407"/>
      <c r="IBV159" s="407"/>
      <c r="IBW159" s="407"/>
      <c r="IBX159" s="407"/>
      <c r="IBY159" s="407"/>
      <c r="IBZ159" s="406"/>
      <c r="ICA159" s="407"/>
      <c r="ICB159" s="407"/>
      <c r="ICC159" s="407"/>
      <c r="ICD159" s="407"/>
      <c r="ICE159" s="407"/>
      <c r="ICF159" s="406"/>
      <c r="ICG159" s="407"/>
      <c r="ICH159" s="407"/>
      <c r="ICI159" s="407"/>
      <c r="ICJ159" s="407"/>
      <c r="ICK159" s="407"/>
      <c r="ICL159" s="406"/>
      <c r="ICM159" s="407"/>
      <c r="ICN159" s="407"/>
      <c r="ICO159" s="407"/>
      <c r="ICP159" s="407"/>
      <c r="ICQ159" s="407"/>
      <c r="ICR159" s="406"/>
      <c r="ICS159" s="407"/>
      <c r="ICT159" s="407"/>
      <c r="ICU159" s="407"/>
      <c r="ICV159" s="407"/>
      <c r="ICW159" s="407"/>
      <c r="ICX159" s="406"/>
      <c r="ICY159" s="407"/>
      <c r="ICZ159" s="407"/>
      <c r="IDA159" s="407"/>
      <c r="IDB159" s="407"/>
      <c r="IDC159" s="407"/>
      <c r="IDD159" s="406"/>
      <c r="IDE159" s="407"/>
      <c r="IDF159" s="407"/>
      <c r="IDG159" s="407"/>
      <c r="IDH159" s="407"/>
      <c r="IDI159" s="407"/>
      <c r="IDJ159" s="406"/>
      <c r="IDK159" s="407"/>
      <c r="IDL159" s="407"/>
      <c r="IDM159" s="407"/>
      <c r="IDN159" s="407"/>
      <c r="IDO159" s="407"/>
      <c r="IDP159" s="406"/>
      <c r="IDQ159" s="407"/>
      <c r="IDR159" s="407"/>
      <c r="IDS159" s="407"/>
      <c r="IDT159" s="407"/>
      <c r="IDU159" s="407"/>
      <c r="IDV159" s="406"/>
      <c r="IDW159" s="407"/>
      <c r="IDX159" s="407"/>
      <c r="IDY159" s="407"/>
      <c r="IDZ159" s="407"/>
      <c r="IEA159" s="407"/>
      <c r="IEB159" s="406"/>
      <c r="IEC159" s="407"/>
      <c r="IED159" s="407"/>
      <c r="IEE159" s="407"/>
      <c r="IEF159" s="407"/>
      <c r="IEG159" s="407"/>
      <c r="IEH159" s="406"/>
      <c r="IEI159" s="407"/>
      <c r="IEJ159" s="407"/>
      <c r="IEK159" s="407"/>
      <c r="IEL159" s="407"/>
      <c r="IEM159" s="407"/>
      <c r="IEN159" s="406"/>
      <c r="IEO159" s="407"/>
      <c r="IEP159" s="407"/>
      <c r="IEQ159" s="407"/>
      <c r="IER159" s="407"/>
      <c r="IES159" s="407"/>
      <c r="IET159" s="406"/>
      <c r="IEU159" s="407"/>
      <c r="IEV159" s="407"/>
      <c r="IEW159" s="407"/>
      <c r="IEX159" s="407"/>
      <c r="IEY159" s="407"/>
      <c r="IEZ159" s="406"/>
      <c r="IFA159" s="407"/>
      <c r="IFB159" s="407"/>
      <c r="IFC159" s="407"/>
      <c r="IFD159" s="407"/>
      <c r="IFE159" s="407"/>
      <c r="IFF159" s="406"/>
      <c r="IFG159" s="407"/>
      <c r="IFH159" s="407"/>
      <c r="IFI159" s="407"/>
      <c r="IFJ159" s="407"/>
      <c r="IFK159" s="407"/>
      <c r="IFL159" s="406"/>
      <c r="IFM159" s="407"/>
      <c r="IFN159" s="407"/>
      <c r="IFO159" s="407"/>
      <c r="IFP159" s="407"/>
      <c r="IFQ159" s="407"/>
      <c r="IFR159" s="406"/>
      <c r="IFS159" s="407"/>
      <c r="IFT159" s="407"/>
      <c r="IFU159" s="407"/>
      <c r="IFV159" s="407"/>
      <c r="IFW159" s="407"/>
      <c r="IFX159" s="406"/>
      <c r="IFY159" s="407"/>
      <c r="IFZ159" s="407"/>
      <c r="IGA159" s="407"/>
      <c r="IGB159" s="407"/>
      <c r="IGC159" s="407"/>
      <c r="IGD159" s="406"/>
      <c r="IGE159" s="407"/>
      <c r="IGF159" s="407"/>
      <c r="IGG159" s="407"/>
      <c r="IGH159" s="407"/>
      <c r="IGI159" s="407"/>
      <c r="IGJ159" s="406"/>
      <c r="IGK159" s="407"/>
      <c r="IGL159" s="407"/>
      <c r="IGM159" s="407"/>
      <c r="IGN159" s="407"/>
      <c r="IGO159" s="407"/>
      <c r="IGP159" s="406"/>
      <c r="IGQ159" s="407"/>
      <c r="IGR159" s="407"/>
      <c r="IGS159" s="407"/>
      <c r="IGT159" s="407"/>
      <c r="IGU159" s="407"/>
      <c r="IGV159" s="406"/>
      <c r="IGW159" s="407"/>
      <c r="IGX159" s="407"/>
      <c r="IGY159" s="407"/>
      <c r="IGZ159" s="407"/>
      <c r="IHA159" s="407"/>
      <c r="IHB159" s="406"/>
      <c r="IHC159" s="407"/>
      <c r="IHD159" s="407"/>
      <c r="IHE159" s="407"/>
      <c r="IHF159" s="407"/>
      <c r="IHG159" s="407"/>
      <c r="IHH159" s="406"/>
      <c r="IHI159" s="407"/>
      <c r="IHJ159" s="407"/>
      <c r="IHK159" s="407"/>
      <c r="IHL159" s="407"/>
      <c r="IHM159" s="407"/>
      <c r="IHN159" s="406"/>
      <c r="IHO159" s="407"/>
      <c r="IHP159" s="407"/>
      <c r="IHQ159" s="407"/>
      <c r="IHR159" s="407"/>
      <c r="IHS159" s="407"/>
      <c r="IHT159" s="406"/>
      <c r="IHU159" s="407"/>
      <c r="IHV159" s="407"/>
      <c r="IHW159" s="407"/>
      <c r="IHX159" s="407"/>
      <c r="IHY159" s="407"/>
      <c r="IHZ159" s="406"/>
      <c r="IIA159" s="407"/>
      <c r="IIB159" s="407"/>
      <c r="IIC159" s="407"/>
      <c r="IID159" s="407"/>
      <c r="IIE159" s="407"/>
      <c r="IIF159" s="406"/>
      <c r="IIG159" s="407"/>
      <c r="IIH159" s="407"/>
      <c r="III159" s="407"/>
      <c r="IIJ159" s="407"/>
      <c r="IIK159" s="407"/>
      <c r="IIL159" s="406"/>
      <c r="IIM159" s="407"/>
      <c r="IIN159" s="407"/>
      <c r="IIO159" s="407"/>
      <c r="IIP159" s="407"/>
      <c r="IIQ159" s="407"/>
      <c r="IIR159" s="406"/>
      <c r="IIS159" s="407"/>
      <c r="IIT159" s="407"/>
      <c r="IIU159" s="407"/>
      <c r="IIV159" s="407"/>
      <c r="IIW159" s="407"/>
      <c r="IIX159" s="406"/>
      <c r="IIY159" s="407"/>
      <c r="IIZ159" s="407"/>
      <c r="IJA159" s="407"/>
      <c r="IJB159" s="407"/>
      <c r="IJC159" s="407"/>
      <c r="IJD159" s="406"/>
      <c r="IJE159" s="407"/>
      <c r="IJF159" s="407"/>
      <c r="IJG159" s="407"/>
      <c r="IJH159" s="407"/>
      <c r="IJI159" s="407"/>
      <c r="IJJ159" s="406"/>
      <c r="IJK159" s="407"/>
      <c r="IJL159" s="407"/>
      <c r="IJM159" s="407"/>
      <c r="IJN159" s="407"/>
      <c r="IJO159" s="407"/>
      <c r="IJP159" s="406"/>
      <c r="IJQ159" s="407"/>
      <c r="IJR159" s="407"/>
      <c r="IJS159" s="407"/>
      <c r="IJT159" s="407"/>
      <c r="IJU159" s="407"/>
      <c r="IJV159" s="406"/>
      <c r="IJW159" s="407"/>
      <c r="IJX159" s="407"/>
      <c r="IJY159" s="407"/>
      <c r="IJZ159" s="407"/>
      <c r="IKA159" s="407"/>
      <c r="IKB159" s="406"/>
      <c r="IKC159" s="407"/>
      <c r="IKD159" s="407"/>
      <c r="IKE159" s="407"/>
      <c r="IKF159" s="407"/>
      <c r="IKG159" s="407"/>
      <c r="IKH159" s="406"/>
      <c r="IKI159" s="407"/>
      <c r="IKJ159" s="407"/>
      <c r="IKK159" s="407"/>
      <c r="IKL159" s="407"/>
      <c r="IKM159" s="407"/>
      <c r="IKN159" s="406"/>
      <c r="IKO159" s="407"/>
      <c r="IKP159" s="407"/>
      <c r="IKQ159" s="407"/>
      <c r="IKR159" s="407"/>
      <c r="IKS159" s="407"/>
      <c r="IKT159" s="406"/>
      <c r="IKU159" s="407"/>
      <c r="IKV159" s="407"/>
      <c r="IKW159" s="407"/>
      <c r="IKX159" s="407"/>
      <c r="IKY159" s="407"/>
      <c r="IKZ159" s="406"/>
      <c r="ILA159" s="407"/>
      <c r="ILB159" s="407"/>
      <c r="ILC159" s="407"/>
      <c r="ILD159" s="407"/>
      <c r="ILE159" s="407"/>
      <c r="ILF159" s="406"/>
      <c r="ILG159" s="407"/>
      <c r="ILH159" s="407"/>
      <c r="ILI159" s="407"/>
      <c r="ILJ159" s="407"/>
      <c r="ILK159" s="407"/>
      <c r="ILL159" s="406"/>
      <c r="ILM159" s="407"/>
      <c r="ILN159" s="407"/>
      <c r="ILO159" s="407"/>
      <c r="ILP159" s="407"/>
      <c r="ILQ159" s="407"/>
      <c r="ILR159" s="406"/>
      <c r="ILS159" s="407"/>
      <c r="ILT159" s="407"/>
      <c r="ILU159" s="407"/>
      <c r="ILV159" s="407"/>
      <c r="ILW159" s="407"/>
      <c r="ILX159" s="406"/>
      <c r="ILY159" s="407"/>
      <c r="ILZ159" s="407"/>
      <c r="IMA159" s="407"/>
      <c r="IMB159" s="407"/>
      <c r="IMC159" s="407"/>
      <c r="IMD159" s="406"/>
      <c r="IME159" s="407"/>
      <c r="IMF159" s="407"/>
      <c r="IMG159" s="407"/>
      <c r="IMH159" s="407"/>
      <c r="IMI159" s="407"/>
      <c r="IMJ159" s="406"/>
      <c r="IMK159" s="407"/>
      <c r="IML159" s="407"/>
      <c r="IMM159" s="407"/>
      <c r="IMN159" s="407"/>
      <c r="IMO159" s="407"/>
      <c r="IMP159" s="406"/>
      <c r="IMQ159" s="407"/>
      <c r="IMR159" s="407"/>
      <c r="IMS159" s="407"/>
      <c r="IMT159" s="407"/>
      <c r="IMU159" s="407"/>
      <c r="IMV159" s="406"/>
      <c r="IMW159" s="407"/>
      <c r="IMX159" s="407"/>
      <c r="IMY159" s="407"/>
      <c r="IMZ159" s="407"/>
      <c r="INA159" s="407"/>
      <c r="INB159" s="406"/>
      <c r="INC159" s="407"/>
      <c r="IND159" s="407"/>
      <c r="INE159" s="407"/>
      <c r="INF159" s="407"/>
      <c r="ING159" s="407"/>
      <c r="INH159" s="406"/>
      <c r="INI159" s="407"/>
      <c r="INJ159" s="407"/>
      <c r="INK159" s="407"/>
      <c r="INL159" s="407"/>
      <c r="INM159" s="407"/>
      <c r="INN159" s="406"/>
      <c r="INO159" s="407"/>
      <c r="INP159" s="407"/>
      <c r="INQ159" s="407"/>
      <c r="INR159" s="407"/>
      <c r="INS159" s="407"/>
      <c r="INT159" s="406"/>
      <c r="INU159" s="407"/>
      <c r="INV159" s="407"/>
      <c r="INW159" s="407"/>
      <c r="INX159" s="407"/>
      <c r="INY159" s="407"/>
      <c r="INZ159" s="406"/>
      <c r="IOA159" s="407"/>
      <c r="IOB159" s="407"/>
      <c r="IOC159" s="407"/>
      <c r="IOD159" s="407"/>
      <c r="IOE159" s="407"/>
      <c r="IOF159" s="406"/>
      <c r="IOG159" s="407"/>
      <c r="IOH159" s="407"/>
      <c r="IOI159" s="407"/>
      <c r="IOJ159" s="407"/>
      <c r="IOK159" s="407"/>
      <c r="IOL159" s="406"/>
      <c r="IOM159" s="407"/>
      <c r="ION159" s="407"/>
      <c r="IOO159" s="407"/>
      <c r="IOP159" s="407"/>
      <c r="IOQ159" s="407"/>
      <c r="IOR159" s="406"/>
      <c r="IOS159" s="407"/>
      <c r="IOT159" s="407"/>
      <c r="IOU159" s="407"/>
      <c r="IOV159" s="407"/>
      <c r="IOW159" s="407"/>
      <c r="IOX159" s="406"/>
      <c r="IOY159" s="407"/>
      <c r="IOZ159" s="407"/>
      <c r="IPA159" s="407"/>
      <c r="IPB159" s="407"/>
      <c r="IPC159" s="407"/>
      <c r="IPD159" s="406"/>
      <c r="IPE159" s="407"/>
      <c r="IPF159" s="407"/>
      <c r="IPG159" s="407"/>
      <c r="IPH159" s="407"/>
      <c r="IPI159" s="407"/>
      <c r="IPJ159" s="406"/>
      <c r="IPK159" s="407"/>
      <c r="IPL159" s="407"/>
      <c r="IPM159" s="407"/>
      <c r="IPN159" s="407"/>
      <c r="IPO159" s="407"/>
      <c r="IPP159" s="406"/>
      <c r="IPQ159" s="407"/>
      <c r="IPR159" s="407"/>
      <c r="IPS159" s="407"/>
      <c r="IPT159" s="407"/>
      <c r="IPU159" s="407"/>
      <c r="IPV159" s="406"/>
      <c r="IPW159" s="407"/>
      <c r="IPX159" s="407"/>
      <c r="IPY159" s="407"/>
      <c r="IPZ159" s="407"/>
      <c r="IQA159" s="407"/>
      <c r="IQB159" s="406"/>
      <c r="IQC159" s="407"/>
      <c r="IQD159" s="407"/>
      <c r="IQE159" s="407"/>
      <c r="IQF159" s="407"/>
      <c r="IQG159" s="407"/>
      <c r="IQH159" s="406"/>
      <c r="IQI159" s="407"/>
      <c r="IQJ159" s="407"/>
      <c r="IQK159" s="407"/>
      <c r="IQL159" s="407"/>
      <c r="IQM159" s="407"/>
      <c r="IQN159" s="406"/>
      <c r="IQO159" s="407"/>
      <c r="IQP159" s="407"/>
      <c r="IQQ159" s="407"/>
      <c r="IQR159" s="407"/>
      <c r="IQS159" s="407"/>
      <c r="IQT159" s="406"/>
      <c r="IQU159" s="407"/>
      <c r="IQV159" s="407"/>
      <c r="IQW159" s="407"/>
      <c r="IQX159" s="407"/>
      <c r="IQY159" s="407"/>
      <c r="IQZ159" s="406"/>
      <c r="IRA159" s="407"/>
      <c r="IRB159" s="407"/>
      <c r="IRC159" s="407"/>
      <c r="IRD159" s="407"/>
      <c r="IRE159" s="407"/>
      <c r="IRF159" s="406"/>
      <c r="IRG159" s="407"/>
      <c r="IRH159" s="407"/>
      <c r="IRI159" s="407"/>
      <c r="IRJ159" s="407"/>
      <c r="IRK159" s="407"/>
      <c r="IRL159" s="406"/>
      <c r="IRM159" s="407"/>
      <c r="IRN159" s="407"/>
      <c r="IRO159" s="407"/>
      <c r="IRP159" s="407"/>
      <c r="IRQ159" s="407"/>
      <c r="IRR159" s="406"/>
      <c r="IRS159" s="407"/>
      <c r="IRT159" s="407"/>
      <c r="IRU159" s="407"/>
      <c r="IRV159" s="407"/>
      <c r="IRW159" s="407"/>
      <c r="IRX159" s="406"/>
      <c r="IRY159" s="407"/>
      <c r="IRZ159" s="407"/>
      <c r="ISA159" s="407"/>
      <c r="ISB159" s="407"/>
      <c r="ISC159" s="407"/>
      <c r="ISD159" s="406"/>
      <c r="ISE159" s="407"/>
      <c r="ISF159" s="407"/>
      <c r="ISG159" s="407"/>
      <c r="ISH159" s="407"/>
      <c r="ISI159" s="407"/>
      <c r="ISJ159" s="406"/>
      <c r="ISK159" s="407"/>
      <c r="ISL159" s="407"/>
      <c r="ISM159" s="407"/>
      <c r="ISN159" s="407"/>
      <c r="ISO159" s="407"/>
      <c r="ISP159" s="406"/>
      <c r="ISQ159" s="407"/>
      <c r="ISR159" s="407"/>
      <c r="ISS159" s="407"/>
      <c r="IST159" s="407"/>
      <c r="ISU159" s="407"/>
      <c r="ISV159" s="406"/>
      <c r="ISW159" s="407"/>
      <c r="ISX159" s="407"/>
      <c r="ISY159" s="407"/>
      <c r="ISZ159" s="407"/>
      <c r="ITA159" s="407"/>
      <c r="ITB159" s="406"/>
      <c r="ITC159" s="407"/>
      <c r="ITD159" s="407"/>
      <c r="ITE159" s="407"/>
      <c r="ITF159" s="407"/>
      <c r="ITG159" s="407"/>
      <c r="ITH159" s="406"/>
      <c r="ITI159" s="407"/>
      <c r="ITJ159" s="407"/>
      <c r="ITK159" s="407"/>
      <c r="ITL159" s="407"/>
      <c r="ITM159" s="407"/>
      <c r="ITN159" s="406"/>
      <c r="ITO159" s="407"/>
      <c r="ITP159" s="407"/>
      <c r="ITQ159" s="407"/>
      <c r="ITR159" s="407"/>
      <c r="ITS159" s="407"/>
      <c r="ITT159" s="406"/>
      <c r="ITU159" s="407"/>
      <c r="ITV159" s="407"/>
      <c r="ITW159" s="407"/>
      <c r="ITX159" s="407"/>
      <c r="ITY159" s="407"/>
      <c r="ITZ159" s="406"/>
      <c r="IUA159" s="407"/>
      <c r="IUB159" s="407"/>
      <c r="IUC159" s="407"/>
      <c r="IUD159" s="407"/>
      <c r="IUE159" s="407"/>
      <c r="IUF159" s="406"/>
      <c r="IUG159" s="407"/>
      <c r="IUH159" s="407"/>
      <c r="IUI159" s="407"/>
      <c r="IUJ159" s="407"/>
      <c r="IUK159" s="407"/>
      <c r="IUL159" s="406"/>
      <c r="IUM159" s="407"/>
      <c r="IUN159" s="407"/>
      <c r="IUO159" s="407"/>
      <c r="IUP159" s="407"/>
      <c r="IUQ159" s="407"/>
      <c r="IUR159" s="406"/>
      <c r="IUS159" s="407"/>
      <c r="IUT159" s="407"/>
      <c r="IUU159" s="407"/>
      <c r="IUV159" s="407"/>
      <c r="IUW159" s="407"/>
      <c r="IUX159" s="406"/>
      <c r="IUY159" s="407"/>
      <c r="IUZ159" s="407"/>
      <c r="IVA159" s="407"/>
      <c r="IVB159" s="407"/>
      <c r="IVC159" s="407"/>
      <c r="IVD159" s="406"/>
      <c r="IVE159" s="407"/>
      <c r="IVF159" s="407"/>
      <c r="IVG159" s="407"/>
      <c r="IVH159" s="407"/>
      <c r="IVI159" s="407"/>
      <c r="IVJ159" s="406"/>
      <c r="IVK159" s="407"/>
      <c r="IVL159" s="407"/>
      <c r="IVM159" s="407"/>
      <c r="IVN159" s="407"/>
      <c r="IVO159" s="407"/>
      <c r="IVP159" s="406"/>
      <c r="IVQ159" s="407"/>
      <c r="IVR159" s="407"/>
      <c r="IVS159" s="407"/>
      <c r="IVT159" s="407"/>
      <c r="IVU159" s="407"/>
      <c r="IVV159" s="406"/>
      <c r="IVW159" s="407"/>
      <c r="IVX159" s="407"/>
      <c r="IVY159" s="407"/>
      <c r="IVZ159" s="407"/>
      <c r="IWA159" s="407"/>
      <c r="IWB159" s="406"/>
      <c r="IWC159" s="407"/>
      <c r="IWD159" s="407"/>
      <c r="IWE159" s="407"/>
      <c r="IWF159" s="407"/>
      <c r="IWG159" s="407"/>
      <c r="IWH159" s="406"/>
      <c r="IWI159" s="407"/>
      <c r="IWJ159" s="407"/>
      <c r="IWK159" s="407"/>
      <c r="IWL159" s="407"/>
      <c r="IWM159" s="407"/>
      <c r="IWN159" s="406"/>
      <c r="IWO159" s="407"/>
      <c r="IWP159" s="407"/>
      <c r="IWQ159" s="407"/>
      <c r="IWR159" s="407"/>
      <c r="IWS159" s="407"/>
      <c r="IWT159" s="406"/>
      <c r="IWU159" s="407"/>
      <c r="IWV159" s="407"/>
      <c r="IWW159" s="407"/>
      <c r="IWX159" s="407"/>
      <c r="IWY159" s="407"/>
      <c r="IWZ159" s="406"/>
      <c r="IXA159" s="407"/>
      <c r="IXB159" s="407"/>
      <c r="IXC159" s="407"/>
      <c r="IXD159" s="407"/>
      <c r="IXE159" s="407"/>
      <c r="IXF159" s="406"/>
      <c r="IXG159" s="407"/>
      <c r="IXH159" s="407"/>
      <c r="IXI159" s="407"/>
      <c r="IXJ159" s="407"/>
      <c r="IXK159" s="407"/>
      <c r="IXL159" s="406"/>
      <c r="IXM159" s="407"/>
      <c r="IXN159" s="407"/>
      <c r="IXO159" s="407"/>
      <c r="IXP159" s="407"/>
      <c r="IXQ159" s="407"/>
      <c r="IXR159" s="406"/>
      <c r="IXS159" s="407"/>
      <c r="IXT159" s="407"/>
      <c r="IXU159" s="407"/>
      <c r="IXV159" s="407"/>
      <c r="IXW159" s="407"/>
      <c r="IXX159" s="406"/>
      <c r="IXY159" s="407"/>
      <c r="IXZ159" s="407"/>
      <c r="IYA159" s="407"/>
      <c r="IYB159" s="407"/>
      <c r="IYC159" s="407"/>
      <c r="IYD159" s="406"/>
      <c r="IYE159" s="407"/>
      <c r="IYF159" s="407"/>
      <c r="IYG159" s="407"/>
      <c r="IYH159" s="407"/>
      <c r="IYI159" s="407"/>
      <c r="IYJ159" s="406"/>
      <c r="IYK159" s="407"/>
      <c r="IYL159" s="407"/>
      <c r="IYM159" s="407"/>
      <c r="IYN159" s="407"/>
      <c r="IYO159" s="407"/>
      <c r="IYP159" s="406"/>
      <c r="IYQ159" s="407"/>
      <c r="IYR159" s="407"/>
      <c r="IYS159" s="407"/>
      <c r="IYT159" s="407"/>
      <c r="IYU159" s="407"/>
      <c r="IYV159" s="406"/>
      <c r="IYW159" s="407"/>
      <c r="IYX159" s="407"/>
      <c r="IYY159" s="407"/>
      <c r="IYZ159" s="407"/>
      <c r="IZA159" s="407"/>
      <c r="IZB159" s="406"/>
      <c r="IZC159" s="407"/>
      <c r="IZD159" s="407"/>
      <c r="IZE159" s="407"/>
      <c r="IZF159" s="407"/>
      <c r="IZG159" s="407"/>
      <c r="IZH159" s="406"/>
      <c r="IZI159" s="407"/>
      <c r="IZJ159" s="407"/>
      <c r="IZK159" s="407"/>
      <c r="IZL159" s="407"/>
      <c r="IZM159" s="407"/>
      <c r="IZN159" s="406"/>
      <c r="IZO159" s="407"/>
      <c r="IZP159" s="407"/>
      <c r="IZQ159" s="407"/>
      <c r="IZR159" s="407"/>
      <c r="IZS159" s="407"/>
      <c r="IZT159" s="406"/>
      <c r="IZU159" s="407"/>
      <c r="IZV159" s="407"/>
      <c r="IZW159" s="407"/>
      <c r="IZX159" s="407"/>
      <c r="IZY159" s="407"/>
      <c r="IZZ159" s="406"/>
      <c r="JAA159" s="407"/>
      <c r="JAB159" s="407"/>
      <c r="JAC159" s="407"/>
      <c r="JAD159" s="407"/>
      <c r="JAE159" s="407"/>
      <c r="JAF159" s="406"/>
      <c r="JAG159" s="407"/>
      <c r="JAH159" s="407"/>
      <c r="JAI159" s="407"/>
      <c r="JAJ159" s="407"/>
      <c r="JAK159" s="407"/>
      <c r="JAL159" s="406"/>
      <c r="JAM159" s="407"/>
      <c r="JAN159" s="407"/>
      <c r="JAO159" s="407"/>
      <c r="JAP159" s="407"/>
      <c r="JAQ159" s="407"/>
      <c r="JAR159" s="406"/>
      <c r="JAS159" s="407"/>
      <c r="JAT159" s="407"/>
      <c r="JAU159" s="407"/>
      <c r="JAV159" s="407"/>
      <c r="JAW159" s="407"/>
      <c r="JAX159" s="406"/>
      <c r="JAY159" s="407"/>
      <c r="JAZ159" s="407"/>
      <c r="JBA159" s="407"/>
      <c r="JBB159" s="407"/>
      <c r="JBC159" s="407"/>
      <c r="JBD159" s="406"/>
      <c r="JBE159" s="407"/>
      <c r="JBF159" s="407"/>
      <c r="JBG159" s="407"/>
      <c r="JBH159" s="407"/>
      <c r="JBI159" s="407"/>
      <c r="JBJ159" s="406"/>
      <c r="JBK159" s="407"/>
      <c r="JBL159" s="407"/>
      <c r="JBM159" s="407"/>
      <c r="JBN159" s="407"/>
      <c r="JBO159" s="407"/>
      <c r="JBP159" s="406"/>
      <c r="JBQ159" s="407"/>
      <c r="JBR159" s="407"/>
      <c r="JBS159" s="407"/>
      <c r="JBT159" s="407"/>
      <c r="JBU159" s="407"/>
      <c r="JBV159" s="406"/>
      <c r="JBW159" s="407"/>
      <c r="JBX159" s="407"/>
      <c r="JBY159" s="407"/>
      <c r="JBZ159" s="407"/>
      <c r="JCA159" s="407"/>
      <c r="JCB159" s="406"/>
      <c r="JCC159" s="407"/>
      <c r="JCD159" s="407"/>
      <c r="JCE159" s="407"/>
      <c r="JCF159" s="407"/>
      <c r="JCG159" s="407"/>
      <c r="JCH159" s="406"/>
      <c r="JCI159" s="407"/>
      <c r="JCJ159" s="407"/>
      <c r="JCK159" s="407"/>
      <c r="JCL159" s="407"/>
      <c r="JCM159" s="407"/>
      <c r="JCN159" s="406"/>
      <c r="JCO159" s="407"/>
      <c r="JCP159" s="407"/>
      <c r="JCQ159" s="407"/>
      <c r="JCR159" s="407"/>
      <c r="JCS159" s="407"/>
      <c r="JCT159" s="406"/>
      <c r="JCU159" s="407"/>
      <c r="JCV159" s="407"/>
      <c r="JCW159" s="407"/>
      <c r="JCX159" s="407"/>
      <c r="JCY159" s="407"/>
      <c r="JCZ159" s="406"/>
      <c r="JDA159" s="407"/>
      <c r="JDB159" s="407"/>
      <c r="JDC159" s="407"/>
      <c r="JDD159" s="407"/>
      <c r="JDE159" s="407"/>
      <c r="JDF159" s="406"/>
      <c r="JDG159" s="407"/>
      <c r="JDH159" s="407"/>
      <c r="JDI159" s="407"/>
      <c r="JDJ159" s="407"/>
      <c r="JDK159" s="407"/>
      <c r="JDL159" s="406"/>
      <c r="JDM159" s="407"/>
      <c r="JDN159" s="407"/>
      <c r="JDO159" s="407"/>
      <c r="JDP159" s="407"/>
      <c r="JDQ159" s="407"/>
      <c r="JDR159" s="406"/>
      <c r="JDS159" s="407"/>
      <c r="JDT159" s="407"/>
      <c r="JDU159" s="407"/>
      <c r="JDV159" s="407"/>
      <c r="JDW159" s="407"/>
      <c r="JDX159" s="406"/>
      <c r="JDY159" s="407"/>
      <c r="JDZ159" s="407"/>
      <c r="JEA159" s="407"/>
      <c r="JEB159" s="407"/>
      <c r="JEC159" s="407"/>
      <c r="JED159" s="406"/>
      <c r="JEE159" s="407"/>
      <c r="JEF159" s="407"/>
      <c r="JEG159" s="407"/>
      <c r="JEH159" s="407"/>
      <c r="JEI159" s="407"/>
      <c r="JEJ159" s="406"/>
      <c r="JEK159" s="407"/>
      <c r="JEL159" s="407"/>
      <c r="JEM159" s="407"/>
      <c r="JEN159" s="407"/>
      <c r="JEO159" s="407"/>
      <c r="JEP159" s="406"/>
      <c r="JEQ159" s="407"/>
      <c r="JER159" s="407"/>
      <c r="JES159" s="407"/>
      <c r="JET159" s="407"/>
      <c r="JEU159" s="407"/>
      <c r="JEV159" s="406"/>
      <c r="JEW159" s="407"/>
      <c r="JEX159" s="407"/>
      <c r="JEY159" s="407"/>
      <c r="JEZ159" s="407"/>
      <c r="JFA159" s="407"/>
      <c r="JFB159" s="406"/>
      <c r="JFC159" s="407"/>
      <c r="JFD159" s="407"/>
      <c r="JFE159" s="407"/>
      <c r="JFF159" s="407"/>
      <c r="JFG159" s="407"/>
      <c r="JFH159" s="406"/>
      <c r="JFI159" s="407"/>
      <c r="JFJ159" s="407"/>
      <c r="JFK159" s="407"/>
      <c r="JFL159" s="407"/>
      <c r="JFM159" s="407"/>
      <c r="JFN159" s="406"/>
      <c r="JFO159" s="407"/>
      <c r="JFP159" s="407"/>
      <c r="JFQ159" s="407"/>
      <c r="JFR159" s="407"/>
      <c r="JFS159" s="407"/>
      <c r="JFT159" s="406"/>
      <c r="JFU159" s="407"/>
      <c r="JFV159" s="407"/>
      <c r="JFW159" s="407"/>
      <c r="JFX159" s="407"/>
      <c r="JFY159" s="407"/>
      <c r="JFZ159" s="406"/>
      <c r="JGA159" s="407"/>
      <c r="JGB159" s="407"/>
      <c r="JGC159" s="407"/>
      <c r="JGD159" s="407"/>
      <c r="JGE159" s="407"/>
      <c r="JGF159" s="406"/>
      <c r="JGG159" s="407"/>
      <c r="JGH159" s="407"/>
      <c r="JGI159" s="407"/>
      <c r="JGJ159" s="407"/>
      <c r="JGK159" s="407"/>
      <c r="JGL159" s="406"/>
      <c r="JGM159" s="407"/>
      <c r="JGN159" s="407"/>
      <c r="JGO159" s="407"/>
      <c r="JGP159" s="407"/>
      <c r="JGQ159" s="407"/>
      <c r="JGR159" s="406"/>
      <c r="JGS159" s="407"/>
      <c r="JGT159" s="407"/>
      <c r="JGU159" s="407"/>
      <c r="JGV159" s="407"/>
      <c r="JGW159" s="407"/>
      <c r="JGX159" s="406"/>
      <c r="JGY159" s="407"/>
      <c r="JGZ159" s="407"/>
      <c r="JHA159" s="407"/>
      <c r="JHB159" s="407"/>
      <c r="JHC159" s="407"/>
      <c r="JHD159" s="406"/>
      <c r="JHE159" s="407"/>
      <c r="JHF159" s="407"/>
      <c r="JHG159" s="407"/>
      <c r="JHH159" s="407"/>
      <c r="JHI159" s="407"/>
      <c r="JHJ159" s="406"/>
      <c r="JHK159" s="407"/>
      <c r="JHL159" s="407"/>
      <c r="JHM159" s="407"/>
      <c r="JHN159" s="407"/>
      <c r="JHO159" s="407"/>
      <c r="JHP159" s="406"/>
      <c r="JHQ159" s="407"/>
      <c r="JHR159" s="407"/>
      <c r="JHS159" s="407"/>
      <c r="JHT159" s="407"/>
      <c r="JHU159" s="407"/>
      <c r="JHV159" s="406"/>
      <c r="JHW159" s="407"/>
      <c r="JHX159" s="407"/>
      <c r="JHY159" s="407"/>
      <c r="JHZ159" s="407"/>
      <c r="JIA159" s="407"/>
      <c r="JIB159" s="406"/>
      <c r="JIC159" s="407"/>
      <c r="JID159" s="407"/>
      <c r="JIE159" s="407"/>
      <c r="JIF159" s="407"/>
      <c r="JIG159" s="407"/>
      <c r="JIH159" s="406"/>
      <c r="JII159" s="407"/>
      <c r="JIJ159" s="407"/>
      <c r="JIK159" s="407"/>
      <c r="JIL159" s="407"/>
      <c r="JIM159" s="407"/>
      <c r="JIN159" s="406"/>
      <c r="JIO159" s="407"/>
      <c r="JIP159" s="407"/>
      <c r="JIQ159" s="407"/>
      <c r="JIR159" s="407"/>
      <c r="JIS159" s="407"/>
      <c r="JIT159" s="406"/>
      <c r="JIU159" s="407"/>
      <c r="JIV159" s="407"/>
      <c r="JIW159" s="407"/>
      <c r="JIX159" s="407"/>
      <c r="JIY159" s="407"/>
      <c r="JIZ159" s="406"/>
      <c r="JJA159" s="407"/>
      <c r="JJB159" s="407"/>
      <c r="JJC159" s="407"/>
      <c r="JJD159" s="407"/>
      <c r="JJE159" s="407"/>
      <c r="JJF159" s="406"/>
      <c r="JJG159" s="407"/>
      <c r="JJH159" s="407"/>
      <c r="JJI159" s="407"/>
      <c r="JJJ159" s="407"/>
      <c r="JJK159" s="407"/>
      <c r="JJL159" s="406"/>
      <c r="JJM159" s="407"/>
      <c r="JJN159" s="407"/>
      <c r="JJO159" s="407"/>
      <c r="JJP159" s="407"/>
      <c r="JJQ159" s="407"/>
      <c r="JJR159" s="406"/>
      <c r="JJS159" s="407"/>
      <c r="JJT159" s="407"/>
      <c r="JJU159" s="407"/>
      <c r="JJV159" s="407"/>
      <c r="JJW159" s="407"/>
      <c r="JJX159" s="406"/>
      <c r="JJY159" s="407"/>
      <c r="JJZ159" s="407"/>
      <c r="JKA159" s="407"/>
      <c r="JKB159" s="407"/>
      <c r="JKC159" s="407"/>
      <c r="JKD159" s="406"/>
      <c r="JKE159" s="407"/>
      <c r="JKF159" s="407"/>
      <c r="JKG159" s="407"/>
      <c r="JKH159" s="407"/>
      <c r="JKI159" s="407"/>
      <c r="JKJ159" s="406"/>
      <c r="JKK159" s="407"/>
      <c r="JKL159" s="407"/>
      <c r="JKM159" s="407"/>
      <c r="JKN159" s="407"/>
      <c r="JKO159" s="407"/>
      <c r="JKP159" s="406"/>
      <c r="JKQ159" s="407"/>
      <c r="JKR159" s="407"/>
      <c r="JKS159" s="407"/>
      <c r="JKT159" s="407"/>
      <c r="JKU159" s="407"/>
      <c r="JKV159" s="406"/>
      <c r="JKW159" s="407"/>
      <c r="JKX159" s="407"/>
      <c r="JKY159" s="407"/>
      <c r="JKZ159" s="407"/>
      <c r="JLA159" s="407"/>
      <c r="JLB159" s="406"/>
      <c r="JLC159" s="407"/>
      <c r="JLD159" s="407"/>
      <c r="JLE159" s="407"/>
      <c r="JLF159" s="407"/>
      <c r="JLG159" s="407"/>
      <c r="JLH159" s="406"/>
      <c r="JLI159" s="407"/>
      <c r="JLJ159" s="407"/>
      <c r="JLK159" s="407"/>
      <c r="JLL159" s="407"/>
      <c r="JLM159" s="407"/>
      <c r="JLN159" s="406"/>
      <c r="JLO159" s="407"/>
      <c r="JLP159" s="407"/>
      <c r="JLQ159" s="407"/>
      <c r="JLR159" s="407"/>
      <c r="JLS159" s="407"/>
      <c r="JLT159" s="406"/>
      <c r="JLU159" s="407"/>
      <c r="JLV159" s="407"/>
      <c r="JLW159" s="407"/>
      <c r="JLX159" s="407"/>
      <c r="JLY159" s="407"/>
      <c r="JLZ159" s="406"/>
      <c r="JMA159" s="407"/>
      <c r="JMB159" s="407"/>
      <c r="JMC159" s="407"/>
      <c r="JMD159" s="407"/>
      <c r="JME159" s="407"/>
      <c r="JMF159" s="406"/>
      <c r="JMG159" s="407"/>
      <c r="JMH159" s="407"/>
      <c r="JMI159" s="407"/>
      <c r="JMJ159" s="407"/>
      <c r="JMK159" s="407"/>
      <c r="JML159" s="406"/>
      <c r="JMM159" s="407"/>
      <c r="JMN159" s="407"/>
      <c r="JMO159" s="407"/>
      <c r="JMP159" s="407"/>
      <c r="JMQ159" s="407"/>
      <c r="JMR159" s="406"/>
      <c r="JMS159" s="407"/>
      <c r="JMT159" s="407"/>
      <c r="JMU159" s="407"/>
      <c r="JMV159" s="407"/>
      <c r="JMW159" s="407"/>
      <c r="JMX159" s="406"/>
      <c r="JMY159" s="407"/>
      <c r="JMZ159" s="407"/>
      <c r="JNA159" s="407"/>
      <c r="JNB159" s="407"/>
      <c r="JNC159" s="407"/>
      <c r="JND159" s="406"/>
      <c r="JNE159" s="407"/>
      <c r="JNF159" s="407"/>
      <c r="JNG159" s="407"/>
      <c r="JNH159" s="407"/>
      <c r="JNI159" s="407"/>
      <c r="JNJ159" s="406"/>
      <c r="JNK159" s="407"/>
      <c r="JNL159" s="407"/>
      <c r="JNM159" s="407"/>
      <c r="JNN159" s="407"/>
      <c r="JNO159" s="407"/>
      <c r="JNP159" s="406"/>
      <c r="JNQ159" s="407"/>
      <c r="JNR159" s="407"/>
      <c r="JNS159" s="407"/>
      <c r="JNT159" s="407"/>
      <c r="JNU159" s="407"/>
      <c r="JNV159" s="406"/>
      <c r="JNW159" s="407"/>
      <c r="JNX159" s="407"/>
      <c r="JNY159" s="407"/>
      <c r="JNZ159" s="407"/>
      <c r="JOA159" s="407"/>
      <c r="JOB159" s="406"/>
      <c r="JOC159" s="407"/>
      <c r="JOD159" s="407"/>
      <c r="JOE159" s="407"/>
      <c r="JOF159" s="407"/>
      <c r="JOG159" s="407"/>
      <c r="JOH159" s="406"/>
      <c r="JOI159" s="407"/>
      <c r="JOJ159" s="407"/>
      <c r="JOK159" s="407"/>
      <c r="JOL159" s="407"/>
      <c r="JOM159" s="407"/>
      <c r="JON159" s="406"/>
      <c r="JOO159" s="407"/>
      <c r="JOP159" s="407"/>
      <c r="JOQ159" s="407"/>
      <c r="JOR159" s="407"/>
      <c r="JOS159" s="407"/>
      <c r="JOT159" s="406"/>
      <c r="JOU159" s="407"/>
      <c r="JOV159" s="407"/>
      <c r="JOW159" s="407"/>
      <c r="JOX159" s="407"/>
      <c r="JOY159" s="407"/>
      <c r="JOZ159" s="406"/>
      <c r="JPA159" s="407"/>
      <c r="JPB159" s="407"/>
      <c r="JPC159" s="407"/>
      <c r="JPD159" s="407"/>
      <c r="JPE159" s="407"/>
      <c r="JPF159" s="406"/>
      <c r="JPG159" s="407"/>
      <c r="JPH159" s="407"/>
      <c r="JPI159" s="407"/>
      <c r="JPJ159" s="407"/>
      <c r="JPK159" s="407"/>
      <c r="JPL159" s="406"/>
      <c r="JPM159" s="407"/>
      <c r="JPN159" s="407"/>
      <c r="JPO159" s="407"/>
      <c r="JPP159" s="407"/>
      <c r="JPQ159" s="407"/>
      <c r="JPR159" s="406"/>
      <c r="JPS159" s="407"/>
      <c r="JPT159" s="407"/>
      <c r="JPU159" s="407"/>
      <c r="JPV159" s="407"/>
      <c r="JPW159" s="407"/>
      <c r="JPX159" s="406"/>
      <c r="JPY159" s="407"/>
      <c r="JPZ159" s="407"/>
      <c r="JQA159" s="407"/>
      <c r="JQB159" s="407"/>
      <c r="JQC159" s="407"/>
      <c r="JQD159" s="406"/>
      <c r="JQE159" s="407"/>
      <c r="JQF159" s="407"/>
      <c r="JQG159" s="407"/>
      <c r="JQH159" s="407"/>
      <c r="JQI159" s="407"/>
      <c r="JQJ159" s="406"/>
      <c r="JQK159" s="407"/>
      <c r="JQL159" s="407"/>
      <c r="JQM159" s="407"/>
      <c r="JQN159" s="407"/>
      <c r="JQO159" s="407"/>
      <c r="JQP159" s="406"/>
      <c r="JQQ159" s="407"/>
      <c r="JQR159" s="407"/>
      <c r="JQS159" s="407"/>
      <c r="JQT159" s="407"/>
      <c r="JQU159" s="407"/>
      <c r="JQV159" s="406"/>
      <c r="JQW159" s="407"/>
      <c r="JQX159" s="407"/>
      <c r="JQY159" s="407"/>
      <c r="JQZ159" s="407"/>
      <c r="JRA159" s="407"/>
      <c r="JRB159" s="406"/>
      <c r="JRC159" s="407"/>
      <c r="JRD159" s="407"/>
      <c r="JRE159" s="407"/>
      <c r="JRF159" s="407"/>
      <c r="JRG159" s="407"/>
      <c r="JRH159" s="406"/>
      <c r="JRI159" s="407"/>
      <c r="JRJ159" s="407"/>
      <c r="JRK159" s="407"/>
      <c r="JRL159" s="407"/>
      <c r="JRM159" s="407"/>
      <c r="JRN159" s="406"/>
      <c r="JRO159" s="407"/>
      <c r="JRP159" s="407"/>
      <c r="JRQ159" s="407"/>
      <c r="JRR159" s="407"/>
      <c r="JRS159" s="407"/>
      <c r="JRT159" s="406"/>
      <c r="JRU159" s="407"/>
      <c r="JRV159" s="407"/>
      <c r="JRW159" s="407"/>
      <c r="JRX159" s="407"/>
      <c r="JRY159" s="407"/>
      <c r="JRZ159" s="406"/>
      <c r="JSA159" s="407"/>
      <c r="JSB159" s="407"/>
      <c r="JSC159" s="407"/>
      <c r="JSD159" s="407"/>
      <c r="JSE159" s="407"/>
      <c r="JSF159" s="406"/>
      <c r="JSG159" s="407"/>
      <c r="JSH159" s="407"/>
      <c r="JSI159" s="407"/>
      <c r="JSJ159" s="407"/>
      <c r="JSK159" s="407"/>
      <c r="JSL159" s="406"/>
      <c r="JSM159" s="407"/>
      <c r="JSN159" s="407"/>
      <c r="JSO159" s="407"/>
      <c r="JSP159" s="407"/>
      <c r="JSQ159" s="407"/>
      <c r="JSR159" s="406"/>
      <c r="JSS159" s="407"/>
      <c r="JST159" s="407"/>
      <c r="JSU159" s="407"/>
      <c r="JSV159" s="407"/>
      <c r="JSW159" s="407"/>
      <c r="JSX159" s="406"/>
      <c r="JSY159" s="407"/>
      <c r="JSZ159" s="407"/>
      <c r="JTA159" s="407"/>
      <c r="JTB159" s="407"/>
      <c r="JTC159" s="407"/>
      <c r="JTD159" s="406"/>
      <c r="JTE159" s="407"/>
      <c r="JTF159" s="407"/>
      <c r="JTG159" s="407"/>
      <c r="JTH159" s="407"/>
      <c r="JTI159" s="407"/>
      <c r="JTJ159" s="406"/>
      <c r="JTK159" s="407"/>
      <c r="JTL159" s="407"/>
      <c r="JTM159" s="407"/>
      <c r="JTN159" s="407"/>
      <c r="JTO159" s="407"/>
      <c r="JTP159" s="406"/>
      <c r="JTQ159" s="407"/>
      <c r="JTR159" s="407"/>
      <c r="JTS159" s="407"/>
      <c r="JTT159" s="407"/>
      <c r="JTU159" s="407"/>
      <c r="JTV159" s="406"/>
      <c r="JTW159" s="407"/>
      <c r="JTX159" s="407"/>
      <c r="JTY159" s="407"/>
      <c r="JTZ159" s="407"/>
      <c r="JUA159" s="407"/>
      <c r="JUB159" s="406"/>
      <c r="JUC159" s="407"/>
      <c r="JUD159" s="407"/>
      <c r="JUE159" s="407"/>
      <c r="JUF159" s="407"/>
      <c r="JUG159" s="407"/>
      <c r="JUH159" s="406"/>
      <c r="JUI159" s="407"/>
      <c r="JUJ159" s="407"/>
      <c r="JUK159" s="407"/>
      <c r="JUL159" s="407"/>
      <c r="JUM159" s="407"/>
      <c r="JUN159" s="406"/>
      <c r="JUO159" s="407"/>
      <c r="JUP159" s="407"/>
      <c r="JUQ159" s="407"/>
      <c r="JUR159" s="407"/>
      <c r="JUS159" s="407"/>
      <c r="JUT159" s="406"/>
      <c r="JUU159" s="407"/>
      <c r="JUV159" s="407"/>
      <c r="JUW159" s="407"/>
      <c r="JUX159" s="407"/>
      <c r="JUY159" s="407"/>
      <c r="JUZ159" s="406"/>
      <c r="JVA159" s="407"/>
      <c r="JVB159" s="407"/>
      <c r="JVC159" s="407"/>
      <c r="JVD159" s="407"/>
      <c r="JVE159" s="407"/>
      <c r="JVF159" s="406"/>
      <c r="JVG159" s="407"/>
      <c r="JVH159" s="407"/>
      <c r="JVI159" s="407"/>
      <c r="JVJ159" s="407"/>
      <c r="JVK159" s="407"/>
      <c r="JVL159" s="406"/>
      <c r="JVM159" s="407"/>
      <c r="JVN159" s="407"/>
      <c r="JVO159" s="407"/>
      <c r="JVP159" s="407"/>
      <c r="JVQ159" s="407"/>
      <c r="JVR159" s="406"/>
      <c r="JVS159" s="407"/>
      <c r="JVT159" s="407"/>
      <c r="JVU159" s="407"/>
      <c r="JVV159" s="407"/>
      <c r="JVW159" s="407"/>
      <c r="JVX159" s="406"/>
      <c r="JVY159" s="407"/>
      <c r="JVZ159" s="407"/>
      <c r="JWA159" s="407"/>
      <c r="JWB159" s="407"/>
      <c r="JWC159" s="407"/>
      <c r="JWD159" s="406"/>
      <c r="JWE159" s="407"/>
      <c r="JWF159" s="407"/>
      <c r="JWG159" s="407"/>
      <c r="JWH159" s="407"/>
      <c r="JWI159" s="407"/>
      <c r="JWJ159" s="406"/>
      <c r="JWK159" s="407"/>
      <c r="JWL159" s="407"/>
      <c r="JWM159" s="407"/>
      <c r="JWN159" s="407"/>
      <c r="JWO159" s="407"/>
      <c r="JWP159" s="406"/>
      <c r="JWQ159" s="407"/>
      <c r="JWR159" s="407"/>
      <c r="JWS159" s="407"/>
      <c r="JWT159" s="407"/>
      <c r="JWU159" s="407"/>
      <c r="JWV159" s="406"/>
      <c r="JWW159" s="407"/>
      <c r="JWX159" s="407"/>
      <c r="JWY159" s="407"/>
      <c r="JWZ159" s="407"/>
      <c r="JXA159" s="407"/>
      <c r="JXB159" s="406"/>
      <c r="JXC159" s="407"/>
      <c r="JXD159" s="407"/>
      <c r="JXE159" s="407"/>
      <c r="JXF159" s="407"/>
      <c r="JXG159" s="407"/>
      <c r="JXH159" s="406"/>
      <c r="JXI159" s="407"/>
      <c r="JXJ159" s="407"/>
      <c r="JXK159" s="407"/>
      <c r="JXL159" s="407"/>
      <c r="JXM159" s="407"/>
      <c r="JXN159" s="406"/>
      <c r="JXO159" s="407"/>
      <c r="JXP159" s="407"/>
      <c r="JXQ159" s="407"/>
      <c r="JXR159" s="407"/>
      <c r="JXS159" s="407"/>
      <c r="JXT159" s="406"/>
      <c r="JXU159" s="407"/>
      <c r="JXV159" s="407"/>
      <c r="JXW159" s="407"/>
      <c r="JXX159" s="407"/>
      <c r="JXY159" s="407"/>
      <c r="JXZ159" s="406"/>
      <c r="JYA159" s="407"/>
      <c r="JYB159" s="407"/>
      <c r="JYC159" s="407"/>
      <c r="JYD159" s="407"/>
      <c r="JYE159" s="407"/>
      <c r="JYF159" s="406"/>
      <c r="JYG159" s="407"/>
      <c r="JYH159" s="407"/>
      <c r="JYI159" s="407"/>
      <c r="JYJ159" s="407"/>
      <c r="JYK159" s="407"/>
      <c r="JYL159" s="406"/>
      <c r="JYM159" s="407"/>
      <c r="JYN159" s="407"/>
      <c r="JYO159" s="407"/>
      <c r="JYP159" s="407"/>
      <c r="JYQ159" s="407"/>
      <c r="JYR159" s="406"/>
      <c r="JYS159" s="407"/>
      <c r="JYT159" s="407"/>
      <c r="JYU159" s="407"/>
      <c r="JYV159" s="407"/>
      <c r="JYW159" s="407"/>
      <c r="JYX159" s="406"/>
      <c r="JYY159" s="407"/>
      <c r="JYZ159" s="407"/>
      <c r="JZA159" s="407"/>
      <c r="JZB159" s="407"/>
      <c r="JZC159" s="407"/>
      <c r="JZD159" s="406"/>
      <c r="JZE159" s="407"/>
      <c r="JZF159" s="407"/>
      <c r="JZG159" s="407"/>
      <c r="JZH159" s="407"/>
      <c r="JZI159" s="407"/>
      <c r="JZJ159" s="406"/>
      <c r="JZK159" s="407"/>
      <c r="JZL159" s="407"/>
      <c r="JZM159" s="407"/>
      <c r="JZN159" s="407"/>
      <c r="JZO159" s="407"/>
      <c r="JZP159" s="406"/>
      <c r="JZQ159" s="407"/>
      <c r="JZR159" s="407"/>
      <c r="JZS159" s="407"/>
      <c r="JZT159" s="407"/>
      <c r="JZU159" s="407"/>
      <c r="JZV159" s="406"/>
      <c r="JZW159" s="407"/>
      <c r="JZX159" s="407"/>
      <c r="JZY159" s="407"/>
      <c r="JZZ159" s="407"/>
      <c r="KAA159" s="407"/>
      <c r="KAB159" s="406"/>
      <c r="KAC159" s="407"/>
      <c r="KAD159" s="407"/>
      <c r="KAE159" s="407"/>
      <c r="KAF159" s="407"/>
      <c r="KAG159" s="407"/>
      <c r="KAH159" s="406"/>
      <c r="KAI159" s="407"/>
      <c r="KAJ159" s="407"/>
      <c r="KAK159" s="407"/>
      <c r="KAL159" s="407"/>
      <c r="KAM159" s="407"/>
      <c r="KAN159" s="406"/>
      <c r="KAO159" s="407"/>
      <c r="KAP159" s="407"/>
      <c r="KAQ159" s="407"/>
      <c r="KAR159" s="407"/>
      <c r="KAS159" s="407"/>
      <c r="KAT159" s="406"/>
      <c r="KAU159" s="407"/>
      <c r="KAV159" s="407"/>
      <c r="KAW159" s="407"/>
      <c r="KAX159" s="407"/>
      <c r="KAY159" s="407"/>
      <c r="KAZ159" s="406"/>
      <c r="KBA159" s="407"/>
      <c r="KBB159" s="407"/>
      <c r="KBC159" s="407"/>
      <c r="KBD159" s="407"/>
      <c r="KBE159" s="407"/>
      <c r="KBF159" s="406"/>
      <c r="KBG159" s="407"/>
      <c r="KBH159" s="407"/>
      <c r="KBI159" s="407"/>
      <c r="KBJ159" s="407"/>
      <c r="KBK159" s="407"/>
      <c r="KBL159" s="406"/>
      <c r="KBM159" s="407"/>
      <c r="KBN159" s="407"/>
      <c r="KBO159" s="407"/>
      <c r="KBP159" s="407"/>
      <c r="KBQ159" s="407"/>
      <c r="KBR159" s="406"/>
      <c r="KBS159" s="407"/>
      <c r="KBT159" s="407"/>
      <c r="KBU159" s="407"/>
      <c r="KBV159" s="407"/>
      <c r="KBW159" s="407"/>
      <c r="KBX159" s="406"/>
      <c r="KBY159" s="407"/>
      <c r="KBZ159" s="407"/>
      <c r="KCA159" s="407"/>
      <c r="KCB159" s="407"/>
      <c r="KCC159" s="407"/>
      <c r="KCD159" s="406"/>
      <c r="KCE159" s="407"/>
      <c r="KCF159" s="407"/>
      <c r="KCG159" s="407"/>
      <c r="KCH159" s="407"/>
      <c r="KCI159" s="407"/>
      <c r="KCJ159" s="406"/>
      <c r="KCK159" s="407"/>
      <c r="KCL159" s="407"/>
      <c r="KCM159" s="407"/>
      <c r="KCN159" s="407"/>
      <c r="KCO159" s="407"/>
      <c r="KCP159" s="406"/>
      <c r="KCQ159" s="407"/>
      <c r="KCR159" s="407"/>
      <c r="KCS159" s="407"/>
      <c r="KCT159" s="407"/>
      <c r="KCU159" s="407"/>
      <c r="KCV159" s="406"/>
      <c r="KCW159" s="407"/>
      <c r="KCX159" s="407"/>
      <c r="KCY159" s="407"/>
      <c r="KCZ159" s="407"/>
      <c r="KDA159" s="407"/>
      <c r="KDB159" s="406"/>
      <c r="KDC159" s="407"/>
      <c r="KDD159" s="407"/>
      <c r="KDE159" s="407"/>
      <c r="KDF159" s="407"/>
      <c r="KDG159" s="407"/>
      <c r="KDH159" s="406"/>
      <c r="KDI159" s="407"/>
      <c r="KDJ159" s="407"/>
      <c r="KDK159" s="407"/>
      <c r="KDL159" s="407"/>
      <c r="KDM159" s="407"/>
      <c r="KDN159" s="406"/>
      <c r="KDO159" s="407"/>
      <c r="KDP159" s="407"/>
      <c r="KDQ159" s="407"/>
      <c r="KDR159" s="407"/>
      <c r="KDS159" s="407"/>
      <c r="KDT159" s="406"/>
      <c r="KDU159" s="407"/>
      <c r="KDV159" s="407"/>
      <c r="KDW159" s="407"/>
      <c r="KDX159" s="407"/>
      <c r="KDY159" s="407"/>
      <c r="KDZ159" s="406"/>
      <c r="KEA159" s="407"/>
      <c r="KEB159" s="407"/>
      <c r="KEC159" s="407"/>
      <c r="KED159" s="407"/>
      <c r="KEE159" s="407"/>
      <c r="KEF159" s="406"/>
      <c r="KEG159" s="407"/>
      <c r="KEH159" s="407"/>
      <c r="KEI159" s="407"/>
      <c r="KEJ159" s="407"/>
      <c r="KEK159" s="407"/>
      <c r="KEL159" s="406"/>
      <c r="KEM159" s="407"/>
      <c r="KEN159" s="407"/>
      <c r="KEO159" s="407"/>
      <c r="KEP159" s="407"/>
      <c r="KEQ159" s="407"/>
      <c r="KER159" s="406"/>
      <c r="KES159" s="407"/>
      <c r="KET159" s="407"/>
      <c r="KEU159" s="407"/>
      <c r="KEV159" s="407"/>
      <c r="KEW159" s="407"/>
      <c r="KEX159" s="406"/>
      <c r="KEY159" s="407"/>
      <c r="KEZ159" s="407"/>
      <c r="KFA159" s="407"/>
      <c r="KFB159" s="407"/>
      <c r="KFC159" s="407"/>
      <c r="KFD159" s="406"/>
      <c r="KFE159" s="407"/>
      <c r="KFF159" s="407"/>
      <c r="KFG159" s="407"/>
      <c r="KFH159" s="407"/>
      <c r="KFI159" s="407"/>
      <c r="KFJ159" s="406"/>
      <c r="KFK159" s="407"/>
      <c r="KFL159" s="407"/>
      <c r="KFM159" s="407"/>
      <c r="KFN159" s="407"/>
      <c r="KFO159" s="407"/>
      <c r="KFP159" s="406"/>
      <c r="KFQ159" s="407"/>
      <c r="KFR159" s="407"/>
      <c r="KFS159" s="407"/>
      <c r="KFT159" s="407"/>
      <c r="KFU159" s="407"/>
      <c r="KFV159" s="406"/>
      <c r="KFW159" s="407"/>
      <c r="KFX159" s="407"/>
      <c r="KFY159" s="407"/>
      <c r="KFZ159" s="407"/>
      <c r="KGA159" s="407"/>
      <c r="KGB159" s="406"/>
      <c r="KGC159" s="407"/>
      <c r="KGD159" s="407"/>
      <c r="KGE159" s="407"/>
      <c r="KGF159" s="407"/>
      <c r="KGG159" s="407"/>
      <c r="KGH159" s="406"/>
      <c r="KGI159" s="407"/>
      <c r="KGJ159" s="407"/>
      <c r="KGK159" s="407"/>
      <c r="KGL159" s="407"/>
      <c r="KGM159" s="407"/>
      <c r="KGN159" s="406"/>
      <c r="KGO159" s="407"/>
      <c r="KGP159" s="407"/>
      <c r="KGQ159" s="407"/>
      <c r="KGR159" s="407"/>
      <c r="KGS159" s="407"/>
      <c r="KGT159" s="406"/>
      <c r="KGU159" s="407"/>
      <c r="KGV159" s="407"/>
      <c r="KGW159" s="407"/>
      <c r="KGX159" s="407"/>
      <c r="KGY159" s="407"/>
      <c r="KGZ159" s="406"/>
      <c r="KHA159" s="407"/>
      <c r="KHB159" s="407"/>
      <c r="KHC159" s="407"/>
      <c r="KHD159" s="407"/>
      <c r="KHE159" s="407"/>
      <c r="KHF159" s="406"/>
      <c r="KHG159" s="407"/>
      <c r="KHH159" s="407"/>
      <c r="KHI159" s="407"/>
      <c r="KHJ159" s="407"/>
      <c r="KHK159" s="407"/>
      <c r="KHL159" s="406"/>
      <c r="KHM159" s="407"/>
      <c r="KHN159" s="407"/>
      <c r="KHO159" s="407"/>
      <c r="KHP159" s="407"/>
      <c r="KHQ159" s="407"/>
      <c r="KHR159" s="406"/>
      <c r="KHS159" s="407"/>
      <c r="KHT159" s="407"/>
      <c r="KHU159" s="407"/>
      <c r="KHV159" s="407"/>
      <c r="KHW159" s="407"/>
      <c r="KHX159" s="406"/>
      <c r="KHY159" s="407"/>
      <c r="KHZ159" s="407"/>
      <c r="KIA159" s="407"/>
      <c r="KIB159" s="407"/>
      <c r="KIC159" s="407"/>
      <c r="KID159" s="406"/>
      <c r="KIE159" s="407"/>
      <c r="KIF159" s="407"/>
      <c r="KIG159" s="407"/>
      <c r="KIH159" s="407"/>
      <c r="KII159" s="407"/>
      <c r="KIJ159" s="406"/>
      <c r="KIK159" s="407"/>
      <c r="KIL159" s="407"/>
      <c r="KIM159" s="407"/>
      <c r="KIN159" s="407"/>
      <c r="KIO159" s="407"/>
      <c r="KIP159" s="406"/>
      <c r="KIQ159" s="407"/>
      <c r="KIR159" s="407"/>
      <c r="KIS159" s="407"/>
      <c r="KIT159" s="407"/>
      <c r="KIU159" s="407"/>
      <c r="KIV159" s="406"/>
      <c r="KIW159" s="407"/>
      <c r="KIX159" s="407"/>
      <c r="KIY159" s="407"/>
      <c r="KIZ159" s="407"/>
      <c r="KJA159" s="407"/>
      <c r="KJB159" s="406"/>
      <c r="KJC159" s="407"/>
      <c r="KJD159" s="407"/>
      <c r="KJE159" s="407"/>
      <c r="KJF159" s="407"/>
      <c r="KJG159" s="407"/>
      <c r="KJH159" s="406"/>
      <c r="KJI159" s="407"/>
      <c r="KJJ159" s="407"/>
      <c r="KJK159" s="407"/>
      <c r="KJL159" s="407"/>
      <c r="KJM159" s="407"/>
      <c r="KJN159" s="406"/>
      <c r="KJO159" s="407"/>
      <c r="KJP159" s="407"/>
      <c r="KJQ159" s="407"/>
      <c r="KJR159" s="407"/>
      <c r="KJS159" s="407"/>
      <c r="KJT159" s="406"/>
      <c r="KJU159" s="407"/>
      <c r="KJV159" s="407"/>
      <c r="KJW159" s="407"/>
      <c r="KJX159" s="407"/>
      <c r="KJY159" s="407"/>
      <c r="KJZ159" s="406"/>
      <c r="KKA159" s="407"/>
      <c r="KKB159" s="407"/>
      <c r="KKC159" s="407"/>
      <c r="KKD159" s="407"/>
      <c r="KKE159" s="407"/>
      <c r="KKF159" s="406"/>
      <c r="KKG159" s="407"/>
      <c r="KKH159" s="407"/>
      <c r="KKI159" s="407"/>
      <c r="KKJ159" s="407"/>
      <c r="KKK159" s="407"/>
      <c r="KKL159" s="406"/>
      <c r="KKM159" s="407"/>
      <c r="KKN159" s="407"/>
      <c r="KKO159" s="407"/>
      <c r="KKP159" s="407"/>
      <c r="KKQ159" s="407"/>
      <c r="KKR159" s="406"/>
      <c r="KKS159" s="407"/>
      <c r="KKT159" s="407"/>
      <c r="KKU159" s="407"/>
      <c r="KKV159" s="407"/>
      <c r="KKW159" s="407"/>
      <c r="KKX159" s="406"/>
      <c r="KKY159" s="407"/>
      <c r="KKZ159" s="407"/>
      <c r="KLA159" s="407"/>
      <c r="KLB159" s="407"/>
      <c r="KLC159" s="407"/>
      <c r="KLD159" s="406"/>
      <c r="KLE159" s="407"/>
      <c r="KLF159" s="407"/>
      <c r="KLG159" s="407"/>
      <c r="KLH159" s="407"/>
      <c r="KLI159" s="407"/>
      <c r="KLJ159" s="406"/>
      <c r="KLK159" s="407"/>
      <c r="KLL159" s="407"/>
      <c r="KLM159" s="407"/>
      <c r="KLN159" s="407"/>
      <c r="KLO159" s="407"/>
      <c r="KLP159" s="406"/>
      <c r="KLQ159" s="407"/>
      <c r="KLR159" s="407"/>
      <c r="KLS159" s="407"/>
      <c r="KLT159" s="407"/>
      <c r="KLU159" s="407"/>
      <c r="KLV159" s="406"/>
      <c r="KLW159" s="407"/>
      <c r="KLX159" s="407"/>
      <c r="KLY159" s="407"/>
      <c r="KLZ159" s="407"/>
      <c r="KMA159" s="407"/>
      <c r="KMB159" s="406"/>
      <c r="KMC159" s="407"/>
      <c r="KMD159" s="407"/>
      <c r="KME159" s="407"/>
      <c r="KMF159" s="407"/>
      <c r="KMG159" s="407"/>
      <c r="KMH159" s="406"/>
      <c r="KMI159" s="407"/>
      <c r="KMJ159" s="407"/>
      <c r="KMK159" s="407"/>
      <c r="KML159" s="407"/>
      <c r="KMM159" s="407"/>
      <c r="KMN159" s="406"/>
      <c r="KMO159" s="407"/>
      <c r="KMP159" s="407"/>
      <c r="KMQ159" s="407"/>
      <c r="KMR159" s="407"/>
      <c r="KMS159" s="407"/>
      <c r="KMT159" s="406"/>
      <c r="KMU159" s="407"/>
      <c r="KMV159" s="407"/>
      <c r="KMW159" s="407"/>
      <c r="KMX159" s="407"/>
      <c r="KMY159" s="407"/>
      <c r="KMZ159" s="406"/>
      <c r="KNA159" s="407"/>
      <c r="KNB159" s="407"/>
      <c r="KNC159" s="407"/>
      <c r="KND159" s="407"/>
      <c r="KNE159" s="407"/>
      <c r="KNF159" s="406"/>
      <c r="KNG159" s="407"/>
      <c r="KNH159" s="407"/>
      <c r="KNI159" s="407"/>
      <c r="KNJ159" s="407"/>
      <c r="KNK159" s="407"/>
      <c r="KNL159" s="406"/>
      <c r="KNM159" s="407"/>
      <c r="KNN159" s="407"/>
      <c r="KNO159" s="407"/>
      <c r="KNP159" s="407"/>
      <c r="KNQ159" s="407"/>
      <c r="KNR159" s="406"/>
      <c r="KNS159" s="407"/>
      <c r="KNT159" s="407"/>
      <c r="KNU159" s="407"/>
      <c r="KNV159" s="407"/>
      <c r="KNW159" s="407"/>
      <c r="KNX159" s="406"/>
      <c r="KNY159" s="407"/>
      <c r="KNZ159" s="407"/>
      <c r="KOA159" s="407"/>
      <c r="KOB159" s="407"/>
      <c r="KOC159" s="407"/>
      <c r="KOD159" s="406"/>
      <c r="KOE159" s="407"/>
      <c r="KOF159" s="407"/>
      <c r="KOG159" s="407"/>
      <c r="KOH159" s="407"/>
      <c r="KOI159" s="407"/>
      <c r="KOJ159" s="406"/>
      <c r="KOK159" s="407"/>
      <c r="KOL159" s="407"/>
      <c r="KOM159" s="407"/>
      <c r="KON159" s="407"/>
      <c r="KOO159" s="407"/>
      <c r="KOP159" s="406"/>
      <c r="KOQ159" s="407"/>
      <c r="KOR159" s="407"/>
      <c r="KOS159" s="407"/>
      <c r="KOT159" s="407"/>
      <c r="KOU159" s="407"/>
      <c r="KOV159" s="406"/>
      <c r="KOW159" s="407"/>
      <c r="KOX159" s="407"/>
      <c r="KOY159" s="407"/>
      <c r="KOZ159" s="407"/>
      <c r="KPA159" s="407"/>
      <c r="KPB159" s="406"/>
      <c r="KPC159" s="407"/>
      <c r="KPD159" s="407"/>
      <c r="KPE159" s="407"/>
      <c r="KPF159" s="407"/>
      <c r="KPG159" s="407"/>
      <c r="KPH159" s="406"/>
      <c r="KPI159" s="407"/>
      <c r="KPJ159" s="407"/>
      <c r="KPK159" s="407"/>
      <c r="KPL159" s="407"/>
      <c r="KPM159" s="407"/>
      <c r="KPN159" s="406"/>
      <c r="KPO159" s="407"/>
      <c r="KPP159" s="407"/>
      <c r="KPQ159" s="407"/>
      <c r="KPR159" s="407"/>
      <c r="KPS159" s="407"/>
      <c r="KPT159" s="406"/>
      <c r="KPU159" s="407"/>
      <c r="KPV159" s="407"/>
      <c r="KPW159" s="407"/>
      <c r="KPX159" s="407"/>
      <c r="KPY159" s="407"/>
      <c r="KPZ159" s="406"/>
      <c r="KQA159" s="407"/>
      <c r="KQB159" s="407"/>
      <c r="KQC159" s="407"/>
      <c r="KQD159" s="407"/>
      <c r="KQE159" s="407"/>
      <c r="KQF159" s="406"/>
      <c r="KQG159" s="407"/>
      <c r="KQH159" s="407"/>
      <c r="KQI159" s="407"/>
      <c r="KQJ159" s="407"/>
      <c r="KQK159" s="407"/>
      <c r="KQL159" s="406"/>
      <c r="KQM159" s="407"/>
      <c r="KQN159" s="407"/>
      <c r="KQO159" s="407"/>
      <c r="KQP159" s="407"/>
      <c r="KQQ159" s="407"/>
      <c r="KQR159" s="406"/>
      <c r="KQS159" s="407"/>
      <c r="KQT159" s="407"/>
      <c r="KQU159" s="407"/>
      <c r="KQV159" s="407"/>
      <c r="KQW159" s="407"/>
      <c r="KQX159" s="406"/>
      <c r="KQY159" s="407"/>
      <c r="KQZ159" s="407"/>
      <c r="KRA159" s="407"/>
      <c r="KRB159" s="407"/>
      <c r="KRC159" s="407"/>
      <c r="KRD159" s="406"/>
      <c r="KRE159" s="407"/>
      <c r="KRF159" s="407"/>
      <c r="KRG159" s="407"/>
      <c r="KRH159" s="407"/>
      <c r="KRI159" s="407"/>
      <c r="KRJ159" s="406"/>
      <c r="KRK159" s="407"/>
      <c r="KRL159" s="407"/>
      <c r="KRM159" s="407"/>
      <c r="KRN159" s="407"/>
      <c r="KRO159" s="407"/>
      <c r="KRP159" s="406"/>
      <c r="KRQ159" s="407"/>
      <c r="KRR159" s="407"/>
      <c r="KRS159" s="407"/>
      <c r="KRT159" s="407"/>
      <c r="KRU159" s="407"/>
      <c r="KRV159" s="406"/>
      <c r="KRW159" s="407"/>
      <c r="KRX159" s="407"/>
      <c r="KRY159" s="407"/>
      <c r="KRZ159" s="407"/>
      <c r="KSA159" s="407"/>
      <c r="KSB159" s="406"/>
      <c r="KSC159" s="407"/>
      <c r="KSD159" s="407"/>
      <c r="KSE159" s="407"/>
      <c r="KSF159" s="407"/>
      <c r="KSG159" s="407"/>
      <c r="KSH159" s="406"/>
      <c r="KSI159" s="407"/>
      <c r="KSJ159" s="407"/>
      <c r="KSK159" s="407"/>
      <c r="KSL159" s="407"/>
      <c r="KSM159" s="407"/>
      <c r="KSN159" s="406"/>
      <c r="KSO159" s="407"/>
      <c r="KSP159" s="407"/>
      <c r="KSQ159" s="407"/>
      <c r="KSR159" s="407"/>
      <c r="KSS159" s="407"/>
      <c r="KST159" s="406"/>
      <c r="KSU159" s="407"/>
      <c r="KSV159" s="407"/>
      <c r="KSW159" s="407"/>
      <c r="KSX159" s="407"/>
      <c r="KSY159" s="407"/>
      <c r="KSZ159" s="406"/>
      <c r="KTA159" s="407"/>
      <c r="KTB159" s="407"/>
      <c r="KTC159" s="407"/>
      <c r="KTD159" s="407"/>
      <c r="KTE159" s="407"/>
      <c r="KTF159" s="406"/>
      <c r="KTG159" s="407"/>
      <c r="KTH159" s="407"/>
      <c r="KTI159" s="407"/>
      <c r="KTJ159" s="407"/>
      <c r="KTK159" s="407"/>
      <c r="KTL159" s="406"/>
      <c r="KTM159" s="407"/>
      <c r="KTN159" s="407"/>
      <c r="KTO159" s="407"/>
      <c r="KTP159" s="407"/>
      <c r="KTQ159" s="407"/>
      <c r="KTR159" s="406"/>
      <c r="KTS159" s="407"/>
      <c r="KTT159" s="407"/>
      <c r="KTU159" s="407"/>
      <c r="KTV159" s="407"/>
      <c r="KTW159" s="407"/>
      <c r="KTX159" s="406"/>
      <c r="KTY159" s="407"/>
      <c r="KTZ159" s="407"/>
      <c r="KUA159" s="407"/>
      <c r="KUB159" s="407"/>
      <c r="KUC159" s="407"/>
      <c r="KUD159" s="406"/>
      <c r="KUE159" s="407"/>
      <c r="KUF159" s="407"/>
      <c r="KUG159" s="407"/>
      <c r="KUH159" s="407"/>
      <c r="KUI159" s="407"/>
      <c r="KUJ159" s="406"/>
      <c r="KUK159" s="407"/>
      <c r="KUL159" s="407"/>
      <c r="KUM159" s="407"/>
      <c r="KUN159" s="407"/>
      <c r="KUO159" s="407"/>
      <c r="KUP159" s="406"/>
      <c r="KUQ159" s="407"/>
      <c r="KUR159" s="407"/>
      <c r="KUS159" s="407"/>
      <c r="KUT159" s="407"/>
      <c r="KUU159" s="407"/>
      <c r="KUV159" s="406"/>
      <c r="KUW159" s="407"/>
      <c r="KUX159" s="407"/>
      <c r="KUY159" s="407"/>
      <c r="KUZ159" s="407"/>
      <c r="KVA159" s="407"/>
      <c r="KVB159" s="406"/>
      <c r="KVC159" s="407"/>
      <c r="KVD159" s="407"/>
      <c r="KVE159" s="407"/>
      <c r="KVF159" s="407"/>
      <c r="KVG159" s="407"/>
      <c r="KVH159" s="406"/>
      <c r="KVI159" s="407"/>
      <c r="KVJ159" s="407"/>
      <c r="KVK159" s="407"/>
      <c r="KVL159" s="407"/>
      <c r="KVM159" s="407"/>
      <c r="KVN159" s="406"/>
      <c r="KVO159" s="407"/>
      <c r="KVP159" s="407"/>
      <c r="KVQ159" s="407"/>
      <c r="KVR159" s="407"/>
      <c r="KVS159" s="407"/>
      <c r="KVT159" s="406"/>
      <c r="KVU159" s="407"/>
      <c r="KVV159" s="407"/>
      <c r="KVW159" s="407"/>
      <c r="KVX159" s="407"/>
      <c r="KVY159" s="407"/>
      <c r="KVZ159" s="406"/>
      <c r="KWA159" s="407"/>
      <c r="KWB159" s="407"/>
      <c r="KWC159" s="407"/>
      <c r="KWD159" s="407"/>
      <c r="KWE159" s="407"/>
      <c r="KWF159" s="406"/>
      <c r="KWG159" s="407"/>
      <c r="KWH159" s="407"/>
      <c r="KWI159" s="407"/>
      <c r="KWJ159" s="407"/>
      <c r="KWK159" s="407"/>
      <c r="KWL159" s="406"/>
      <c r="KWM159" s="407"/>
      <c r="KWN159" s="407"/>
      <c r="KWO159" s="407"/>
      <c r="KWP159" s="407"/>
      <c r="KWQ159" s="407"/>
      <c r="KWR159" s="406"/>
      <c r="KWS159" s="407"/>
      <c r="KWT159" s="407"/>
      <c r="KWU159" s="407"/>
      <c r="KWV159" s="407"/>
      <c r="KWW159" s="407"/>
      <c r="KWX159" s="406"/>
      <c r="KWY159" s="407"/>
      <c r="KWZ159" s="407"/>
      <c r="KXA159" s="407"/>
      <c r="KXB159" s="407"/>
      <c r="KXC159" s="407"/>
      <c r="KXD159" s="406"/>
      <c r="KXE159" s="407"/>
      <c r="KXF159" s="407"/>
      <c r="KXG159" s="407"/>
      <c r="KXH159" s="407"/>
      <c r="KXI159" s="407"/>
      <c r="KXJ159" s="406"/>
      <c r="KXK159" s="407"/>
      <c r="KXL159" s="407"/>
      <c r="KXM159" s="407"/>
      <c r="KXN159" s="407"/>
      <c r="KXO159" s="407"/>
      <c r="KXP159" s="406"/>
      <c r="KXQ159" s="407"/>
      <c r="KXR159" s="407"/>
      <c r="KXS159" s="407"/>
      <c r="KXT159" s="407"/>
      <c r="KXU159" s="407"/>
      <c r="KXV159" s="406"/>
      <c r="KXW159" s="407"/>
      <c r="KXX159" s="407"/>
      <c r="KXY159" s="407"/>
      <c r="KXZ159" s="407"/>
      <c r="KYA159" s="407"/>
      <c r="KYB159" s="406"/>
      <c r="KYC159" s="407"/>
      <c r="KYD159" s="407"/>
      <c r="KYE159" s="407"/>
      <c r="KYF159" s="407"/>
      <c r="KYG159" s="407"/>
      <c r="KYH159" s="406"/>
      <c r="KYI159" s="407"/>
      <c r="KYJ159" s="407"/>
      <c r="KYK159" s="407"/>
      <c r="KYL159" s="407"/>
      <c r="KYM159" s="407"/>
      <c r="KYN159" s="406"/>
      <c r="KYO159" s="407"/>
      <c r="KYP159" s="407"/>
      <c r="KYQ159" s="407"/>
      <c r="KYR159" s="407"/>
      <c r="KYS159" s="407"/>
      <c r="KYT159" s="406"/>
      <c r="KYU159" s="407"/>
      <c r="KYV159" s="407"/>
      <c r="KYW159" s="407"/>
      <c r="KYX159" s="407"/>
      <c r="KYY159" s="407"/>
      <c r="KYZ159" s="406"/>
      <c r="KZA159" s="407"/>
      <c r="KZB159" s="407"/>
      <c r="KZC159" s="407"/>
      <c r="KZD159" s="407"/>
      <c r="KZE159" s="407"/>
      <c r="KZF159" s="406"/>
      <c r="KZG159" s="407"/>
      <c r="KZH159" s="407"/>
      <c r="KZI159" s="407"/>
      <c r="KZJ159" s="407"/>
      <c r="KZK159" s="407"/>
      <c r="KZL159" s="406"/>
      <c r="KZM159" s="407"/>
      <c r="KZN159" s="407"/>
      <c r="KZO159" s="407"/>
      <c r="KZP159" s="407"/>
      <c r="KZQ159" s="407"/>
      <c r="KZR159" s="406"/>
      <c r="KZS159" s="407"/>
      <c r="KZT159" s="407"/>
      <c r="KZU159" s="407"/>
      <c r="KZV159" s="407"/>
      <c r="KZW159" s="407"/>
      <c r="KZX159" s="406"/>
      <c r="KZY159" s="407"/>
      <c r="KZZ159" s="407"/>
      <c r="LAA159" s="407"/>
      <c r="LAB159" s="407"/>
      <c r="LAC159" s="407"/>
      <c r="LAD159" s="406"/>
      <c r="LAE159" s="407"/>
      <c r="LAF159" s="407"/>
      <c r="LAG159" s="407"/>
      <c r="LAH159" s="407"/>
      <c r="LAI159" s="407"/>
      <c r="LAJ159" s="406"/>
      <c r="LAK159" s="407"/>
      <c r="LAL159" s="407"/>
      <c r="LAM159" s="407"/>
      <c r="LAN159" s="407"/>
      <c r="LAO159" s="407"/>
      <c r="LAP159" s="406"/>
      <c r="LAQ159" s="407"/>
      <c r="LAR159" s="407"/>
      <c r="LAS159" s="407"/>
      <c r="LAT159" s="407"/>
      <c r="LAU159" s="407"/>
      <c r="LAV159" s="406"/>
      <c r="LAW159" s="407"/>
      <c r="LAX159" s="407"/>
      <c r="LAY159" s="407"/>
      <c r="LAZ159" s="407"/>
      <c r="LBA159" s="407"/>
      <c r="LBB159" s="406"/>
      <c r="LBC159" s="407"/>
      <c r="LBD159" s="407"/>
      <c r="LBE159" s="407"/>
      <c r="LBF159" s="407"/>
      <c r="LBG159" s="407"/>
      <c r="LBH159" s="406"/>
      <c r="LBI159" s="407"/>
      <c r="LBJ159" s="407"/>
      <c r="LBK159" s="407"/>
      <c r="LBL159" s="407"/>
      <c r="LBM159" s="407"/>
      <c r="LBN159" s="406"/>
      <c r="LBO159" s="407"/>
      <c r="LBP159" s="407"/>
      <c r="LBQ159" s="407"/>
      <c r="LBR159" s="407"/>
      <c r="LBS159" s="407"/>
      <c r="LBT159" s="406"/>
      <c r="LBU159" s="407"/>
      <c r="LBV159" s="407"/>
      <c r="LBW159" s="407"/>
      <c r="LBX159" s="407"/>
      <c r="LBY159" s="407"/>
      <c r="LBZ159" s="406"/>
      <c r="LCA159" s="407"/>
      <c r="LCB159" s="407"/>
      <c r="LCC159" s="407"/>
      <c r="LCD159" s="407"/>
      <c r="LCE159" s="407"/>
      <c r="LCF159" s="406"/>
      <c r="LCG159" s="407"/>
      <c r="LCH159" s="407"/>
      <c r="LCI159" s="407"/>
      <c r="LCJ159" s="407"/>
      <c r="LCK159" s="407"/>
      <c r="LCL159" s="406"/>
      <c r="LCM159" s="407"/>
      <c r="LCN159" s="407"/>
      <c r="LCO159" s="407"/>
      <c r="LCP159" s="407"/>
      <c r="LCQ159" s="407"/>
      <c r="LCR159" s="406"/>
      <c r="LCS159" s="407"/>
      <c r="LCT159" s="407"/>
      <c r="LCU159" s="407"/>
      <c r="LCV159" s="407"/>
      <c r="LCW159" s="407"/>
      <c r="LCX159" s="406"/>
      <c r="LCY159" s="407"/>
      <c r="LCZ159" s="407"/>
      <c r="LDA159" s="407"/>
      <c r="LDB159" s="407"/>
      <c r="LDC159" s="407"/>
      <c r="LDD159" s="406"/>
      <c r="LDE159" s="407"/>
      <c r="LDF159" s="407"/>
      <c r="LDG159" s="407"/>
      <c r="LDH159" s="407"/>
      <c r="LDI159" s="407"/>
      <c r="LDJ159" s="406"/>
      <c r="LDK159" s="407"/>
      <c r="LDL159" s="407"/>
      <c r="LDM159" s="407"/>
      <c r="LDN159" s="407"/>
      <c r="LDO159" s="407"/>
      <c r="LDP159" s="406"/>
      <c r="LDQ159" s="407"/>
      <c r="LDR159" s="407"/>
      <c r="LDS159" s="407"/>
      <c r="LDT159" s="407"/>
      <c r="LDU159" s="407"/>
      <c r="LDV159" s="406"/>
      <c r="LDW159" s="407"/>
      <c r="LDX159" s="407"/>
      <c r="LDY159" s="407"/>
      <c r="LDZ159" s="407"/>
      <c r="LEA159" s="407"/>
      <c r="LEB159" s="406"/>
      <c r="LEC159" s="407"/>
      <c r="LED159" s="407"/>
      <c r="LEE159" s="407"/>
      <c r="LEF159" s="407"/>
      <c r="LEG159" s="407"/>
      <c r="LEH159" s="406"/>
      <c r="LEI159" s="407"/>
      <c r="LEJ159" s="407"/>
      <c r="LEK159" s="407"/>
      <c r="LEL159" s="407"/>
      <c r="LEM159" s="407"/>
      <c r="LEN159" s="406"/>
      <c r="LEO159" s="407"/>
      <c r="LEP159" s="407"/>
      <c r="LEQ159" s="407"/>
      <c r="LER159" s="407"/>
      <c r="LES159" s="407"/>
      <c r="LET159" s="406"/>
      <c r="LEU159" s="407"/>
      <c r="LEV159" s="407"/>
      <c r="LEW159" s="407"/>
      <c r="LEX159" s="407"/>
      <c r="LEY159" s="407"/>
      <c r="LEZ159" s="406"/>
      <c r="LFA159" s="407"/>
      <c r="LFB159" s="407"/>
      <c r="LFC159" s="407"/>
      <c r="LFD159" s="407"/>
      <c r="LFE159" s="407"/>
      <c r="LFF159" s="406"/>
      <c r="LFG159" s="407"/>
      <c r="LFH159" s="407"/>
      <c r="LFI159" s="407"/>
      <c r="LFJ159" s="407"/>
      <c r="LFK159" s="407"/>
      <c r="LFL159" s="406"/>
      <c r="LFM159" s="407"/>
      <c r="LFN159" s="407"/>
      <c r="LFO159" s="407"/>
      <c r="LFP159" s="407"/>
      <c r="LFQ159" s="407"/>
      <c r="LFR159" s="406"/>
      <c r="LFS159" s="407"/>
      <c r="LFT159" s="407"/>
      <c r="LFU159" s="407"/>
      <c r="LFV159" s="407"/>
      <c r="LFW159" s="407"/>
      <c r="LFX159" s="406"/>
      <c r="LFY159" s="407"/>
      <c r="LFZ159" s="407"/>
      <c r="LGA159" s="407"/>
      <c r="LGB159" s="407"/>
      <c r="LGC159" s="407"/>
      <c r="LGD159" s="406"/>
      <c r="LGE159" s="407"/>
      <c r="LGF159" s="407"/>
      <c r="LGG159" s="407"/>
      <c r="LGH159" s="407"/>
      <c r="LGI159" s="407"/>
      <c r="LGJ159" s="406"/>
      <c r="LGK159" s="407"/>
      <c r="LGL159" s="407"/>
      <c r="LGM159" s="407"/>
      <c r="LGN159" s="407"/>
      <c r="LGO159" s="407"/>
      <c r="LGP159" s="406"/>
      <c r="LGQ159" s="407"/>
      <c r="LGR159" s="407"/>
      <c r="LGS159" s="407"/>
      <c r="LGT159" s="407"/>
      <c r="LGU159" s="407"/>
      <c r="LGV159" s="406"/>
      <c r="LGW159" s="407"/>
      <c r="LGX159" s="407"/>
      <c r="LGY159" s="407"/>
      <c r="LGZ159" s="407"/>
      <c r="LHA159" s="407"/>
      <c r="LHB159" s="406"/>
      <c r="LHC159" s="407"/>
      <c r="LHD159" s="407"/>
      <c r="LHE159" s="407"/>
      <c r="LHF159" s="407"/>
      <c r="LHG159" s="407"/>
      <c r="LHH159" s="406"/>
      <c r="LHI159" s="407"/>
      <c r="LHJ159" s="407"/>
      <c r="LHK159" s="407"/>
      <c r="LHL159" s="407"/>
      <c r="LHM159" s="407"/>
      <c r="LHN159" s="406"/>
      <c r="LHO159" s="407"/>
      <c r="LHP159" s="407"/>
      <c r="LHQ159" s="407"/>
      <c r="LHR159" s="407"/>
      <c r="LHS159" s="407"/>
      <c r="LHT159" s="406"/>
      <c r="LHU159" s="407"/>
      <c r="LHV159" s="407"/>
      <c r="LHW159" s="407"/>
      <c r="LHX159" s="407"/>
      <c r="LHY159" s="407"/>
      <c r="LHZ159" s="406"/>
      <c r="LIA159" s="407"/>
      <c r="LIB159" s="407"/>
      <c r="LIC159" s="407"/>
      <c r="LID159" s="407"/>
      <c r="LIE159" s="407"/>
      <c r="LIF159" s="406"/>
      <c r="LIG159" s="407"/>
      <c r="LIH159" s="407"/>
      <c r="LII159" s="407"/>
      <c r="LIJ159" s="407"/>
      <c r="LIK159" s="407"/>
      <c r="LIL159" s="406"/>
      <c r="LIM159" s="407"/>
      <c r="LIN159" s="407"/>
      <c r="LIO159" s="407"/>
      <c r="LIP159" s="407"/>
      <c r="LIQ159" s="407"/>
      <c r="LIR159" s="406"/>
      <c r="LIS159" s="407"/>
      <c r="LIT159" s="407"/>
      <c r="LIU159" s="407"/>
      <c r="LIV159" s="407"/>
      <c r="LIW159" s="407"/>
      <c r="LIX159" s="406"/>
      <c r="LIY159" s="407"/>
      <c r="LIZ159" s="407"/>
      <c r="LJA159" s="407"/>
      <c r="LJB159" s="407"/>
      <c r="LJC159" s="407"/>
      <c r="LJD159" s="406"/>
      <c r="LJE159" s="407"/>
      <c r="LJF159" s="407"/>
      <c r="LJG159" s="407"/>
      <c r="LJH159" s="407"/>
      <c r="LJI159" s="407"/>
      <c r="LJJ159" s="406"/>
      <c r="LJK159" s="407"/>
      <c r="LJL159" s="407"/>
      <c r="LJM159" s="407"/>
      <c r="LJN159" s="407"/>
      <c r="LJO159" s="407"/>
      <c r="LJP159" s="406"/>
      <c r="LJQ159" s="407"/>
      <c r="LJR159" s="407"/>
      <c r="LJS159" s="407"/>
      <c r="LJT159" s="407"/>
      <c r="LJU159" s="407"/>
      <c r="LJV159" s="406"/>
      <c r="LJW159" s="407"/>
      <c r="LJX159" s="407"/>
      <c r="LJY159" s="407"/>
      <c r="LJZ159" s="407"/>
      <c r="LKA159" s="407"/>
      <c r="LKB159" s="406"/>
      <c r="LKC159" s="407"/>
      <c r="LKD159" s="407"/>
      <c r="LKE159" s="407"/>
      <c r="LKF159" s="407"/>
      <c r="LKG159" s="407"/>
      <c r="LKH159" s="406"/>
      <c r="LKI159" s="407"/>
      <c r="LKJ159" s="407"/>
      <c r="LKK159" s="407"/>
      <c r="LKL159" s="407"/>
      <c r="LKM159" s="407"/>
      <c r="LKN159" s="406"/>
      <c r="LKO159" s="407"/>
      <c r="LKP159" s="407"/>
      <c r="LKQ159" s="407"/>
      <c r="LKR159" s="407"/>
      <c r="LKS159" s="407"/>
      <c r="LKT159" s="406"/>
      <c r="LKU159" s="407"/>
      <c r="LKV159" s="407"/>
      <c r="LKW159" s="407"/>
      <c r="LKX159" s="407"/>
      <c r="LKY159" s="407"/>
      <c r="LKZ159" s="406"/>
      <c r="LLA159" s="407"/>
      <c r="LLB159" s="407"/>
      <c r="LLC159" s="407"/>
      <c r="LLD159" s="407"/>
      <c r="LLE159" s="407"/>
      <c r="LLF159" s="406"/>
      <c r="LLG159" s="407"/>
      <c r="LLH159" s="407"/>
      <c r="LLI159" s="407"/>
      <c r="LLJ159" s="407"/>
      <c r="LLK159" s="407"/>
      <c r="LLL159" s="406"/>
      <c r="LLM159" s="407"/>
      <c r="LLN159" s="407"/>
      <c r="LLO159" s="407"/>
      <c r="LLP159" s="407"/>
      <c r="LLQ159" s="407"/>
      <c r="LLR159" s="406"/>
      <c r="LLS159" s="407"/>
      <c r="LLT159" s="407"/>
      <c r="LLU159" s="407"/>
      <c r="LLV159" s="407"/>
      <c r="LLW159" s="407"/>
      <c r="LLX159" s="406"/>
      <c r="LLY159" s="407"/>
      <c r="LLZ159" s="407"/>
      <c r="LMA159" s="407"/>
      <c r="LMB159" s="407"/>
      <c r="LMC159" s="407"/>
      <c r="LMD159" s="406"/>
      <c r="LME159" s="407"/>
      <c r="LMF159" s="407"/>
      <c r="LMG159" s="407"/>
      <c r="LMH159" s="407"/>
      <c r="LMI159" s="407"/>
      <c r="LMJ159" s="406"/>
      <c r="LMK159" s="407"/>
      <c r="LML159" s="407"/>
      <c r="LMM159" s="407"/>
      <c r="LMN159" s="407"/>
      <c r="LMO159" s="407"/>
      <c r="LMP159" s="406"/>
      <c r="LMQ159" s="407"/>
      <c r="LMR159" s="407"/>
      <c r="LMS159" s="407"/>
      <c r="LMT159" s="407"/>
      <c r="LMU159" s="407"/>
      <c r="LMV159" s="406"/>
      <c r="LMW159" s="407"/>
      <c r="LMX159" s="407"/>
      <c r="LMY159" s="407"/>
      <c r="LMZ159" s="407"/>
      <c r="LNA159" s="407"/>
      <c r="LNB159" s="406"/>
      <c r="LNC159" s="407"/>
      <c r="LND159" s="407"/>
      <c r="LNE159" s="407"/>
      <c r="LNF159" s="407"/>
      <c r="LNG159" s="407"/>
      <c r="LNH159" s="406"/>
      <c r="LNI159" s="407"/>
      <c r="LNJ159" s="407"/>
      <c r="LNK159" s="407"/>
      <c r="LNL159" s="407"/>
      <c r="LNM159" s="407"/>
      <c r="LNN159" s="406"/>
      <c r="LNO159" s="407"/>
      <c r="LNP159" s="407"/>
      <c r="LNQ159" s="407"/>
      <c r="LNR159" s="407"/>
      <c r="LNS159" s="407"/>
      <c r="LNT159" s="406"/>
      <c r="LNU159" s="407"/>
      <c r="LNV159" s="407"/>
      <c r="LNW159" s="407"/>
      <c r="LNX159" s="407"/>
      <c r="LNY159" s="407"/>
      <c r="LNZ159" s="406"/>
      <c r="LOA159" s="407"/>
      <c r="LOB159" s="407"/>
      <c r="LOC159" s="407"/>
      <c r="LOD159" s="407"/>
      <c r="LOE159" s="407"/>
      <c r="LOF159" s="406"/>
      <c r="LOG159" s="407"/>
      <c r="LOH159" s="407"/>
      <c r="LOI159" s="407"/>
      <c r="LOJ159" s="407"/>
      <c r="LOK159" s="407"/>
      <c r="LOL159" s="406"/>
      <c r="LOM159" s="407"/>
      <c r="LON159" s="407"/>
      <c r="LOO159" s="407"/>
      <c r="LOP159" s="407"/>
      <c r="LOQ159" s="407"/>
      <c r="LOR159" s="406"/>
      <c r="LOS159" s="407"/>
      <c r="LOT159" s="407"/>
      <c r="LOU159" s="407"/>
      <c r="LOV159" s="407"/>
      <c r="LOW159" s="407"/>
      <c r="LOX159" s="406"/>
      <c r="LOY159" s="407"/>
      <c r="LOZ159" s="407"/>
      <c r="LPA159" s="407"/>
      <c r="LPB159" s="407"/>
      <c r="LPC159" s="407"/>
      <c r="LPD159" s="406"/>
      <c r="LPE159" s="407"/>
      <c r="LPF159" s="407"/>
      <c r="LPG159" s="407"/>
      <c r="LPH159" s="407"/>
      <c r="LPI159" s="407"/>
      <c r="LPJ159" s="406"/>
      <c r="LPK159" s="407"/>
      <c r="LPL159" s="407"/>
      <c r="LPM159" s="407"/>
      <c r="LPN159" s="407"/>
      <c r="LPO159" s="407"/>
      <c r="LPP159" s="406"/>
      <c r="LPQ159" s="407"/>
      <c r="LPR159" s="407"/>
      <c r="LPS159" s="407"/>
      <c r="LPT159" s="407"/>
      <c r="LPU159" s="407"/>
      <c r="LPV159" s="406"/>
      <c r="LPW159" s="407"/>
      <c r="LPX159" s="407"/>
      <c r="LPY159" s="407"/>
      <c r="LPZ159" s="407"/>
      <c r="LQA159" s="407"/>
      <c r="LQB159" s="406"/>
      <c r="LQC159" s="407"/>
      <c r="LQD159" s="407"/>
      <c r="LQE159" s="407"/>
      <c r="LQF159" s="407"/>
      <c r="LQG159" s="407"/>
      <c r="LQH159" s="406"/>
      <c r="LQI159" s="407"/>
      <c r="LQJ159" s="407"/>
      <c r="LQK159" s="407"/>
      <c r="LQL159" s="407"/>
      <c r="LQM159" s="407"/>
      <c r="LQN159" s="406"/>
      <c r="LQO159" s="407"/>
      <c r="LQP159" s="407"/>
      <c r="LQQ159" s="407"/>
      <c r="LQR159" s="407"/>
      <c r="LQS159" s="407"/>
      <c r="LQT159" s="406"/>
      <c r="LQU159" s="407"/>
      <c r="LQV159" s="407"/>
      <c r="LQW159" s="407"/>
      <c r="LQX159" s="407"/>
      <c r="LQY159" s="407"/>
      <c r="LQZ159" s="406"/>
      <c r="LRA159" s="407"/>
      <c r="LRB159" s="407"/>
      <c r="LRC159" s="407"/>
      <c r="LRD159" s="407"/>
      <c r="LRE159" s="407"/>
      <c r="LRF159" s="406"/>
      <c r="LRG159" s="407"/>
      <c r="LRH159" s="407"/>
      <c r="LRI159" s="407"/>
      <c r="LRJ159" s="407"/>
      <c r="LRK159" s="407"/>
      <c r="LRL159" s="406"/>
      <c r="LRM159" s="407"/>
      <c r="LRN159" s="407"/>
      <c r="LRO159" s="407"/>
      <c r="LRP159" s="407"/>
      <c r="LRQ159" s="407"/>
      <c r="LRR159" s="406"/>
      <c r="LRS159" s="407"/>
      <c r="LRT159" s="407"/>
      <c r="LRU159" s="407"/>
      <c r="LRV159" s="407"/>
      <c r="LRW159" s="407"/>
      <c r="LRX159" s="406"/>
      <c r="LRY159" s="407"/>
      <c r="LRZ159" s="407"/>
      <c r="LSA159" s="407"/>
      <c r="LSB159" s="407"/>
      <c r="LSC159" s="407"/>
      <c r="LSD159" s="406"/>
      <c r="LSE159" s="407"/>
      <c r="LSF159" s="407"/>
      <c r="LSG159" s="407"/>
      <c r="LSH159" s="407"/>
      <c r="LSI159" s="407"/>
      <c r="LSJ159" s="406"/>
      <c r="LSK159" s="407"/>
      <c r="LSL159" s="407"/>
      <c r="LSM159" s="407"/>
      <c r="LSN159" s="407"/>
      <c r="LSO159" s="407"/>
      <c r="LSP159" s="406"/>
      <c r="LSQ159" s="407"/>
      <c r="LSR159" s="407"/>
      <c r="LSS159" s="407"/>
      <c r="LST159" s="407"/>
      <c r="LSU159" s="407"/>
      <c r="LSV159" s="406"/>
      <c r="LSW159" s="407"/>
      <c r="LSX159" s="407"/>
      <c r="LSY159" s="407"/>
      <c r="LSZ159" s="407"/>
      <c r="LTA159" s="407"/>
      <c r="LTB159" s="406"/>
      <c r="LTC159" s="407"/>
      <c r="LTD159" s="407"/>
      <c r="LTE159" s="407"/>
      <c r="LTF159" s="407"/>
      <c r="LTG159" s="407"/>
      <c r="LTH159" s="406"/>
      <c r="LTI159" s="407"/>
      <c r="LTJ159" s="407"/>
      <c r="LTK159" s="407"/>
      <c r="LTL159" s="407"/>
      <c r="LTM159" s="407"/>
      <c r="LTN159" s="406"/>
      <c r="LTO159" s="407"/>
      <c r="LTP159" s="407"/>
      <c r="LTQ159" s="407"/>
      <c r="LTR159" s="407"/>
      <c r="LTS159" s="407"/>
      <c r="LTT159" s="406"/>
      <c r="LTU159" s="407"/>
      <c r="LTV159" s="407"/>
      <c r="LTW159" s="407"/>
      <c r="LTX159" s="407"/>
      <c r="LTY159" s="407"/>
      <c r="LTZ159" s="406"/>
      <c r="LUA159" s="407"/>
      <c r="LUB159" s="407"/>
      <c r="LUC159" s="407"/>
      <c r="LUD159" s="407"/>
      <c r="LUE159" s="407"/>
      <c r="LUF159" s="406"/>
      <c r="LUG159" s="407"/>
      <c r="LUH159" s="407"/>
      <c r="LUI159" s="407"/>
      <c r="LUJ159" s="407"/>
      <c r="LUK159" s="407"/>
      <c r="LUL159" s="406"/>
      <c r="LUM159" s="407"/>
      <c r="LUN159" s="407"/>
      <c r="LUO159" s="407"/>
      <c r="LUP159" s="407"/>
      <c r="LUQ159" s="407"/>
      <c r="LUR159" s="406"/>
      <c r="LUS159" s="407"/>
      <c r="LUT159" s="407"/>
      <c r="LUU159" s="407"/>
      <c r="LUV159" s="407"/>
      <c r="LUW159" s="407"/>
      <c r="LUX159" s="406"/>
      <c r="LUY159" s="407"/>
      <c r="LUZ159" s="407"/>
      <c r="LVA159" s="407"/>
      <c r="LVB159" s="407"/>
      <c r="LVC159" s="407"/>
      <c r="LVD159" s="406"/>
      <c r="LVE159" s="407"/>
      <c r="LVF159" s="407"/>
      <c r="LVG159" s="407"/>
      <c r="LVH159" s="407"/>
      <c r="LVI159" s="407"/>
      <c r="LVJ159" s="406"/>
      <c r="LVK159" s="407"/>
      <c r="LVL159" s="407"/>
      <c r="LVM159" s="407"/>
      <c r="LVN159" s="407"/>
      <c r="LVO159" s="407"/>
      <c r="LVP159" s="406"/>
      <c r="LVQ159" s="407"/>
      <c r="LVR159" s="407"/>
      <c r="LVS159" s="407"/>
      <c r="LVT159" s="407"/>
      <c r="LVU159" s="407"/>
      <c r="LVV159" s="406"/>
      <c r="LVW159" s="407"/>
      <c r="LVX159" s="407"/>
      <c r="LVY159" s="407"/>
      <c r="LVZ159" s="407"/>
      <c r="LWA159" s="407"/>
      <c r="LWB159" s="406"/>
      <c r="LWC159" s="407"/>
      <c r="LWD159" s="407"/>
      <c r="LWE159" s="407"/>
      <c r="LWF159" s="407"/>
      <c r="LWG159" s="407"/>
      <c r="LWH159" s="406"/>
      <c r="LWI159" s="407"/>
      <c r="LWJ159" s="407"/>
      <c r="LWK159" s="407"/>
      <c r="LWL159" s="407"/>
      <c r="LWM159" s="407"/>
      <c r="LWN159" s="406"/>
      <c r="LWO159" s="407"/>
      <c r="LWP159" s="407"/>
      <c r="LWQ159" s="407"/>
      <c r="LWR159" s="407"/>
      <c r="LWS159" s="407"/>
      <c r="LWT159" s="406"/>
      <c r="LWU159" s="407"/>
      <c r="LWV159" s="407"/>
      <c r="LWW159" s="407"/>
      <c r="LWX159" s="407"/>
      <c r="LWY159" s="407"/>
      <c r="LWZ159" s="406"/>
      <c r="LXA159" s="407"/>
      <c r="LXB159" s="407"/>
      <c r="LXC159" s="407"/>
      <c r="LXD159" s="407"/>
      <c r="LXE159" s="407"/>
      <c r="LXF159" s="406"/>
      <c r="LXG159" s="407"/>
      <c r="LXH159" s="407"/>
      <c r="LXI159" s="407"/>
      <c r="LXJ159" s="407"/>
      <c r="LXK159" s="407"/>
      <c r="LXL159" s="406"/>
      <c r="LXM159" s="407"/>
      <c r="LXN159" s="407"/>
      <c r="LXO159" s="407"/>
      <c r="LXP159" s="407"/>
      <c r="LXQ159" s="407"/>
      <c r="LXR159" s="406"/>
      <c r="LXS159" s="407"/>
      <c r="LXT159" s="407"/>
      <c r="LXU159" s="407"/>
      <c r="LXV159" s="407"/>
      <c r="LXW159" s="407"/>
      <c r="LXX159" s="406"/>
      <c r="LXY159" s="407"/>
      <c r="LXZ159" s="407"/>
      <c r="LYA159" s="407"/>
      <c r="LYB159" s="407"/>
      <c r="LYC159" s="407"/>
      <c r="LYD159" s="406"/>
      <c r="LYE159" s="407"/>
      <c r="LYF159" s="407"/>
      <c r="LYG159" s="407"/>
      <c r="LYH159" s="407"/>
      <c r="LYI159" s="407"/>
      <c r="LYJ159" s="406"/>
      <c r="LYK159" s="407"/>
      <c r="LYL159" s="407"/>
      <c r="LYM159" s="407"/>
      <c r="LYN159" s="407"/>
      <c r="LYO159" s="407"/>
      <c r="LYP159" s="406"/>
      <c r="LYQ159" s="407"/>
      <c r="LYR159" s="407"/>
      <c r="LYS159" s="407"/>
      <c r="LYT159" s="407"/>
      <c r="LYU159" s="407"/>
      <c r="LYV159" s="406"/>
      <c r="LYW159" s="407"/>
      <c r="LYX159" s="407"/>
      <c r="LYY159" s="407"/>
      <c r="LYZ159" s="407"/>
      <c r="LZA159" s="407"/>
      <c r="LZB159" s="406"/>
      <c r="LZC159" s="407"/>
      <c r="LZD159" s="407"/>
      <c r="LZE159" s="407"/>
      <c r="LZF159" s="407"/>
      <c r="LZG159" s="407"/>
      <c r="LZH159" s="406"/>
      <c r="LZI159" s="407"/>
      <c r="LZJ159" s="407"/>
      <c r="LZK159" s="407"/>
      <c r="LZL159" s="407"/>
      <c r="LZM159" s="407"/>
      <c r="LZN159" s="406"/>
      <c r="LZO159" s="407"/>
      <c r="LZP159" s="407"/>
      <c r="LZQ159" s="407"/>
      <c r="LZR159" s="407"/>
      <c r="LZS159" s="407"/>
      <c r="LZT159" s="406"/>
      <c r="LZU159" s="407"/>
      <c r="LZV159" s="407"/>
      <c r="LZW159" s="407"/>
      <c r="LZX159" s="407"/>
      <c r="LZY159" s="407"/>
      <c r="LZZ159" s="406"/>
      <c r="MAA159" s="407"/>
      <c r="MAB159" s="407"/>
      <c r="MAC159" s="407"/>
      <c r="MAD159" s="407"/>
      <c r="MAE159" s="407"/>
      <c r="MAF159" s="406"/>
      <c r="MAG159" s="407"/>
      <c r="MAH159" s="407"/>
      <c r="MAI159" s="407"/>
      <c r="MAJ159" s="407"/>
      <c r="MAK159" s="407"/>
      <c r="MAL159" s="406"/>
      <c r="MAM159" s="407"/>
      <c r="MAN159" s="407"/>
      <c r="MAO159" s="407"/>
      <c r="MAP159" s="407"/>
      <c r="MAQ159" s="407"/>
      <c r="MAR159" s="406"/>
      <c r="MAS159" s="407"/>
      <c r="MAT159" s="407"/>
      <c r="MAU159" s="407"/>
      <c r="MAV159" s="407"/>
      <c r="MAW159" s="407"/>
      <c r="MAX159" s="406"/>
      <c r="MAY159" s="407"/>
      <c r="MAZ159" s="407"/>
      <c r="MBA159" s="407"/>
      <c r="MBB159" s="407"/>
      <c r="MBC159" s="407"/>
      <c r="MBD159" s="406"/>
      <c r="MBE159" s="407"/>
      <c r="MBF159" s="407"/>
      <c r="MBG159" s="407"/>
      <c r="MBH159" s="407"/>
      <c r="MBI159" s="407"/>
      <c r="MBJ159" s="406"/>
      <c r="MBK159" s="407"/>
      <c r="MBL159" s="407"/>
      <c r="MBM159" s="407"/>
      <c r="MBN159" s="407"/>
      <c r="MBO159" s="407"/>
      <c r="MBP159" s="406"/>
      <c r="MBQ159" s="407"/>
      <c r="MBR159" s="407"/>
      <c r="MBS159" s="407"/>
      <c r="MBT159" s="407"/>
      <c r="MBU159" s="407"/>
      <c r="MBV159" s="406"/>
      <c r="MBW159" s="407"/>
      <c r="MBX159" s="407"/>
      <c r="MBY159" s="407"/>
      <c r="MBZ159" s="407"/>
      <c r="MCA159" s="407"/>
      <c r="MCB159" s="406"/>
      <c r="MCC159" s="407"/>
      <c r="MCD159" s="407"/>
      <c r="MCE159" s="407"/>
      <c r="MCF159" s="407"/>
      <c r="MCG159" s="407"/>
      <c r="MCH159" s="406"/>
      <c r="MCI159" s="407"/>
      <c r="MCJ159" s="407"/>
      <c r="MCK159" s="407"/>
      <c r="MCL159" s="407"/>
      <c r="MCM159" s="407"/>
      <c r="MCN159" s="406"/>
      <c r="MCO159" s="407"/>
      <c r="MCP159" s="407"/>
      <c r="MCQ159" s="407"/>
      <c r="MCR159" s="407"/>
      <c r="MCS159" s="407"/>
      <c r="MCT159" s="406"/>
      <c r="MCU159" s="407"/>
      <c r="MCV159" s="407"/>
      <c r="MCW159" s="407"/>
      <c r="MCX159" s="407"/>
      <c r="MCY159" s="407"/>
      <c r="MCZ159" s="406"/>
      <c r="MDA159" s="407"/>
      <c r="MDB159" s="407"/>
      <c r="MDC159" s="407"/>
      <c r="MDD159" s="407"/>
      <c r="MDE159" s="407"/>
      <c r="MDF159" s="406"/>
      <c r="MDG159" s="407"/>
      <c r="MDH159" s="407"/>
      <c r="MDI159" s="407"/>
      <c r="MDJ159" s="407"/>
      <c r="MDK159" s="407"/>
      <c r="MDL159" s="406"/>
      <c r="MDM159" s="407"/>
      <c r="MDN159" s="407"/>
      <c r="MDO159" s="407"/>
      <c r="MDP159" s="407"/>
      <c r="MDQ159" s="407"/>
      <c r="MDR159" s="406"/>
      <c r="MDS159" s="407"/>
      <c r="MDT159" s="407"/>
      <c r="MDU159" s="407"/>
      <c r="MDV159" s="407"/>
      <c r="MDW159" s="407"/>
      <c r="MDX159" s="406"/>
      <c r="MDY159" s="407"/>
      <c r="MDZ159" s="407"/>
      <c r="MEA159" s="407"/>
      <c r="MEB159" s="407"/>
      <c r="MEC159" s="407"/>
      <c r="MED159" s="406"/>
      <c r="MEE159" s="407"/>
      <c r="MEF159" s="407"/>
      <c r="MEG159" s="407"/>
      <c r="MEH159" s="407"/>
      <c r="MEI159" s="407"/>
      <c r="MEJ159" s="406"/>
      <c r="MEK159" s="407"/>
      <c r="MEL159" s="407"/>
      <c r="MEM159" s="407"/>
      <c r="MEN159" s="407"/>
      <c r="MEO159" s="407"/>
      <c r="MEP159" s="406"/>
      <c r="MEQ159" s="407"/>
      <c r="MER159" s="407"/>
      <c r="MES159" s="407"/>
      <c r="MET159" s="407"/>
      <c r="MEU159" s="407"/>
      <c r="MEV159" s="406"/>
      <c r="MEW159" s="407"/>
      <c r="MEX159" s="407"/>
      <c r="MEY159" s="407"/>
      <c r="MEZ159" s="407"/>
      <c r="MFA159" s="407"/>
      <c r="MFB159" s="406"/>
      <c r="MFC159" s="407"/>
      <c r="MFD159" s="407"/>
      <c r="MFE159" s="407"/>
      <c r="MFF159" s="407"/>
      <c r="MFG159" s="407"/>
      <c r="MFH159" s="406"/>
      <c r="MFI159" s="407"/>
      <c r="MFJ159" s="407"/>
      <c r="MFK159" s="407"/>
      <c r="MFL159" s="407"/>
      <c r="MFM159" s="407"/>
      <c r="MFN159" s="406"/>
      <c r="MFO159" s="407"/>
      <c r="MFP159" s="407"/>
      <c r="MFQ159" s="407"/>
      <c r="MFR159" s="407"/>
      <c r="MFS159" s="407"/>
      <c r="MFT159" s="406"/>
      <c r="MFU159" s="407"/>
      <c r="MFV159" s="407"/>
      <c r="MFW159" s="407"/>
      <c r="MFX159" s="407"/>
      <c r="MFY159" s="407"/>
      <c r="MFZ159" s="406"/>
      <c r="MGA159" s="407"/>
      <c r="MGB159" s="407"/>
      <c r="MGC159" s="407"/>
      <c r="MGD159" s="407"/>
      <c r="MGE159" s="407"/>
      <c r="MGF159" s="406"/>
      <c r="MGG159" s="407"/>
      <c r="MGH159" s="407"/>
      <c r="MGI159" s="407"/>
      <c r="MGJ159" s="407"/>
      <c r="MGK159" s="407"/>
      <c r="MGL159" s="406"/>
      <c r="MGM159" s="407"/>
      <c r="MGN159" s="407"/>
      <c r="MGO159" s="407"/>
      <c r="MGP159" s="407"/>
      <c r="MGQ159" s="407"/>
      <c r="MGR159" s="406"/>
      <c r="MGS159" s="407"/>
      <c r="MGT159" s="407"/>
      <c r="MGU159" s="407"/>
      <c r="MGV159" s="407"/>
      <c r="MGW159" s="407"/>
      <c r="MGX159" s="406"/>
      <c r="MGY159" s="407"/>
      <c r="MGZ159" s="407"/>
      <c r="MHA159" s="407"/>
      <c r="MHB159" s="407"/>
      <c r="MHC159" s="407"/>
      <c r="MHD159" s="406"/>
      <c r="MHE159" s="407"/>
      <c r="MHF159" s="407"/>
      <c r="MHG159" s="407"/>
      <c r="MHH159" s="407"/>
      <c r="MHI159" s="407"/>
      <c r="MHJ159" s="406"/>
      <c r="MHK159" s="407"/>
      <c r="MHL159" s="407"/>
      <c r="MHM159" s="407"/>
      <c r="MHN159" s="407"/>
      <c r="MHO159" s="407"/>
      <c r="MHP159" s="406"/>
      <c r="MHQ159" s="407"/>
      <c r="MHR159" s="407"/>
      <c r="MHS159" s="407"/>
      <c r="MHT159" s="407"/>
      <c r="MHU159" s="407"/>
      <c r="MHV159" s="406"/>
      <c r="MHW159" s="407"/>
      <c r="MHX159" s="407"/>
      <c r="MHY159" s="407"/>
      <c r="MHZ159" s="407"/>
      <c r="MIA159" s="407"/>
      <c r="MIB159" s="406"/>
      <c r="MIC159" s="407"/>
      <c r="MID159" s="407"/>
      <c r="MIE159" s="407"/>
      <c r="MIF159" s="407"/>
      <c r="MIG159" s="407"/>
      <c r="MIH159" s="406"/>
      <c r="MII159" s="407"/>
      <c r="MIJ159" s="407"/>
      <c r="MIK159" s="407"/>
      <c r="MIL159" s="407"/>
      <c r="MIM159" s="407"/>
      <c r="MIN159" s="406"/>
      <c r="MIO159" s="407"/>
      <c r="MIP159" s="407"/>
      <c r="MIQ159" s="407"/>
      <c r="MIR159" s="407"/>
      <c r="MIS159" s="407"/>
      <c r="MIT159" s="406"/>
      <c r="MIU159" s="407"/>
      <c r="MIV159" s="407"/>
      <c r="MIW159" s="407"/>
      <c r="MIX159" s="407"/>
      <c r="MIY159" s="407"/>
      <c r="MIZ159" s="406"/>
      <c r="MJA159" s="407"/>
      <c r="MJB159" s="407"/>
      <c r="MJC159" s="407"/>
      <c r="MJD159" s="407"/>
      <c r="MJE159" s="407"/>
      <c r="MJF159" s="406"/>
      <c r="MJG159" s="407"/>
      <c r="MJH159" s="407"/>
      <c r="MJI159" s="407"/>
      <c r="MJJ159" s="407"/>
      <c r="MJK159" s="407"/>
      <c r="MJL159" s="406"/>
      <c r="MJM159" s="407"/>
      <c r="MJN159" s="407"/>
      <c r="MJO159" s="407"/>
      <c r="MJP159" s="407"/>
      <c r="MJQ159" s="407"/>
      <c r="MJR159" s="406"/>
      <c r="MJS159" s="407"/>
      <c r="MJT159" s="407"/>
      <c r="MJU159" s="407"/>
      <c r="MJV159" s="407"/>
      <c r="MJW159" s="407"/>
      <c r="MJX159" s="406"/>
      <c r="MJY159" s="407"/>
      <c r="MJZ159" s="407"/>
      <c r="MKA159" s="407"/>
      <c r="MKB159" s="407"/>
      <c r="MKC159" s="407"/>
      <c r="MKD159" s="406"/>
      <c r="MKE159" s="407"/>
      <c r="MKF159" s="407"/>
      <c r="MKG159" s="407"/>
      <c r="MKH159" s="407"/>
      <c r="MKI159" s="407"/>
      <c r="MKJ159" s="406"/>
      <c r="MKK159" s="407"/>
      <c r="MKL159" s="407"/>
      <c r="MKM159" s="407"/>
      <c r="MKN159" s="407"/>
      <c r="MKO159" s="407"/>
      <c r="MKP159" s="406"/>
      <c r="MKQ159" s="407"/>
      <c r="MKR159" s="407"/>
      <c r="MKS159" s="407"/>
      <c r="MKT159" s="407"/>
      <c r="MKU159" s="407"/>
      <c r="MKV159" s="406"/>
      <c r="MKW159" s="407"/>
      <c r="MKX159" s="407"/>
      <c r="MKY159" s="407"/>
      <c r="MKZ159" s="407"/>
      <c r="MLA159" s="407"/>
      <c r="MLB159" s="406"/>
      <c r="MLC159" s="407"/>
      <c r="MLD159" s="407"/>
      <c r="MLE159" s="407"/>
      <c r="MLF159" s="407"/>
      <c r="MLG159" s="407"/>
      <c r="MLH159" s="406"/>
      <c r="MLI159" s="407"/>
      <c r="MLJ159" s="407"/>
      <c r="MLK159" s="407"/>
      <c r="MLL159" s="407"/>
      <c r="MLM159" s="407"/>
      <c r="MLN159" s="406"/>
      <c r="MLO159" s="407"/>
      <c r="MLP159" s="407"/>
      <c r="MLQ159" s="407"/>
      <c r="MLR159" s="407"/>
      <c r="MLS159" s="407"/>
      <c r="MLT159" s="406"/>
      <c r="MLU159" s="407"/>
      <c r="MLV159" s="407"/>
      <c r="MLW159" s="407"/>
      <c r="MLX159" s="407"/>
      <c r="MLY159" s="407"/>
      <c r="MLZ159" s="406"/>
      <c r="MMA159" s="407"/>
      <c r="MMB159" s="407"/>
      <c r="MMC159" s="407"/>
      <c r="MMD159" s="407"/>
      <c r="MME159" s="407"/>
      <c r="MMF159" s="406"/>
      <c r="MMG159" s="407"/>
      <c r="MMH159" s="407"/>
      <c r="MMI159" s="407"/>
      <c r="MMJ159" s="407"/>
      <c r="MMK159" s="407"/>
      <c r="MML159" s="406"/>
      <c r="MMM159" s="407"/>
      <c r="MMN159" s="407"/>
      <c r="MMO159" s="407"/>
      <c r="MMP159" s="407"/>
      <c r="MMQ159" s="407"/>
      <c r="MMR159" s="406"/>
      <c r="MMS159" s="407"/>
      <c r="MMT159" s="407"/>
      <c r="MMU159" s="407"/>
      <c r="MMV159" s="407"/>
      <c r="MMW159" s="407"/>
      <c r="MMX159" s="406"/>
      <c r="MMY159" s="407"/>
      <c r="MMZ159" s="407"/>
      <c r="MNA159" s="407"/>
      <c r="MNB159" s="407"/>
      <c r="MNC159" s="407"/>
      <c r="MND159" s="406"/>
      <c r="MNE159" s="407"/>
      <c r="MNF159" s="407"/>
      <c r="MNG159" s="407"/>
      <c r="MNH159" s="407"/>
      <c r="MNI159" s="407"/>
      <c r="MNJ159" s="406"/>
      <c r="MNK159" s="407"/>
      <c r="MNL159" s="407"/>
      <c r="MNM159" s="407"/>
      <c r="MNN159" s="407"/>
      <c r="MNO159" s="407"/>
      <c r="MNP159" s="406"/>
      <c r="MNQ159" s="407"/>
      <c r="MNR159" s="407"/>
      <c r="MNS159" s="407"/>
      <c r="MNT159" s="407"/>
      <c r="MNU159" s="407"/>
      <c r="MNV159" s="406"/>
      <c r="MNW159" s="407"/>
      <c r="MNX159" s="407"/>
      <c r="MNY159" s="407"/>
      <c r="MNZ159" s="407"/>
      <c r="MOA159" s="407"/>
      <c r="MOB159" s="406"/>
      <c r="MOC159" s="407"/>
      <c r="MOD159" s="407"/>
      <c r="MOE159" s="407"/>
      <c r="MOF159" s="407"/>
      <c r="MOG159" s="407"/>
      <c r="MOH159" s="406"/>
      <c r="MOI159" s="407"/>
      <c r="MOJ159" s="407"/>
      <c r="MOK159" s="407"/>
      <c r="MOL159" s="407"/>
      <c r="MOM159" s="407"/>
      <c r="MON159" s="406"/>
      <c r="MOO159" s="407"/>
      <c r="MOP159" s="407"/>
      <c r="MOQ159" s="407"/>
      <c r="MOR159" s="407"/>
      <c r="MOS159" s="407"/>
      <c r="MOT159" s="406"/>
      <c r="MOU159" s="407"/>
      <c r="MOV159" s="407"/>
      <c r="MOW159" s="407"/>
      <c r="MOX159" s="407"/>
      <c r="MOY159" s="407"/>
      <c r="MOZ159" s="406"/>
      <c r="MPA159" s="407"/>
      <c r="MPB159" s="407"/>
      <c r="MPC159" s="407"/>
      <c r="MPD159" s="407"/>
      <c r="MPE159" s="407"/>
      <c r="MPF159" s="406"/>
      <c r="MPG159" s="407"/>
      <c r="MPH159" s="407"/>
      <c r="MPI159" s="407"/>
      <c r="MPJ159" s="407"/>
      <c r="MPK159" s="407"/>
      <c r="MPL159" s="406"/>
      <c r="MPM159" s="407"/>
      <c r="MPN159" s="407"/>
      <c r="MPO159" s="407"/>
      <c r="MPP159" s="407"/>
      <c r="MPQ159" s="407"/>
      <c r="MPR159" s="406"/>
      <c r="MPS159" s="407"/>
      <c r="MPT159" s="407"/>
      <c r="MPU159" s="407"/>
      <c r="MPV159" s="407"/>
      <c r="MPW159" s="407"/>
      <c r="MPX159" s="406"/>
      <c r="MPY159" s="407"/>
      <c r="MPZ159" s="407"/>
      <c r="MQA159" s="407"/>
      <c r="MQB159" s="407"/>
      <c r="MQC159" s="407"/>
      <c r="MQD159" s="406"/>
      <c r="MQE159" s="407"/>
      <c r="MQF159" s="407"/>
      <c r="MQG159" s="407"/>
      <c r="MQH159" s="407"/>
      <c r="MQI159" s="407"/>
      <c r="MQJ159" s="406"/>
      <c r="MQK159" s="407"/>
      <c r="MQL159" s="407"/>
      <c r="MQM159" s="407"/>
      <c r="MQN159" s="407"/>
      <c r="MQO159" s="407"/>
      <c r="MQP159" s="406"/>
      <c r="MQQ159" s="407"/>
      <c r="MQR159" s="407"/>
      <c r="MQS159" s="407"/>
      <c r="MQT159" s="407"/>
      <c r="MQU159" s="407"/>
      <c r="MQV159" s="406"/>
      <c r="MQW159" s="407"/>
      <c r="MQX159" s="407"/>
      <c r="MQY159" s="407"/>
      <c r="MQZ159" s="407"/>
      <c r="MRA159" s="407"/>
      <c r="MRB159" s="406"/>
      <c r="MRC159" s="407"/>
      <c r="MRD159" s="407"/>
      <c r="MRE159" s="407"/>
      <c r="MRF159" s="407"/>
      <c r="MRG159" s="407"/>
      <c r="MRH159" s="406"/>
      <c r="MRI159" s="407"/>
      <c r="MRJ159" s="407"/>
      <c r="MRK159" s="407"/>
      <c r="MRL159" s="407"/>
      <c r="MRM159" s="407"/>
      <c r="MRN159" s="406"/>
      <c r="MRO159" s="407"/>
      <c r="MRP159" s="407"/>
      <c r="MRQ159" s="407"/>
      <c r="MRR159" s="407"/>
      <c r="MRS159" s="407"/>
      <c r="MRT159" s="406"/>
      <c r="MRU159" s="407"/>
      <c r="MRV159" s="407"/>
      <c r="MRW159" s="407"/>
      <c r="MRX159" s="407"/>
      <c r="MRY159" s="407"/>
      <c r="MRZ159" s="406"/>
      <c r="MSA159" s="407"/>
      <c r="MSB159" s="407"/>
      <c r="MSC159" s="407"/>
      <c r="MSD159" s="407"/>
      <c r="MSE159" s="407"/>
      <c r="MSF159" s="406"/>
      <c r="MSG159" s="407"/>
      <c r="MSH159" s="407"/>
      <c r="MSI159" s="407"/>
      <c r="MSJ159" s="407"/>
      <c r="MSK159" s="407"/>
      <c r="MSL159" s="406"/>
      <c r="MSM159" s="407"/>
      <c r="MSN159" s="407"/>
      <c r="MSO159" s="407"/>
      <c r="MSP159" s="407"/>
      <c r="MSQ159" s="407"/>
      <c r="MSR159" s="406"/>
      <c r="MSS159" s="407"/>
      <c r="MST159" s="407"/>
      <c r="MSU159" s="407"/>
      <c r="MSV159" s="407"/>
      <c r="MSW159" s="407"/>
      <c r="MSX159" s="406"/>
      <c r="MSY159" s="407"/>
      <c r="MSZ159" s="407"/>
      <c r="MTA159" s="407"/>
      <c r="MTB159" s="407"/>
      <c r="MTC159" s="407"/>
      <c r="MTD159" s="406"/>
      <c r="MTE159" s="407"/>
      <c r="MTF159" s="407"/>
      <c r="MTG159" s="407"/>
      <c r="MTH159" s="407"/>
      <c r="MTI159" s="407"/>
      <c r="MTJ159" s="406"/>
      <c r="MTK159" s="407"/>
      <c r="MTL159" s="407"/>
      <c r="MTM159" s="407"/>
      <c r="MTN159" s="407"/>
      <c r="MTO159" s="407"/>
      <c r="MTP159" s="406"/>
      <c r="MTQ159" s="407"/>
      <c r="MTR159" s="407"/>
      <c r="MTS159" s="407"/>
      <c r="MTT159" s="407"/>
      <c r="MTU159" s="407"/>
      <c r="MTV159" s="406"/>
      <c r="MTW159" s="407"/>
      <c r="MTX159" s="407"/>
      <c r="MTY159" s="407"/>
      <c r="MTZ159" s="407"/>
      <c r="MUA159" s="407"/>
      <c r="MUB159" s="406"/>
      <c r="MUC159" s="407"/>
      <c r="MUD159" s="407"/>
      <c r="MUE159" s="407"/>
      <c r="MUF159" s="407"/>
      <c r="MUG159" s="407"/>
      <c r="MUH159" s="406"/>
      <c r="MUI159" s="407"/>
      <c r="MUJ159" s="407"/>
      <c r="MUK159" s="407"/>
      <c r="MUL159" s="407"/>
      <c r="MUM159" s="407"/>
      <c r="MUN159" s="406"/>
      <c r="MUO159" s="407"/>
      <c r="MUP159" s="407"/>
      <c r="MUQ159" s="407"/>
      <c r="MUR159" s="407"/>
      <c r="MUS159" s="407"/>
      <c r="MUT159" s="406"/>
      <c r="MUU159" s="407"/>
      <c r="MUV159" s="407"/>
      <c r="MUW159" s="407"/>
      <c r="MUX159" s="407"/>
      <c r="MUY159" s="407"/>
      <c r="MUZ159" s="406"/>
      <c r="MVA159" s="407"/>
      <c r="MVB159" s="407"/>
      <c r="MVC159" s="407"/>
      <c r="MVD159" s="407"/>
      <c r="MVE159" s="407"/>
      <c r="MVF159" s="406"/>
      <c r="MVG159" s="407"/>
      <c r="MVH159" s="407"/>
      <c r="MVI159" s="407"/>
      <c r="MVJ159" s="407"/>
      <c r="MVK159" s="407"/>
      <c r="MVL159" s="406"/>
      <c r="MVM159" s="407"/>
      <c r="MVN159" s="407"/>
      <c r="MVO159" s="407"/>
      <c r="MVP159" s="407"/>
      <c r="MVQ159" s="407"/>
      <c r="MVR159" s="406"/>
      <c r="MVS159" s="407"/>
      <c r="MVT159" s="407"/>
      <c r="MVU159" s="407"/>
      <c r="MVV159" s="407"/>
      <c r="MVW159" s="407"/>
      <c r="MVX159" s="406"/>
      <c r="MVY159" s="407"/>
      <c r="MVZ159" s="407"/>
      <c r="MWA159" s="407"/>
      <c r="MWB159" s="407"/>
      <c r="MWC159" s="407"/>
      <c r="MWD159" s="406"/>
      <c r="MWE159" s="407"/>
      <c r="MWF159" s="407"/>
      <c r="MWG159" s="407"/>
      <c r="MWH159" s="407"/>
      <c r="MWI159" s="407"/>
      <c r="MWJ159" s="406"/>
      <c r="MWK159" s="407"/>
      <c r="MWL159" s="407"/>
      <c r="MWM159" s="407"/>
      <c r="MWN159" s="407"/>
      <c r="MWO159" s="407"/>
      <c r="MWP159" s="406"/>
      <c r="MWQ159" s="407"/>
      <c r="MWR159" s="407"/>
      <c r="MWS159" s="407"/>
      <c r="MWT159" s="407"/>
      <c r="MWU159" s="407"/>
      <c r="MWV159" s="406"/>
      <c r="MWW159" s="407"/>
      <c r="MWX159" s="407"/>
      <c r="MWY159" s="407"/>
      <c r="MWZ159" s="407"/>
      <c r="MXA159" s="407"/>
      <c r="MXB159" s="406"/>
      <c r="MXC159" s="407"/>
      <c r="MXD159" s="407"/>
      <c r="MXE159" s="407"/>
      <c r="MXF159" s="407"/>
      <c r="MXG159" s="407"/>
      <c r="MXH159" s="406"/>
      <c r="MXI159" s="407"/>
      <c r="MXJ159" s="407"/>
      <c r="MXK159" s="407"/>
      <c r="MXL159" s="407"/>
      <c r="MXM159" s="407"/>
      <c r="MXN159" s="406"/>
      <c r="MXO159" s="407"/>
      <c r="MXP159" s="407"/>
      <c r="MXQ159" s="407"/>
      <c r="MXR159" s="407"/>
      <c r="MXS159" s="407"/>
      <c r="MXT159" s="406"/>
      <c r="MXU159" s="407"/>
      <c r="MXV159" s="407"/>
      <c r="MXW159" s="407"/>
      <c r="MXX159" s="407"/>
      <c r="MXY159" s="407"/>
      <c r="MXZ159" s="406"/>
      <c r="MYA159" s="407"/>
      <c r="MYB159" s="407"/>
      <c r="MYC159" s="407"/>
      <c r="MYD159" s="407"/>
      <c r="MYE159" s="407"/>
      <c r="MYF159" s="406"/>
      <c r="MYG159" s="407"/>
      <c r="MYH159" s="407"/>
      <c r="MYI159" s="407"/>
      <c r="MYJ159" s="407"/>
      <c r="MYK159" s="407"/>
      <c r="MYL159" s="406"/>
      <c r="MYM159" s="407"/>
      <c r="MYN159" s="407"/>
      <c r="MYO159" s="407"/>
      <c r="MYP159" s="407"/>
      <c r="MYQ159" s="407"/>
      <c r="MYR159" s="406"/>
      <c r="MYS159" s="407"/>
      <c r="MYT159" s="407"/>
      <c r="MYU159" s="407"/>
      <c r="MYV159" s="407"/>
      <c r="MYW159" s="407"/>
      <c r="MYX159" s="406"/>
      <c r="MYY159" s="407"/>
      <c r="MYZ159" s="407"/>
      <c r="MZA159" s="407"/>
      <c r="MZB159" s="407"/>
      <c r="MZC159" s="407"/>
      <c r="MZD159" s="406"/>
      <c r="MZE159" s="407"/>
      <c r="MZF159" s="407"/>
      <c r="MZG159" s="407"/>
      <c r="MZH159" s="407"/>
      <c r="MZI159" s="407"/>
      <c r="MZJ159" s="406"/>
      <c r="MZK159" s="407"/>
      <c r="MZL159" s="407"/>
      <c r="MZM159" s="407"/>
      <c r="MZN159" s="407"/>
      <c r="MZO159" s="407"/>
      <c r="MZP159" s="406"/>
      <c r="MZQ159" s="407"/>
      <c r="MZR159" s="407"/>
      <c r="MZS159" s="407"/>
      <c r="MZT159" s="407"/>
      <c r="MZU159" s="407"/>
      <c r="MZV159" s="406"/>
      <c r="MZW159" s="407"/>
      <c r="MZX159" s="407"/>
      <c r="MZY159" s="407"/>
      <c r="MZZ159" s="407"/>
      <c r="NAA159" s="407"/>
      <c r="NAB159" s="406"/>
      <c r="NAC159" s="407"/>
      <c r="NAD159" s="407"/>
      <c r="NAE159" s="407"/>
      <c r="NAF159" s="407"/>
      <c r="NAG159" s="407"/>
      <c r="NAH159" s="406"/>
      <c r="NAI159" s="407"/>
      <c r="NAJ159" s="407"/>
      <c r="NAK159" s="407"/>
      <c r="NAL159" s="407"/>
      <c r="NAM159" s="407"/>
      <c r="NAN159" s="406"/>
      <c r="NAO159" s="407"/>
      <c r="NAP159" s="407"/>
      <c r="NAQ159" s="407"/>
      <c r="NAR159" s="407"/>
      <c r="NAS159" s="407"/>
      <c r="NAT159" s="406"/>
      <c r="NAU159" s="407"/>
      <c r="NAV159" s="407"/>
      <c r="NAW159" s="407"/>
      <c r="NAX159" s="407"/>
      <c r="NAY159" s="407"/>
      <c r="NAZ159" s="406"/>
      <c r="NBA159" s="407"/>
      <c r="NBB159" s="407"/>
      <c r="NBC159" s="407"/>
      <c r="NBD159" s="407"/>
      <c r="NBE159" s="407"/>
      <c r="NBF159" s="406"/>
      <c r="NBG159" s="407"/>
      <c r="NBH159" s="407"/>
      <c r="NBI159" s="407"/>
      <c r="NBJ159" s="407"/>
      <c r="NBK159" s="407"/>
      <c r="NBL159" s="406"/>
      <c r="NBM159" s="407"/>
      <c r="NBN159" s="407"/>
      <c r="NBO159" s="407"/>
      <c r="NBP159" s="407"/>
      <c r="NBQ159" s="407"/>
      <c r="NBR159" s="406"/>
      <c r="NBS159" s="407"/>
      <c r="NBT159" s="407"/>
      <c r="NBU159" s="407"/>
      <c r="NBV159" s="407"/>
      <c r="NBW159" s="407"/>
      <c r="NBX159" s="406"/>
      <c r="NBY159" s="407"/>
      <c r="NBZ159" s="407"/>
      <c r="NCA159" s="407"/>
      <c r="NCB159" s="407"/>
      <c r="NCC159" s="407"/>
      <c r="NCD159" s="406"/>
      <c r="NCE159" s="407"/>
      <c r="NCF159" s="407"/>
      <c r="NCG159" s="407"/>
      <c r="NCH159" s="407"/>
      <c r="NCI159" s="407"/>
      <c r="NCJ159" s="406"/>
      <c r="NCK159" s="407"/>
      <c r="NCL159" s="407"/>
      <c r="NCM159" s="407"/>
      <c r="NCN159" s="407"/>
      <c r="NCO159" s="407"/>
      <c r="NCP159" s="406"/>
      <c r="NCQ159" s="407"/>
      <c r="NCR159" s="407"/>
      <c r="NCS159" s="407"/>
      <c r="NCT159" s="407"/>
      <c r="NCU159" s="407"/>
      <c r="NCV159" s="406"/>
      <c r="NCW159" s="407"/>
      <c r="NCX159" s="407"/>
      <c r="NCY159" s="407"/>
      <c r="NCZ159" s="407"/>
      <c r="NDA159" s="407"/>
      <c r="NDB159" s="406"/>
      <c r="NDC159" s="407"/>
      <c r="NDD159" s="407"/>
      <c r="NDE159" s="407"/>
      <c r="NDF159" s="407"/>
      <c r="NDG159" s="407"/>
      <c r="NDH159" s="406"/>
      <c r="NDI159" s="407"/>
      <c r="NDJ159" s="407"/>
      <c r="NDK159" s="407"/>
      <c r="NDL159" s="407"/>
      <c r="NDM159" s="407"/>
      <c r="NDN159" s="406"/>
      <c r="NDO159" s="407"/>
      <c r="NDP159" s="407"/>
      <c r="NDQ159" s="407"/>
      <c r="NDR159" s="407"/>
      <c r="NDS159" s="407"/>
      <c r="NDT159" s="406"/>
      <c r="NDU159" s="407"/>
      <c r="NDV159" s="407"/>
      <c r="NDW159" s="407"/>
      <c r="NDX159" s="407"/>
      <c r="NDY159" s="407"/>
      <c r="NDZ159" s="406"/>
      <c r="NEA159" s="407"/>
      <c r="NEB159" s="407"/>
      <c r="NEC159" s="407"/>
      <c r="NED159" s="407"/>
      <c r="NEE159" s="407"/>
      <c r="NEF159" s="406"/>
      <c r="NEG159" s="407"/>
      <c r="NEH159" s="407"/>
      <c r="NEI159" s="407"/>
      <c r="NEJ159" s="407"/>
      <c r="NEK159" s="407"/>
      <c r="NEL159" s="406"/>
      <c r="NEM159" s="407"/>
      <c r="NEN159" s="407"/>
      <c r="NEO159" s="407"/>
      <c r="NEP159" s="407"/>
      <c r="NEQ159" s="407"/>
      <c r="NER159" s="406"/>
      <c r="NES159" s="407"/>
      <c r="NET159" s="407"/>
      <c r="NEU159" s="407"/>
      <c r="NEV159" s="407"/>
      <c r="NEW159" s="407"/>
      <c r="NEX159" s="406"/>
      <c r="NEY159" s="407"/>
      <c r="NEZ159" s="407"/>
      <c r="NFA159" s="407"/>
      <c r="NFB159" s="407"/>
      <c r="NFC159" s="407"/>
      <c r="NFD159" s="406"/>
      <c r="NFE159" s="407"/>
      <c r="NFF159" s="407"/>
      <c r="NFG159" s="407"/>
      <c r="NFH159" s="407"/>
      <c r="NFI159" s="407"/>
      <c r="NFJ159" s="406"/>
      <c r="NFK159" s="407"/>
      <c r="NFL159" s="407"/>
      <c r="NFM159" s="407"/>
      <c r="NFN159" s="407"/>
      <c r="NFO159" s="407"/>
      <c r="NFP159" s="406"/>
      <c r="NFQ159" s="407"/>
      <c r="NFR159" s="407"/>
      <c r="NFS159" s="407"/>
      <c r="NFT159" s="407"/>
      <c r="NFU159" s="407"/>
      <c r="NFV159" s="406"/>
      <c r="NFW159" s="407"/>
      <c r="NFX159" s="407"/>
      <c r="NFY159" s="407"/>
      <c r="NFZ159" s="407"/>
      <c r="NGA159" s="407"/>
      <c r="NGB159" s="406"/>
      <c r="NGC159" s="407"/>
      <c r="NGD159" s="407"/>
      <c r="NGE159" s="407"/>
      <c r="NGF159" s="407"/>
      <c r="NGG159" s="407"/>
      <c r="NGH159" s="406"/>
      <c r="NGI159" s="407"/>
      <c r="NGJ159" s="407"/>
      <c r="NGK159" s="407"/>
      <c r="NGL159" s="407"/>
      <c r="NGM159" s="407"/>
      <c r="NGN159" s="406"/>
      <c r="NGO159" s="407"/>
      <c r="NGP159" s="407"/>
      <c r="NGQ159" s="407"/>
      <c r="NGR159" s="407"/>
      <c r="NGS159" s="407"/>
      <c r="NGT159" s="406"/>
      <c r="NGU159" s="407"/>
      <c r="NGV159" s="407"/>
      <c r="NGW159" s="407"/>
      <c r="NGX159" s="407"/>
      <c r="NGY159" s="407"/>
      <c r="NGZ159" s="406"/>
      <c r="NHA159" s="407"/>
      <c r="NHB159" s="407"/>
      <c r="NHC159" s="407"/>
      <c r="NHD159" s="407"/>
      <c r="NHE159" s="407"/>
      <c r="NHF159" s="406"/>
      <c r="NHG159" s="407"/>
      <c r="NHH159" s="407"/>
      <c r="NHI159" s="407"/>
      <c r="NHJ159" s="407"/>
      <c r="NHK159" s="407"/>
      <c r="NHL159" s="406"/>
      <c r="NHM159" s="407"/>
      <c r="NHN159" s="407"/>
      <c r="NHO159" s="407"/>
      <c r="NHP159" s="407"/>
      <c r="NHQ159" s="407"/>
      <c r="NHR159" s="406"/>
      <c r="NHS159" s="407"/>
      <c r="NHT159" s="407"/>
      <c r="NHU159" s="407"/>
      <c r="NHV159" s="407"/>
      <c r="NHW159" s="407"/>
      <c r="NHX159" s="406"/>
      <c r="NHY159" s="407"/>
      <c r="NHZ159" s="407"/>
      <c r="NIA159" s="407"/>
      <c r="NIB159" s="407"/>
      <c r="NIC159" s="407"/>
      <c r="NID159" s="406"/>
      <c r="NIE159" s="407"/>
      <c r="NIF159" s="407"/>
      <c r="NIG159" s="407"/>
      <c r="NIH159" s="407"/>
      <c r="NII159" s="407"/>
      <c r="NIJ159" s="406"/>
      <c r="NIK159" s="407"/>
      <c r="NIL159" s="407"/>
      <c r="NIM159" s="407"/>
      <c r="NIN159" s="407"/>
      <c r="NIO159" s="407"/>
      <c r="NIP159" s="406"/>
      <c r="NIQ159" s="407"/>
      <c r="NIR159" s="407"/>
      <c r="NIS159" s="407"/>
      <c r="NIT159" s="407"/>
      <c r="NIU159" s="407"/>
      <c r="NIV159" s="406"/>
      <c r="NIW159" s="407"/>
      <c r="NIX159" s="407"/>
      <c r="NIY159" s="407"/>
      <c r="NIZ159" s="407"/>
      <c r="NJA159" s="407"/>
      <c r="NJB159" s="406"/>
      <c r="NJC159" s="407"/>
      <c r="NJD159" s="407"/>
      <c r="NJE159" s="407"/>
      <c r="NJF159" s="407"/>
      <c r="NJG159" s="407"/>
      <c r="NJH159" s="406"/>
      <c r="NJI159" s="407"/>
      <c r="NJJ159" s="407"/>
      <c r="NJK159" s="407"/>
      <c r="NJL159" s="407"/>
      <c r="NJM159" s="407"/>
      <c r="NJN159" s="406"/>
      <c r="NJO159" s="407"/>
      <c r="NJP159" s="407"/>
      <c r="NJQ159" s="407"/>
      <c r="NJR159" s="407"/>
      <c r="NJS159" s="407"/>
      <c r="NJT159" s="406"/>
      <c r="NJU159" s="407"/>
      <c r="NJV159" s="407"/>
      <c r="NJW159" s="407"/>
      <c r="NJX159" s="407"/>
      <c r="NJY159" s="407"/>
      <c r="NJZ159" s="406"/>
      <c r="NKA159" s="407"/>
      <c r="NKB159" s="407"/>
      <c r="NKC159" s="407"/>
      <c r="NKD159" s="407"/>
      <c r="NKE159" s="407"/>
      <c r="NKF159" s="406"/>
      <c r="NKG159" s="407"/>
      <c r="NKH159" s="407"/>
      <c r="NKI159" s="407"/>
      <c r="NKJ159" s="407"/>
      <c r="NKK159" s="407"/>
      <c r="NKL159" s="406"/>
      <c r="NKM159" s="407"/>
      <c r="NKN159" s="407"/>
      <c r="NKO159" s="407"/>
      <c r="NKP159" s="407"/>
      <c r="NKQ159" s="407"/>
      <c r="NKR159" s="406"/>
      <c r="NKS159" s="407"/>
      <c r="NKT159" s="407"/>
      <c r="NKU159" s="407"/>
      <c r="NKV159" s="407"/>
      <c r="NKW159" s="407"/>
      <c r="NKX159" s="406"/>
      <c r="NKY159" s="407"/>
      <c r="NKZ159" s="407"/>
      <c r="NLA159" s="407"/>
      <c r="NLB159" s="407"/>
      <c r="NLC159" s="407"/>
      <c r="NLD159" s="406"/>
      <c r="NLE159" s="407"/>
      <c r="NLF159" s="407"/>
      <c r="NLG159" s="407"/>
      <c r="NLH159" s="407"/>
      <c r="NLI159" s="407"/>
      <c r="NLJ159" s="406"/>
      <c r="NLK159" s="407"/>
      <c r="NLL159" s="407"/>
      <c r="NLM159" s="407"/>
      <c r="NLN159" s="407"/>
      <c r="NLO159" s="407"/>
      <c r="NLP159" s="406"/>
      <c r="NLQ159" s="407"/>
      <c r="NLR159" s="407"/>
      <c r="NLS159" s="407"/>
      <c r="NLT159" s="407"/>
      <c r="NLU159" s="407"/>
      <c r="NLV159" s="406"/>
      <c r="NLW159" s="407"/>
      <c r="NLX159" s="407"/>
      <c r="NLY159" s="407"/>
      <c r="NLZ159" s="407"/>
      <c r="NMA159" s="407"/>
      <c r="NMB159" s="406"/>
      <c r="NMC159" s="407"/>
      <c r="NMD159" s="407"/>
      <c r="NME159" s="407"/>
      <c r="NMF159" s="407"/>
      <c r="NMG159" s="407"/>
      <c r="NMH159" s="406"/>
      <c r="NMI159" s="407"/>
      <c r="NMJ159" s="407"/>
      <c r="NMK159" s="407"/>
      <c r="NML159" s="407"/>
      <c r="NMM159" s="407"/>
      <c r="NMN159" s="406"/>
      <c r="NMO159" s="407"/>
      <c r="NMP159" s="407"/>
      <c r="NMQ159" s="407"/>
      <c r="NMR159" s="407"/>
      <c r="NMS159" s="407"/>
      <c r="NMT159" s="406"/>
      <c r="NMU159" s="407"/>
      <c r="NMV159" s="407"/>
      <c r="NMW159" s="407"/>
      <c r="NMX159" s="407"/>
      <c r="NMY159" s="407"/>
      <c r="NMZ159" s="406"/>
      <c r="NNA159" s="407"/>
      <c r="NNB159" s="407"/>
      <c r="NNC159" s="407"/>
      <c r="NND159" s="407"/>
      <c r="NNE159" s="407"/>
      <c r="NNF159" s="406"/>
      <c r="NNG159" s="407"/>
      <c r="NNH159" s="407"/>
      <c r="NNI159" s="407"/>
      <c r="NNJ159" s="407"/>
      <c r="NNK159" s="407"/>
      <c r="NNL159" s="406"/>
      <c r="NNM159" s="407"/>
      <c r="NNN159" s="407"/>
      <c r="NNO159" s="407"/>
      <c r="NNP159" s="407"/>
      <c r="NNQ159" s="407"/>
      <c r="NNR159" s="406"/>
      <c r="NNS159" s="407"/>
      <c r="NNT159" s="407"/>
      <c r="NNU159" s="407"/>
      <c r="NNV159" s="407"/>
      <c r="NNW159" s="407"/>
      <c r="NNX159" s="406"/>
      <c r="NNY159" s="407"/>
      <c r="NNZ159" s="407"/>
      <c r="NOA159" s="407"/>
      <c r="NOB159" s="407"/>
      <c r="NOC159" s="407"/>
      <c r="NOD159" s="406"/>
      <c r="NOE159" s="407"/>
      <c r="NOF159" s="407"/>
      <c r="NOG159" s="407"/>
      <c r="NOH159" s="407"/>
      <c r="NOI159" s="407"/>
      <c r="NOJ159" s="406"/>
      <c r="NOK159" s="407"/>
      <c r="NOL159" s="407"/>
      <c r="NOM159" s="407"/>
      <c r="NON159" s="407"/>
      <c r="NOO159" s="407"/>
      <c r="NOP159" s="406"/>
      <c r="NOQ159" s="407"/>
      <c r="NOR159" s="407"/>
      <c r="NOS159" s="407"/>
      <c r="NOT159" s="407"/>
      <c r="NOU159" s="407"/>
      <c r="NOV159" s="406"/>
      <c r="NOW159" s="407"/>
      <c r="NOX159" s="407"/>
      <c r="NOY159" s="407"/>
      <c r="NOZ159" s="407"/>
      <c r="NPA159" s="407"/>
      <c r="NPB159" s="406"/>
      <c r="NPC159" s="407"/>
      <c r="NPD159" s="407"/>
      <c r="NPE159" s="407"/>
      <c r="NPF159" s="407"/>
      <c r="NPG159" s="407"/>
      <c r="NPH159" s="406"/>
      <c r="NPI159" s="407"/>
      <c r="NPJ159" s="407"/>
      <c r="NPK159" s="407"/>
      <c r="NPL159" s="407"/>
      <c r="NPM159" s="407"/>
      <c r="NPN159" s="406"/>
      <c r="NPO159" s="407"/>
      <c r="NPP159" s="407"/>
      <c r="NPQ159" s="407"/>
      <c r="NPR159" s="407"/>
      <c r="NPS159" s="407"/>
      <c r="NPT159" s="406"/>
      <c r="NPU159" s="407"/>
      <c r="NPV159" s="407"/>
      <c r="NPW159" s="407"/>
      <c r="NPX159" s="407"/>
      <c r="NPY159" s="407"/>
      <c r="NPZ159" s="406"/>
      <c r="NQA159" s="407"/>
      <c r="NQB159" s="407"/>
      <c r="NQC159" s="407"/>
      <c r="NQD159" s="407"/>
      <c r="NQE159" s="407"/>
      <c r="NQF159" s="406"/>
      <c r="NQG159" s="407"/>
      <c r="NQH159" s="407"/>
      <c r="NQI159" s="407"/>
      <c r="NQJ159" s="407"/>
      <c r="NQK159" s="407"/>
      <c r="NQL159" s="406"/>
      <c r="NQM159" s="407"/>
      <c r="NQN159" s="407"/>
      <c r="NQO159" s="407"/>
      <c r="NQP159" s="407"/>
      <c r="NQQ159" s="407"/>
      <c r="NQR159" s="406"/>
      <c r="NQS159" s="407"/>
      <c r="NQT159" s="407"/>
      <c r="NQU159" s="407"/>
      <c r="NQV159" s="407"/>
      <c r="NQW159" s="407"/>
      <c r="NQX159" s="406"/>
      <c r="NQY159" s="407"/>
      <c r="NQZ159" s="407"/>
      <c r="NRA159" s="407"/>
      <c r="NRB159" s="407"/>
      <c r="NRC159" s="407"/>
      <c r="NRD159" s="406"/>
      <c r="NRE159" s="407"/>
      <c r="NRF159" s="407"/>
      <c r="NRG159" s="407"/>
      <c r="NRH159" s="407"/>
      <c r="NRI159" s="407"/>
      <c r="NRJ159" s="406"/>
      <c r="NRK159" s="407"/>
      <c r="NRL159" s="407"/>
      <c r="NRM159" s="407"/>
      <c r="NRN159" s="407"/>
      <c r="NRO159" s="407"/>
      <c r="NRP159" s="406"/>
      <c r="NRQ159" s="407"/>
      <c r="NRR159" s="407"/>
      <c r="NRS159" s="407"/>
      <c r="NRT159" s="407"/>
      <c r="NRU159" s="407"/>
      <c r="NRV159" s="406"/>
      <c r="NRW159" s="407"/>
      <c r="NRX159" s="407"/>
      <c r="NRY159" s="407"/>
      <c r="NRZ159" s="407"/>
      <c r="NSA159" s="407"/>
      <c r="NSB159" s="406"/>
      <c r="NSC159" s="407"/>
      <c r="NSD159" s="407"/>
      <c r="NSE159" s="407"/>
      <c r="NSF159" s="407"/>
      <c r="NSG159" s="407"/>
      <c r="NSH159" s="406"/>
      <c r="NSI159" s="407"/>
      <c r="NSJ159" s="407"/>
      <c r="NSK159" s="407"/>
      <c r="NSL159" s="407"/>
      <c r="NSM159" s="407"/>
      <c r="NSN159" s="406"/>
      <c r="NSO159" s="407"/>
      <c r="NSP159" s="407"/>
      <c r="NSQ159" s="407"/>
      <c r="NSR159" s="407"/>
      <c r="NSS159" s="407"/>
      <c r="NST159" s="406"/>
      <c r="NSU159" s="407"/>
      <c r="NSV159" s="407"/>
      <c r="NSW159" s="407"/>
      <c r="NSX159" s="407"/>
      <c r="NSY159" s="407"/>
      <c r="NSZ159" s="406"/>
      <c r="NTA159" s="407"/>
      <c r="NTB159" s="407"/>
      <c r="NTC159" s="407"/>
      <c r="NTD159" s="407"/>
      <c r="NTE159" s="407"/>
      <c r="NTF159" s="406"/>
      <c r="NTG159" s="407"/>
      <c r="NTH159" s="407"/>
      <c r="NTI159" s="407"/>
      <c r="NTJ159" s="407"/>
      <c r="NTK159" s="407"/>
      <c r="NTL159" s="406"/>
      <c r="NTM159" s="407"/>
      <c r="NTN159" s="407"/>
      <c r="NTO159" s="407"/>
      <c r="NTP159" s="407"/>
      <c r="NTQ159" s="407"/>
      <c r="NTR159" s="406"/>
      <c r="NTS159" s="407"/>
      <c r="NTT159" s="407"/>
      <c r="NTU159" s="407"/>
      <c r="NTV159" s="407"/>
      <c r="NTW159" s="407"/>
      <c r="NTX159" s="406"/>
      <c r="NTY159" s="407"/>
      <c r="NTZ159" s="407"/>
      <c r="NUA159" s="407"/>
      <c r="NUB159" s="407"/>
      <c r="NUC159" s="407"/>
      <c r="NUD159" s="406"/>
      <c r="NUE159" s="407"/>
      <c r="NUF159" s="407"/>
      <c r="NUG159" s="407"/>
      <c r="NUH159" s="407"/>
      <c r="NUI159" s="407"/>
      <c r="NUJ159" s="406"/>
      <c r="NUK159" s="407"/>
      <c r="NUL159" s="407"/>
      <c r="NUM159" s="407"/>
      <c r="NUN159" s="407"/>
      <c r="NUO159" s="407"/>
      <c r="NUP159" s="406"/>
      <c r="NUQ159" s="407"/>
      <c r="NUR159" s="407"/>
      <c r="NUS159" s="407"/>
      <c r="NUT159" s="407"/>
      <c r="NUU159" s="407"/>
      <c r="NUV159" s="406"/>
      <c r="NUW159" s="407"/>
      <c r="NUX159" s="407"/>
      <c r="NUY159" s="407"/>
      <c r="NUZ159" s="407"/>
      <c r="NVA159" s="407"/>
      <c r="NVB159" s="406"/>
      <c r="NVC159" s="407"/>
      <c r="NVD159" s="407"/>
      <c r="NVE159" s="407"/>
      <c r="NVF159" s="407"/>
      <c r="NVG159" s="407"/>
      <c r="NVH159" s="406"/>
      <c r="NVI159" s="407"/>
      <c r="NVJ159" s="407"/>
      <c r="NVK159" s="407"/>
      <c r="NVL159" s="407"/>
      <c r="NVM159" s="407"/>
      <c r="NVN159" s="406"/>
      <c r="NVO159" s="407"/>
      <c r="NVP159" s="407"/>
      <c r="NVQ159" s="407"/>
      <c r="NVR159" s="407"/>
      <c r="NVS159" s="407"/>
      <c r="NVT159" s="406"/>
      <c r="NVU159" s="407"/>
      <c r="NVV159" s="407"/>
      <c r="NVW159" s="407"/>
      <c r="NVX159" s="407"/>
      <c r="NVY159" s="407"/>
      <c r="NVZ159" s="406"/>
      <c r="NWA159" s="407"/>
      <c r="NWB159" s="407"/>
      <c r="NWC159" s="407"/>
      <c r="NWD159" s="407"/>
      <c r="NWE159" s="407"/>
      <c r="NWF159" s="406"/>
      <c r="NWG159" s="407"/>
      <c r="NWH159" s="407"/>
      <c r="NWI159" s="407"/>
      <c r="NWJ159" s="407"/>
      <c r="NWK159" s="407"/>
      <c r="NWL159" s="406"/>
      <c r="NWM159" s="407"/>
      <c r="NWN159" s="407"/>
      <c r="NWO159" s="407"/>
      <c r="NWP159" s="407"/>
      <c r="NWQ159" s="407"/>
      <c r="NWR159" s="406"/>
      <c r="NWS159" s="407"/>
      <c r="NWT159" s="407"/>
      <c r="NWU159" s="407"/>
      <c r="NWV159" s="407"/>
      <c r="NWW159" s="407"/>
      <c r="NWX159" s="406"/>
      <c r="NWY159" s="407"/>
      <c r="NWZ159" s="407"/>
      <c r="NXA159" s="407"/>
      <c r="NXB159" s="407"/>
      <c r="NXC159" s="407"/>
      <c r="NXD159" s="406"/>
      <c r="NXE159" s="407"/>
      <c r="NXF159" s="407"/>
      <c r="NXG159" s="407"/>
      <c r="NXH159" s="407"/>
      <c r="NXI159" s="407"/>
      <c r="NXJ159" s="406"/>
      <c r="NXK159" s="407"/>
      <c r="NXL159" s="407"/>
      <c r="NXM159" s="407"/>
      <c r="NXN159" s="407"/>
      <c r="NXO159" s="407"/>
      <c r="NXP159" s="406"/>
      <c r="NXQ159" s="407"/>
      <c r="NXR159" s="407"/>
      <c r="NXS159" s="407"/>
      <c r="NXT159" s="407"/>
      <c r="NXU159" s="407"/>
      <c r="NXV159" s="406"/>
      <c r="NXW159" s="407"/>
      <c r="NXX159" s="407"/>
      <c r="NXY159" s="407"/>
      <c r="NXZ159" s="407"/>
      <c r="NYA159" s="407"/>
      <c r="NYB159" s="406"/>
      <c r="NYC159" s="407"/>
      <c r="NYD159" s="407"/>
      <c r="NYE159" s="407"/>
      <c r="NYF159" s="407"/>
      <c r="NYG159" s="407"/>
      <c r="NYH159" s="406"/>
      <c r="NYI159" s="407"/>
      <c r="NYJ159" s="407"/>
      <c r="NYK159" s="407"/>
      <c r="NYL159" s="407"/>
      <c r="NYM159" s="407"/>
      <c r="NYN159" s="406"/>
      <c r="NYO159" s="407"/>
      <c r="NYP159" s="407"/>
      <c r="NYQ159" s="407"/>
      <c r="NYR159" s="407"/>
      <c r="NYS159" s="407"/>
      <c r="NYT159" s="406"/>
      <c r="NYU159" s="407"/>
      <c r="NYV159" s="407"/>
      <c r="NYW159" s="407"/>
      <c r="NYX159" s="407"/>
      <c r="NYY159" s="407"/>
      <c r="NYZ159" s="406"/>
      <c r="NZA159" s="407"/>
      <c r="NZB159" s="407"/>
      <c r="NZC159" s="407"/>
      <c r="NZD159" s="407"/>
      <c r="NZE159" s="407"/>
      <c r="NZF159" s="406"/>
      <c r="NZG159" s="407"/>
      <c r="NZH159" s="407"/>
      <c r="NZI159" s="407"/>
      <c r="NZJ159" s="407"/>
      <c r="NZK159" s="407"/>
      <c r="NZL159" s="406"/>
      <c r="NZM159" s="407"/>
      <c r="NZN159" s="407"/>
      <c r="NZO159" s="407"/>
      <c r="NZP159" s="407"/>
      <c r="NZQ159" s="407"/>
      <c r="NZR159" s="406"/>
      <c r="NZS159" s="407"/>
      <c r="NZT159" s="407"/>
      <c r="NZU159" s="407"/>
      <c r="NZV159" s="407"/>
      <c r="NZW159" s="407"/>
      <c r="NZX159" s="406"/>
      <c r="NZY159" s="407"/>
      <c r="NZZ159" s="407"/>
      <c r="OAA159" s="407"/>
      <c r="OAB159" s="407"/>
      <c r="OAC159" s="407"/>
      <c r="OAD159" s="406"/>
      <c r="OAE159" s="407"/>
      <c r="OAF159" s="407"/>
      <c r="OAG159" s="407"/>
      <c r="OAH159" s="407"/>
      <c r="OAI159" s="407"/>
      <c r="OAJ159" s="406"/>
      <c r="OAK159" s="407"/>
      <c r="OAL159" s="407"/>
      <c r="OAM159" s="407"/>
      <c r="OAN159" s="407"/>
      <c r="OAO159" s="407"/>
      <c r="OAP159" s="406"/>
      <c r="OAQ159" s="407"/>
      <c r="OAR159" s="407"/>
      <c r="OAS159" s="407"/>
      <c r="OAT159" s="407"/>
      <c r="OAU159" s="407"/>
      <c r="OAV159" s="406"/>
      <c r="OAW159" s="407"/>
      <c r="OAX159" s="407"/>
      <c r="OAY159" s="407"/>
      <c r="OAZ159" s="407"/>
      <c r="OBA159" s="407"/>
      <c r="OBB159" s="406"/>
      <c r="OBC159" s="407"/>
      <c r="OBD159" s="407"/>
      <c r="OBE159" s="407"/>
      <c r="OBF159" s="407"/>
      <c r="OBG159" s="407"/>
      <c r="OBH159" s="406"/>
      <c r="OBI159" s="407"/>
      <c r="OBJ159" s="407"/>
      <c r="OBK159" s="407"/>
      <c r="OBL159" s="407"/>
      <c r="OBM159" s="407"/>
      <c r="OBN159" s="406"/>
      <c r="OBO159" s="407"/>
      <c r="OBP159" s="407"/>
      <c r="OBQ159" s="407"/>
      <c r="OBR159" s="407"/>
      <c r="OBS159" s="407"/>
      <c r="OBT159" s="406"/>
      <c r="OBU159" s="407"/>
      <c r="OBV159" s="407"/>
      <c r="OBW159" s="407"/>
      <c r="OBX159" s="407"/>
      <c r="OBY159" s="407"/>
      <c r="OBZ159" s="406"/>
      <c r="OCA159" s="407"/>
      <c r="OCB159" s="407"/>
      <c r="OCC159" s="407"/>
      <c r="OCD159" s="407"/>
      <c r="OCE159" s="407"/>
      <c r="OCF159" s="406"/>
      <c r="OCG159" s="407"/>
      <c r="OCH159" s="407"/>
      <c r="OCI159" s="407"/>
      <c r="OCJ159" s="407"/>
      <c r="OCK159" s="407"/>
      <c r="OCL159" s="406"/>
      <c r="OCM159" s="407"/>
      <c r="OCN159" s="407"/>
      <c r="OCO159" s="407"/>
      <c r="OCP159" s="407"/>
      <c r="OCQ159" s="407"/>
      <c r="OCR159" s="406"/>
      <c r="OCS159" s="407"/>
      <c r="OCT159" s="407"/>
      <c r="OCU159" s="407"/>
      <c r="OCV159" s="407"/>
      <c r="OCW159" s="407"/>
      <c r="OCX159" s="406"/>
      <c r="OCY159" s="407"/>
      <c r="OCZ159" s="407"/>
      <c r="ODA159" s="407"/>
      <c r="ODB159" s="407"/>
      <c r="ODC159" s="407"/>
      <c r="ODD159" s="406"/>
      <c r="ODE159" s="407"/>
      <c r="ODF159" s="407"/>
      <c r="ODG159" s="407"/>
      <c r="ODH159" s="407"/>
      <c r="ODI159" s="407"/>
      <c r="ODJ159" s="406"/>
      <c r="ODK159" s="407"/>
      <c r="ODL159" s="407"/>
      <c r="ODM159" s="407"/>
      <c r="ODN159" s="407"/>
      <c r="ODO159" s="407"/>
      <c r="ODP159" s="406"/>
      <c r="ODQ159" s="407"/>
      <c r="ODR159" s="407"/>
      <c r="ODS159" s="407"/>
      <c r="ODT159" s="407"/>
      <c r="ODU159" s="407"/>
      <c r="ODV159" s="406"/>
      <c r="ODW159" s="407"/>
      <c r="ODX159" s="407"/>
      <c r="ODY159" s="407"/>
      <c r="ODZ159" s="407"/>
      <c r="OEA159" s="407"/>
      <c r="OEB159" s="406"/>
      <c r="OEC159" s="407"/>
      <c r="OED159" s="407"/>
      <c r="OEE159" s="407"/>
      <c r="OEF159" s="407"/>
      <c r="OEG159" s="407"/>
      <c r="OEH159" s="406"/>
      <c r="OEI159" s="407"/>
      <c r="OEJ159" s="407"/>
      <c r="OEK159" s="407"/>
      <c r="OEL159" s="407"/>
      <c r="OEM159" s="407"/>
      <c r="OEN159" s="406"/>
      <c r="OEO159" s="407"/>
      <c r="OEP159" s="407"/>
      <c r="OEQ159" s="407"/>
      <c r="OER159" s="407"/>
      <c r="OES159" s="407"/>
      <c r="OET159" s="406"/>
      <c r="OEU159" s="407"/>
      <c r="OEV159" s="407"/>
      <c r="OEW159" s="407"/>
      <c r="OEX159" s="407"/>
      <c r="OEY159" s="407"/>
      <c r="OEZ159" s="406"/>
      <c r="OFA159" s="407"/>
      <c r="OFB159" s="407"/>
      <c r="OFC159" s="407"/>
      <c r="OFD159" s="407"/>
      <c r="OFE159" s="407"/>
      <c r="OFF159" s="406"/>
      <c r="OFG159" s="407"/>
      <c r="OFH159" s="407"/>
      <c r="OFI159" s="407"/>
      <c r="OFJ159" s="407"/>
      <c r="OFK159" s="407"/>
      <c r="OFL159" s="406"/>
      <c r="OFM159" s="407"/>
      <c r="OFN159" s="407"/>
      <c r="OFO159" s="407"/>
      <c r="OFP159" s="407"/>
      <c r="OFQ159" s="407"/>
      <c r="OFR159" s="406"/>
      <c r="OFS159" s="407"/>
      <c r="OFT159" s="407"/>
      <c r="OFU159" s="407"/>
      <c r="OFV159" s="407"/>
      <c r="OFW159" s="407"/>
      <c r="OFX159" s="406"/>
      <c r="OFY159" s="407"/>
      <c r="OFZ159" s="407"/>
      <c r="OGA159" s="407"/>
      <c r="OGB159" s="407"/>
      <c r="OGC159" s="407"/>
      <c r="OGD159" s="406"/>
      <c r="OGE159" s="407"/>
      <c r="OGF159" s="407"/>
      <c r="OGG159" s="407"/>
      <c r="OGH159" s="407"/>
      <c r="OGI159" s="407"/>
      <c r="OGJ159" s="406"/>
      <c r="OGK159" s="407"/>
      <c r="OGL159" s="407"/>
      <c r="OGM159" s="407"/>
      <c r="OGN159" s="407"/>
      <c r="OGO159" s="407"/>
      <c r="OGP159" s="406"/>
      <c r="OGQ159" s="407"/>
      <c r="OGR159" s="407"/>
      <c r="OGS159" s="407"/>
      <c r="OGT159" s="407"/>
      <c r="OGU159" s="407"/>
      <c r="OGV159" s="406"/>
      <c r="OGW159" s="407"/>
      <c r="OGX159" s="407"/>
      <c r="OGY159" s="407"/>
      <c r="OGZ159" s="407"/>
      <c r="OHA159" s="407"/>
      <c r="OHB159" s="406"/>
      <c r="OHC159" s="407"/>
      <c r="OHD159" s="407"/>
      <c r="OHE159" s="407"/>
      <c r="OHF159" s="407"/>
      <c r="OHG159" s="407"/>
      <c r="OHH159" s="406"/>
      <c r="OHI159" s="407"/>
      <c r="OHJ159" s="407"/>
      <c r="OHK159" s="407"/>
      <c r="OHL159" s="407"/>
      <c r="OHM159" s="407"/>
      <c r="OHN159" s="406"/>
      <c r="OHO159" s="407"/>
      <c r="OHP159" s="407"/>
      <c r="OHQ159" s="407"/>
      <c r="OHR159" s="407"/>
      <c r="OHS159" s="407"/>
      <c r="OHT159" s="406"/>
      <c r="OHU159" s="407"/>
      <c r="OHV159" s="407"/>
      <c r="OHW159" s="407"/>
      <c r="OHX159" s="407"/>
      <c r="OHY159" s="407"/>
      <c r="OHZ159" s="406"/>
      <c r="OIA159" s="407"/>
      <c r="OIB159" s="407"/>
      <c r="OIC159" s="407"/>
      <c r="OID159" s="407"/>
      <c r="OIE159" s="407"/>
      <c r="OIF159" s="406"/>
      <c r="OIG159" s="407"/>
      <c r="OIH159" s="407"/>
      <c r="OII159" s="407"/>
      <c r="OIJ159" s="407"/>
      <c r="OIK159" s="407"/>
      <c r="OIL159" s="406"/>
      <c r="OIM159" s="407"/>
      <c r="OIN159" s="407"/>
      <c r="OIO159" s="407"/>
      <c r="OIP159" s="407"/>
      <c r="OIQ159" s="407"/>
      <c r="OIR159" s="406"/>
      <c r="OIS159" s="407"/>
      <c r="OIT159" s="407"/>
      <c r="OIU159" s="407"/>
      <c r="OIV159" s="407"/>
      <c r="OIW159" s="407"/>
      <c r="OIX159" s="406"/>
      <c r="OIY159" s="407"/>
      <c r="OIZ159" s="407"/>
      <c r="OJA159" s="407"/>
      <c r="OJB159" s="407"/>
      <c r="OJC159" s="407"/>
      <c r="OJD159" s="406"/>
      <c r="OJE159" s="407"/>
      <c r="OJF159" s="407"/>
      <c r="OJG159" s="407"/>
      <c r="OJH159" s="407"/>
      <c r="OJI159" s="407"/>
      <c r="OJJ159" s="406"/>
      <c r="OJK159" s="407"/>
      <c r="OJL159" s="407"/>
      <c r="OJM159" s="407"/>
      <c r="OJN159" s="407"/>
      <c r="OJO159" s="407"/>
      <c r="OJP159" s="406"/>
      <c r="OJQ159" s="407"/>
      <c r="OJR159" s="407"/>
      <c r="OJS159" s="407"/>
      <c r="OJT159" s="407"/>
      <c r="OJU159" s="407"/>
      <c r="OJV159" s="406"/>
      <c r="OJW159" s="407"/>
      <c r="OJX159" s="407"/>
      <c r="OJY159" s="407"/>
      <c r="OJZ159" s="407"/>
      <c r="OKA159" s="407"/>
      <c r="OKB159" s="406"/>
      <c r="OKC159" s="407"/>
      <c r="OKD159" s="407"/>
      <c r="OKE159" s="407"/>
      <c r="OKF159" s="407"/>
      <c r="OKG159" s="407"/>
      <c r="OKH159" s="406"/>
      <c r="OKI159" s="407"/>
      <c r="OKJ159" s="407"/>
      <c r="OKK159" s="407"/>
      <c r="OKL159" s="407"/>
      <c r="OKM159" s="407"/>
      <c r="OKN159" s="406"/>
      <c r="OKO159" s="407"/>
      <c r="OKP159" s="407"/>
      <c r="OKQ159" s="407"/>
      <c r="OKR159" s="407"/>
      <c r="OKS159" s="407"/>
      <c r="OKT159" s="406"/>
      <c r="OKU159" s="407"/>
      <c r="OKV159" s="407"/>
      <c r="OKW159" s="407"/>
      <c r="OKX159" s="407"/>
      <c r="OKY159" s="407"/>
      <c r="OKZ159" s="406"/>
      <c r="OLA159" s="407"/>
      <c r="OLB159" s="407"/>
      <c r="OLC159" s="407"/>
      <c r="OLD159" s="407"/>
      <c r="OLE159" s="407"/>
      <c r="OLF159" s="406"/>
      <c r="OLG159" s="407"/>
      <c r="OLH159" s="407"/>
      <c r="OLI159" s="407"/>
      <c r="OLJ159" s="407"/>
      <c r="OLK159" s="407"/>
      <c r="OLL159" s="406"/>
      <c r="OLM159" s="407"/>
      <c r="OLN159" s="407"/>
      <c r="OLO159" s="407"/>
      <c r="OLP159" s="407"/>
      <c r="OLQ159" s="407"/>
      <c r="OLR159" s="406"/>
      <c r="OLS159" s="407"/>
      <c r="OLT159" s="407"/>
      <c r="OLU159" s="407"/>
      <c r="OLV159" s="407"/>
      <c r="OLW159" s="407"/>
      <c r="OLX159" s="406"/>
      <c r="OLY159" s="407"/>
      <c r="OLZ159" s="407"/>
      <c r="OMA159" s="407"/>
      <c r="OMB159" s="407"/>
      <c r="OMC159" s="407"/>
      <c r="OMD159" s="406"/>
      <c r="OME159" s="407"/>
      <c r="OMF159" s="407"/>
      <c r="OMG159" s="407"/>
      <c r="OMH159" s="407"/>
      <c r="OMI159" s="407"/>
      <c r="OMJ159" s="406"/>
      <c r="OMK159" s="407"/>
      <c r="OML159" s="407"/>
      <c r="OMM159" s="407"/>
      <c r="OMN159" s="407"/>
      <c r="OMO159" s="407"/>
      <c r="OMP159" s="406"/>
      <c r="OMQ159" s="407"/>
      <c r="OMR159" s="407"/>
      <c r="OMS159" s="407"/>
      <c r="OMT159" s="407"/>
      <c r="OMU159" s="407"/>
      <c r="OMV159" s="406"/>
      <c r="OMW159" s="407"/>
      <c r="OMX159" s="407"/>
      <c r="OMY159" s="407"/>
      <c r="OMZ159" s="407"/>
      <c r="ONA159" s="407"/>
      <c r="ONB159" s="406"/>
      <c r="ONC159" s="407"/>
      <c r="OND159" s="407"/>
      <c r="ONE159" s="407"/>
      <c r="ONF159" s="407"/>
      <c r="ONG159" s="407"/>
      <c r="ONH159" s="406"/>
      <c r="ONI159" s="407"/>
      <c r="ONJ159" s="407"/>
      <c r="ONK159" s="407"/>
      <c r="ONL159" s="407"/>
      <c r="ONM159" s="407"/>
      <c r="ONN159" s="406"/>
      <c r="ONO159" s="407"/>
      <c r="ONP159" s="407"/>
      <c r="ONQ159" s="407"/>
      <c r="ONR159" s="407"/>
      <c r="ONS159" s="407"/>
      <c r="ONT159" s="406"/>
      <c r="ONU159" s="407"/>
      <c r="ONV159" s="407"/>
      <c r="ONW159" s="407"/>
      <c r="ONX159" s="407"/>
      <c r="ONY159" s="407"/>
      <c r="ONZ159" s="406"/>
      <c r="OOA159" s="407"/>
      <c r="OOB159" s="407"/>
      <c r="OOC159" s="407"/>
      <c r="OOD159" s="407"/>
      <c r="OOE159" s="407"/>
      <c r="OOF159" s="406"/>
      <c r="OOG159" s="407"/>
      <c r="OOH159" s="407"/>
      <c r="OOI159" s="407"/>
      <c r="OOJ159" s="407"/>
      <c r="OOK159" s="407"/>
      <c r="OOL159" s="406"/>
      <c r="OOM159" s="407"/>
      <c r="OON159" s="407"/>
      <c r="OOO159" s="407"/>
      <c r="OOP159" s="407"/>
      <c r="OOQ159" s="407"/>
      <c r="OOR159" s="406"/>
      <c r="OOS159" s="407"/>
      <c r="OOT159" s="407"/>
      <c r="OOU159" s="407"/>
      <c r="OOV159" s="407"/>
      <c r="OOW159" s="407"/>
      <c r="OOX159" s="406"/>
      <c r="OOY159" s="407"/>
      <c r="OOZ159" s="407"/>
      <c r="OPA159" s="407"/>
      <c r="OPB159" s="407"/>
      <c r="OPC159" s="407"/>
      <c r="OPD159" s="406"/>
      <c r="OPE159" s="407"/>
      <c r="OPF159" s="407"/>
      <c r="OPG159" s="407"/>
      <c r="OPH159" s="407"/>
      <c r="OPI159" s="407"/>
      <c r="OPJ159" s="406"/>
      <c r="OPK159" s="407"/>
      <c r="OPL159" s="407"/>
      <c r="OPM159" s="407"/>
      <c r="OPN159" s="407"/>
      <c r="OPO159" s="407"/>
      <c r="OPP159" s="406"/>
      <c r="OPQ159" s="407"/>
      <c r="OPR159" s="407"/>
      <c r="OPS159" s="407"/>
      <c r="OPT159" s="407"/>
      <c r="OPU159" s="407"/>
      <c r="OPV159" s="406"/>
      <c r="OPW159" s="407"/>
      <c r="OPX159" s="407"/>
      <c r="OPY159" s="407"/>
      <c r="OPZ159" s="407"/>
      <c r="OQA159" s="407"/>
      <c r="OQB159" s="406"/>
      <c r="OQC159" s="407"/>
      <c r="OQD159" s="407"/>
      <c r="OQE159" s="407"/>
      <c r="OQF159" s="407"/>
      <c r="OQG159" s="407"/>
      <c r="OQH159" s="406"/>
      <c r="OQI159" s="407"/>
      <c r="OQJ159" s="407"/>
      <c r="OQK159" s="407"/>
      <c r="OQL159" s="407"/>
      <c r="OQM159" s="407"/>
      <c r="OQN159" s="406"/>
      <c r="OQO159" s="407"/>
      <c r="OQP159" s="407"/>
      <c r="OQQ159" s="407"/>
      <c r="OQR159" s="407"/>
      <c r="OQS159" s="407"/>
      <c r="OQT159" s="406"/>
      <c r="OQU159" s="407"/>
      <c r="OQV159" s="407"/>
      <c r="OQW159" s="407"/>
      <c r="OQX159" s="407"/>
      <c r="OQY159" s="407"/>
      <c r="OQZ159" s="406"/>
      <c r="ORA159" s="407"/>
      <c r="ORB159" s="407"/>
      <c r="ORC159" s="407"/>
      <c r="ORD159" s="407"/>
      <c r="ORE159" s="407"/>
      <c r="ORF159" s="406"/>
      <c r="ORG159" s="407"/>
      <c r="ORH159" s="407"/>
      <c r="ORI159" s="407"/>
      <c r="ORJ159" s="407"/>
      <c r="ORK159" s="407"/>
      <c r="ORL159" s="406"/>
      <c r="ORM159" s="407"/>
      <c r="ORN159" s="407"/>
      <c r="ORO159" s="407"/>
      <c r="ORP159" s="407"/>
      <c r="ORQ159" s="407"/>
      <c r="ORR159" s="406"/>
      <c r="ORS159" s="407"/>
      <c r="ORT159" s="407"/>
      <c r="ORU159" s="407"/>
      <c r="ORV159" s="407"/>
      <c r="ORW159" s="407"/>
      <c r="ORX159" s="406"/>
      <c r="ORY159" s="407"/>
      <c r="ORZ159" s="407"/>
      <c r="OSA159" s="407"/>
      <c r="OSB159" s="407"/>
      <c r="OSC159" s="407"/>
      <c r="OSD159" s="406"/>
      <c r="OSE159" s="407"/>
      <c r="OSF159" s="407"/>
      <c r="OSG159" s="407"/>
      <c r="OSH159" s="407"/>
      <c r="OSI159" s="407"/>
      <c r="OSJ159" s="406"/>
      <c r="OSK159" s="407"/>
      <c r="OSL159" s="407"/>
      <c r="OSM159" s="407"/>
      <c r="OSN159" s="407"/>
      <c r="OSO159" s="407"/>
      <c r="OSP159" s="406"/>
      <c r="OSQ159" s="407"/>
      <c r="OSR159" s="407"/>
      <c r="OSS159" s="407"/>
      <c r="OST159" s="407"/>
      <c r="OSU159" s="407"/>
      <c r="OSV159" s="406"/>
      <c r="OSW159" s="407"/>
      <c r="OSX159" s="407"/>
      <c r="OSY159" s="407"/>
      <c r="OSZ159" s="407"/>
      <c r="OTA159" s="407"/>
      <c r="OTB159" s="406"/>
      <c r="OTC159" s="407"/>
      <c r="OTD159" s="407"/>
      <c r="OTE159" s="407"/>
      <c r="OTF159" s="407"/>
      <c r="OTG159" s="407"/>
      <c r="OTH159" s="406"/>
      <c r="OTI159" s="407"/>
      <c r="OTJ159" s="407"/>
      <c r="OTK159" s="407"/>
      <c r="OTL159" s="407"/>
      <c r="OTM159" s="407"/>
      <c r="OTN159" s="406"/>
      <c r="OTO159" s="407"/>
      <c r="OTP159" s="407"/>
      <c r="OTQ159" s="407"/>
      <c r="OTR159" s="407"/>
      <c r="OTS159" s="407"/>
      <c r="OTT159" s="406"/>
      <c r="OTU159" s="407"/>
      <c r="OTV159" s="407"/>
      <c r="OTW159" s="407"/>
      <c r="OTX159" s="407"/>
      <c r="OTY159" s="407"/>
      <c r="OTZ159" s="406"/>
      <c r="OUA159" s="407"/>
      <c r="OUB159" s="407"/>
      <c r="OUC159" s="407"/>
      <c r="OUD159" s="407"/>
      <c r="OUE159" s="407"/>
      <c r="OUF159" s="406"/>
      <c r="OUG159" s="407"/>
      <c r="OUH159" s="407"/>
      <c r="OUI159" s="407"/>
      <c r="OUJ159" s="407"/>
      <c r="OUK159" s="407"/>
      <c r="OUL159" s="406"/>
      <c r="OUM159" s="407"/>
      <c r="OUN159" s="407"/>
      <c r="OUO159" s="407"/>
      <c r="OUP159" s="407"/>
      <c r="OUQ159" s="407"/>
      <c r="OUR159" s="406"/>
      <c r="OUS159" s="407"/>
      <c r="OUT159" s="407"/>
      <c r="OUU159" s="407"/>
      <c r="OUV159" s="407"/>
      <c r="OUW159" s="407"/>
      <c r="OUX159" s="406"/>
      <c r="OUY159" s="407"/>
      <c r="OUZ159" s="407"/>
      <c r="OVA159" s="407"/>
      <c r="OVB159" s="407"/>
      <c r="OVC159" s="407"/>
      <c r="OVD159" s="406"/>
      <c r="OVE159" s="407"/>
      <c r="OVF159" s="407"/>
      <c r="OVG159" s="407"/>
      <c r="OVH159" s="407"/>
      <c r="OVI159" s="407"/>
      <c r="OVJ159" s="406"/>
      <c r="OVK159" s="407"/>
      <c r="OVL159" s="407"/>
      <c r="OVM159" s="407"/>
      <c r="OVN159" s="407"/>
      <c r="OVO159" s="407"/>
      <c r="OVP159" s="406"/>
      <c r="OVQ159" s="407"/>
      <c r="OVR159" s="407"/>
      <c r="OVS159" s="407"/>
      <c r="OVT159" s="407"/>
      <c r="OVU159" s="407"/>
      <c r="OVV159" s="406"/>
      <c r="OVW159" s="407"/>
      <c r="OVX159" s="407"/>
      <c r="OVY159" s="407"/>
      <c r="OVZ159" s="407"/>
      <c r="OWA159" s="407"/>
      <c r="OWB159" s="406"/>
      <c r="OWC159" s="407"/>
      <c r="OWD159" s="407"/>
      <c r="OWE159" s="407"/>
      <c r="OWF159" s="407"/>
      <c r="OWG159" s="407"/>
      <c r="OWH159" s="406"/>
      <c r="OWI159" s="407"/>
      <c r="OWJ159" s="407"/>
      <c r="OWK159" s="407"/>
      <c r="OWL159" s="407"/>
      <c r="OWM159" s="407"/>
      <c r="OWN159" s="406"/>
      <c r="OWO159" s="407"/>
      <c r="OWP159" s="407"/>
      <c r="OWQ159" s="407"/>
      <c r="OWR159" s="407"/>
      <c r="OWS159" s="407"/>
      <c r="OWT159" s="406"/>
      <c r="OWU159" s="407"/>
      <c r="OWV159" s="407"/>
      <c r="OWW159" s="407"/>
      <c r="OWX159" s="407"/>
      <c r="OWY159" s="407"/>
      <c r="OWZ159" s="406"/>
      <c r="OXA159" s="407"/>
      <c r="OXB159" s="407"/>
      <c r="OXC159" s="407"/>
      <c r="OXD159" s="407"/>
      <c r="OXE159" s="407"/>
      <c r="OXF159" s="406"/>
      <c r="OXG159" s="407"/>
      <c r="OXH159" s="407"/>
      <c r="OXI159" s="407"/>
      <c r="OXJ159" s="407"/>
      <c r="OXK159" s="407"/>
      <c r="OXL159" s="406"/>
      <c r="OXM159" s="407"/>
      <c r="OXN159" s="407"/>
      <c r="OXO159" s="407"/>
      <c r="OXP159" s="407"/>
      <c r="OXQ159" s="407"/>
      <c r="OXR159" s="406"/>
      <c r="OXS159" s="407"/>
      <c r="OXT159" s="407"/>
      <c r="OXU159" s="407"/>
      <c r="OXV159" s="407"/>
      <c r="OXW159" s="407"/>
      <c r="OXX159" s="406"/>
      <c r="OXY159" s="407"/>
      <c r="OXZ159" s="407"/>
      <c r="OYA159" s="407"/>
      <c r="OYB159" s="407"/>
      <c r="OYC159" s="407"/>
      <c r="OYD159" s="406"/>
      <c r="OYE159" s="407"/>
      <c r="OYF159" s="407"/>
      <c r="OYG159" s="407"/>
      <c r="OYH159" s="407"/>
      <c r="OYI159" s="407"/>
      <c r="OYJ159" s="406"/>
      <c r="OYK159" s="407"/>
      <c r="OYL159" s="407"/>
      <c r="OYM159" s="407"/>
      <c r="OYN159" s="407"/>
      <c r="OYO159" s="407"/>
      <c r="OYP159" s="406"/>
      <c r="OYQ159" s="407"/>
      <c r="OYR159" s="407"/>
      <c r="OYS159" s="407"/>
      <c r="OYT159" s="407"/>
      <c r="OYU159" s="407"/>
      <c r="OYV159" s="406"/>
      <c r="OYW159" s="407"/>
      <c r="OYX159" s="407"/>
      <c r="OYY159" s="407"/>
      <c r="OYZ159" s="407"/>
      <c r="OZA159" s="407"/>
      <c r="OZB159" s="406"/>
      <c r="OZC159" s="407"/>
      <c r="OZD159" s="407"/>
      <c r="OZE159" s="407"/>
      <c r="OZF159" s="407"/>
      <c r="OZG159" s="407"/>
      <c r="OZH159" s="406"/>
      <c r="OZI159" s="407"/>
      <c r="OZJ159" s="407"/>
      <c r="OZK159" s="407"/>
      <c r="OZL159" s="407"/>
      <c r="OZM159" s="407"/>
      <c r="OZN159" s="406"/>
      <c r="OZO159" s="407"/>
      <c r="OZP159" s="407"/>
      <c r="OZQ159" s="407"/>
      <c r="OZR159" s="407"/>
      <c r="OZS159" s="407"/>
      <c r="OZT159" s="406"/>
      <c r="OZU159" s="407"/>
      <c r="OZV159" s="407"/>
      <c r="OZW159" s="407"/>
      <c r="OZX159" s="407"/>
      <c r="OZY159" s="407"/>
      <c r="OZZ159" s="406"/>
      <c r="PAA159" s="407"/>
      <c r="PAB159" s="407"/>
      <c r="PAC159" s="407"/>
      <c r="PAD159" s="407"/>
      <c r="PAE159" s="407"/>
      <c r="PAF159" s="406"/>
      <c r="PAG159" s="407"/>
      <c r="PAH159" s="407"/>
      <c r="PAI159" s="407"/>
      <c r="PAJ159" s="407"/>
      <c r="PAK159" s="407"/>
      <c r="PAL159" s="406"/>
      <c r="PAM159" s="407"/>
      <c r="PAN159" s="407"/>
      <c r="PAO159" s="407"/>
      <c r="PAP159" s="407"/>
      <c r="PAQ159" s="407"/>
      <c r="PAR159" s="406"/>
      <c r="PAS159" s="407"/>
      <c r="PAT159" s="407"/>
      <c r="PAU159" s="407"/>
      <c r="PAV159" s="407"/>
      <c r="PAW159" s="407"/>
      <c r="PAX159" s="406"/>
      <c r="PAY159" s="407"/>
      <c r="PAZ159" s="407"/>
      <c r="PBA159" s="407"/>
      <c r="PBB159" s="407"/>
      <c r="PBC159" s="407"/>
      <c r="PBD159" s="406"/>
      <c r="PBE159" s="407"/>
      <c r="PBF159" s="407"/>
      <c r="PBG159" s="407"/>
      <c r="PBH159" s="407"/>
      <c r="PBI159" s="407"/>
      <c r="PBJ159" s="406"/>
      <c r="PBK159" s="407"/>
      <c r="PBL159" s="407"/>
      <c r="PBM159" s="407"/>
      <c r="PBN159" s="407"/>
      <c r="PBO159" s="407"/>
      <c r="PBP159" s="406"/>
      <c r="PBQ159" s="407"/>
      <c r="PBR159" s="407"/>
      <c r="PBS159" s="407"/>
      <c r="PBT159" s="407"/>
      <c r="PBU159" s="407"/>
      <c r="PBV159" s="406"/>
      <c r="PBW159" s="407"/>
      <c r="PBX159" s="407"/>
      <c r="PBY159" s="407"/>
      <c r="PBZ159" s="407"/>
      <c r="PCA159" s="407"/>
      <c r="PCB159" s="406"/>
      <c r="PCC159" s="407"/>
      <c r="PCD159" s="407"/>
      <c r="PCE159" s="407"/>
      <c r="PCF159" s="407"/>
      <c r="PCG159" s="407"/>
      <c r="PCH159" s="406"/>
      <c r="PCI159" s="407"/>
      <c r="PCJ159" s="407"/>
      <c r="PCK159" s="407"/>
      <c r="PCL159" s="407"/>
      <c r="PCM159" s="407"/>
      <c r="PCN159" s="406"/>
      <c r="PCO159" s="407"/>
      <c r="PCP159" s="407"/>
      <c r="PCQ159" s="407"/>
      <c r="PCR159" s="407"/>
      <c r="PCS159" s="407"/>
      <c r="PCT159" s="406"/>
      <c r="PCU159" s="407"/>
      <c r="PCV159" s="407"/>
      <c r="PCW159" s="407"/>
      <c r="PCX159" s="407"/>
      <c r="PCY159" s="407"/>
      <c r="PCZ159" s="406"/>
      <c r="PDA159" s="407"/>
      <c r="PDB159" s="407"/>
      <c r="PDC159" s="407"/>
      <c r="PDD159" s="407"/>
      <c r="PDE159" s="407"/>
      <c r="PDF159" s="406"/>
      <c r="PDG159" s="407"/>
      <c r="PDH159" s="407"/>
      <c r="PDI159" s="407"/>
      <c r="PDJ159" s="407"/>
      <c r="PDK159" s="407"/>
      <c r="PDL159" s="406"/>
      <c r="PDM159" s="407"/>
      <c r="PDN159" s="407"/>
      <c r="PDO159" s="407"/>
      <c r="PDP159" s="407"/>
      <c r="PDQ159" s="407"/>
      <c r="PDR159" s="406"/>
      <c r="PDS159" s="407"/>
      <c r="PDT159" s="407"/>
      <c r="PDU159" s="407"/>
      <c r="PDV159" s="407"/>
      <c r="PDW159" s="407"/>
      <c r="PDX159" s="406"/>
      <c r="PDY159" s="407"/>
      <c r="PDZ159" s="407"/>
      <c r="PEA159" s="407"/>
      <c r="PEB159" s="407"/>
      <c r="PEC159" s="407"/>
      <c r="PED159" s="406"/>
      <c r="PEE159" s="407"/>
      <c r="PEF159" s="407"/>
      <c r="PEG159" s="407"/>
      <c r="PEH159" s="407"/>
      <c r="PEI159" s="407"/>
      <c r="PEJ159" s="406"/>
      <c r="PEK159" s="407"/>
      <c r="PEL159" s="407"/>
      <c r="PEM159" s="407"/>
      <c r="PEN159" s="407"/>
      <c r="PEO159" s="407"/>
      <c r="PEP159" s="406"/>
      <c r="PEQ159" s="407"/>
      <c r="PER159" s="407"/>
      <c r="PES159" s="407"/>
      <c r="PET159" s="407"/>
      <c r="PEU159" s="407"/>
      <c r="PEV159" s="406"/>
      <c r="PEW159" s="407"/>
      <c r="PEX159" s="407"/>
      <c r="PEY159" s="407"/>
      <c r="PEZ159" s="407"/>
      <c r="PFA159" s="407"/>
      <c r="PFB159" s="406"/>
      <c r="PFC159" s="407"/>
      <c r="PFD159" s="407"/>
      <c r="PFE159" s="407"/>
      <c r="PFF159" s="407"/>
      <c r="PFG159" s="407"/>
      <c r="PFH159" s="406"/>
      <c r="PFI159" s="407"/>
      <c r="PFJ159" s="407"/>
      <c r="PFK159" s="407"/>
      <c r="PFL159" s="407"/>
      <c r="PFM159" s="407"/>
      <c r="PFN159" s="406"/>
      <c r="PFO159" s="407"/>
      <c r="PFP159" s="407"/>
      <c r="PFQ159" s="407"/>
      <c r="PFR159" s="407"/>
      <c r="PFS159" s="407"/>
      <c r="PFT159" s="406"/>
      <c r="PFU159" s="407"/>
      <c r="PFV159" s="407"/>
      <c r="PFW159" s="407"/>
      <c r="PFX159" s="407"/>
      <c r="PFY159" s="407"/>
      <c r="PFZ159" s="406"/>
      <c r="PGA159" s="407"/>
      <c r="PGB159" s="407"/>
      <c r="PGC159" s="407"/>
      <c r="PGD159" s="407"/>
      <c r="PGE159" s="407"/>
      <c r="PGF159" s="406"/>
      <c r="PGG159" s="407"/>
      <c r="PGH159" s="407"/>
      <c r="PGI159" s="407"/>
      <c r="PGJ159" s="407"/>
      <c r="PGK159" s="407"/>
      <c r="PGL159" s="406"/>
      <c r="PGM159" s="407"/>
      <c r="PGN159" s="407"/>
      <c r="PGO159" s="407"/>
      <c r="PGP159" s="407"/>
      <c r="PGQ159" s="407"/>
      <c r="PGR159" s="406"/>
      <c r="PGS159" s="407"/>
      <c r="PGT159" s="407"/>
      <c r="PGU159" s="407"/>
      <c r="PGV159" s="407"/>
      <c r="PGW159" s="407"/>
      <c r="PGX159" s="406"/>
      <c r="PGY159" s="407"/>
      <c r="PGZ159" s="407"/>
      <c r="PHA159" s="407"/>
      <c r="PHB159" s="407"/>
      <c r="PHC159" s="407"/>
      <c r="PHD159" s="406"/>
      <c r="PHE159" s="407"/>
      <c r="PHF159" s="407"/>
      <c r="PHG159" s="407"/>
      <c r="PHH159" s="407"/>
      <c r="PHI159" s="407"/>
      <c r="PHJ159" s="406"/>
      <c r="PHK159" s="407"/>
      <c r="PHL159" s="407"/>
      <c r="PHM159" s="407"/>
      <c r="PHN159" s="407"/>
      <c r="PHO159" s="407"/>
      <c r="PHP159" s="406"/>
      <c r="PHQ159" s="407"/>
      <c r="PHR159" s="407"/>
      <c r="PHS159" s="407"/>
      <c r="PHT159" s="407"/>
      <c r="PHU159" s="407"/>
      <c r="PHV159" s="406"/>
      <c r="PHW159" s="407"/>
      <c r="PHX159" s="407"/>
      <c r="PHY159" s="407"/>
      <c r="PHZ159" s="407"/>
      <c r="PIA159" s="407"/>
      <c r="PIB159" s="406"/>
      <c r="PIC159" s="407"/>
      <c r="PID159" s="407"/>
      <c r="PIE159" s="407"/>
      <c r="PIF159" s="407"/>
      <c r="PIG159" s="407"/>
      <c r="PIH159" s="406"/>
      <c r="PII159" s="407"/>
      <c r="PIJ159" s="407"/>
      <c r="PIK159" s="407"/>
      <c r="PIL159" s="407"/>
      <c r="PIM159" s="407"/>
      <c r="PIN159" s="406"/>
      <c r="PIO159" s="407"/>
      <c r="PIP159" s="407"/>
      <c r="PIQ159" s="407"/>
      <c r="PIR159" s="407"/>
      <c r="PIS159" s="407"/>
      <c r="PIT159" s="406"/>
      <c r="PIU159" s="407"/>
      <c r="PIV159" s="407"/>
      <c r="PIW159" s="407"/>
      <c r="PIX159" s="407"/>
      <c r="PIY159" s="407"/>
      <c r="PIZ159" s="406"/>
      <c r="PJA159" s="407"/>
      <c r="PJB159" s="407"/>
      <c r="PJC159" s="407"/>
      <c r="PJD159" s="407"/>
      <c r="PJE159" s="407"/>
      <c r="PJF159" s="406"/>
      <c r="PJG159" s="407"/>
      <c r="PJH159" s="407"/>
      <c r="PJI159" s="407"/>
      <c r="PJJ159" s="407"/>
      <c r="PJK159" s="407"/>
      <c r="PJL159" s="406"/>
      <c r="PJM159" s="407"/>
      <c r="PJN159" s="407"/>
      <c r="PJO159" s="407"/>
      <c r="PJP159" s="407"/>
      <c r="PJQ159" s="407"/>
      <c r="PJR159" s="406"/>
      <c r="PJS159" s="407"/>
      <c r="PJT159" s="407"/>
      <c r="PJU159" s="407"/>
      <c r="PJV159" s="407"/>
      <c r="PJW159" s="407"/>
      <c r="PJX159" s="406"/>
      <c r="PJY159" s="407"/>
      <c r="PJZ159" s="407"/>
      <c r="PKA159" s="407"/>
      <c r="PKB159" s="407"/>
      <c r="PKC159" s="407"/>
      <c r="PKD159" s="406"/>
      <c r="PKE159" s="407"/>
      <c r="PKF159" s="407"/>
      <c r="PKG159" s="407"/>
      <c r="PKH159" s="407"/>
      <c r="PKI159" s="407"/>
      <c r="PKJ159" s="406"/>
      <c r="PKK159" s="407"/>
      <c r="PKL159" s="407"/>
      <c r="PKM159" s="407"/>
      <c r="PKN159" s="407"/>
      <c r="PKO159" s="407"/>
      <c r="PKP159" s="406"/>
      <c r="PKQ159" s="407"/>
      <c r="PKR159" s="407"/>
      <c r="PKS159" s="407"/>
      <c r="PKT159" s="407"/>
      <c r="PKU159" s="407"/>
      <c r="PKV159" s="406"/>
      <c r="PKW159" s="407"/>
      <c r="PKX159" s="407"/>
      <c r="PKY159" s="407"/>
      <c r="PKZ159" s="407"/>
      <c r="PLA159" s="407"/>
      <c r="PLB159" s="406"/>
      <c r="PLC159" s="407"/>
      <c r="PLD159" s="407"/>
      <c r="PLE159" s="407"/>
      <c r="PLF159" s="407"/>
      <c r="PLG159" s="407"/>
      <c r="PLH159" s="406"/>
      <c r="PLI159" s="407"/>
      <c r="PLJ159" s="407"/>
      <c r="PLK159" s="407"/>
      <c r="PLL159" s="407"/>
      <c r="PLM159" s="407"/>
      <c r="PLN159" s="406"/>
      <c r="PLO159" s="407"/>
      <c r="PLP159" s="407"/>
      <c r="PLQ159" s="407"/>
      <c r="PLR159" s="407"/>
      <c r="PLS159" s="407"/>
      <c r="PLT159" s="406"/>
      <c r="PLU159" s="407"/>
      <c r="PLV159" s="407"/>
      <c r="PLW159" s="407"/>
      <c r="PLX159" s="407"/>
      <c r="PLY159" s="407"/>
      <c r="PLZ159" s="406"/>
      <c r="PMA159" s="407"/>
      <c r="PMB159" s="407"/>
      <c r="PMC159" s="407"/>
      <c r="PMD159" s="407"/>
      <c r="PME159" s="407"/>
      <c r="PMF159" s="406"/>
      <c r="PMG159" s="407"/>
      <c r="PMH159" s="407"/>
      <c r="PMI159" s="407"/>
      <c r="PMJ159" s="407"/>
      <c r="PMK159" s="407"/>
      <c r="PML159" s="406"/>
      <c r="PMM159" s="407"/>
      <c r="PMN159" s="407"/>
      <c r="PMO159" s="407"/>
      <c r="PMP159" s="407"/>
      <c r="PMQ159" s="407"/>
      <c r="PMR159" s="406"/>
      <c r="PMS159" s="407"/>
      <c r="PMT159" s="407"/>
      <c r="PMU159" s="407"/>
      <c r="PMV159" s="407"/>
      <c r="PMW159" s="407"/>
      <c r="PMX159" s="406"/>
      <c r="PMY159" s="407"/>
      <c r="PMZ159" s="407"/>
      <c r="PNA159" s="407"/>
      <c r="PNB159" s="407"/>
      <c r="PNC159" s="407"/>
      <c r="PND159" s="406"/>
      <c r="PNE159" s="407"/>
      <c r="PNF159" s="407"/>
      <c r="PNG159" s="407"/>
      <c r="PNH159" s="407"/>
      <c r="PNI159" s="407"/>
      <c r="PNJ159" s="406"/>
      <c r="PNK159" s="407"/>
      <c r="PNL159" s="407"/>
      <c r="PNM159" s="407"/>
      <c r="PNN159" s="407"/>
      <c r="PNO159" s="407"/>
      <c r="PNP159" s="406"/>
      <c r="PNQ159" s="407"/>
      <c r="PNR159" s="407"/>
      <c r="PNS159" s="407"/>
      <c r="PNT159" s="407"/>
      <c r="PNU159" s="407"/>
      <c r="PNV159" s="406"/>
      <c r="PNW159" s="407"/>
      <c r="PNX159" s="407"/>
      <c r="PNY159" s="407"/>
      <c r="PNZ159" s="407"/>
      <c r="POA159" s="407"/>
      <c r="POB159" s="406"/>
      <c r="POC159" s="407"/>
      <c r="POD159" s="407"/>
      <c r="POE159" s="407"/>
      <c r="POF159" s="407"/>
      <c r="POG159" s="407"/>
      <c r="POH159" s="406"/>
      <c r="POI159" s="407"/>
      <c r="POJ159" s="407"/>
      <c r="POK159" s="407"/>
      <c r="POL159" s="407"/>
      <c r="POM159" s="407"/>
      <c r="PON159" s="406"/>
      <c r="POO159" s="407"/>
      <c r="POP159" s="407"/>
      <c r="POQ159" s="407"/>
      <c r="POR159" s="407"/>
      <c r="POS159" s="407"/>
      <c r="POT159" s="406"/>
      <c r="POU159" s="407"/>
      <c r="POV159" s="407"/>
      <c r="POW159" s="407"/>
      <c r="POX159" s="407"/>
      <c r="POY159" s="407"/>
      <c r="POZ159" s="406"/>
      <c r="PPA159" s="407"/>
      <c r="PPB159" s="407"/>
      <c r="PPC159" s="407"/>
      <c r="PPD159" s="407"/>
      <c r="PPE159" s="407"/>
      <c r="PPF159" s="406"/>
      <c r="PPG159" s="407"/>
      <c r="PPH159" s="407"/>
      <c r="PPI159" s="407"/>
      <c r="PPJ159" s="407"/>
      <c r="PPK159" s="407"/>
      <c r="PPL159" s="406"/>
      <c r="PPM159" s="407"/>
      <c r="PPN159" s="407"/>
      <c r="PPO159" s="407"/>
      <c r="PPP159" s="407"/>
      <c r="PPQ159" s="407"/>
      <c r="PPR159" s="406"/>
      <c r="PPS159" s="407"/>
      <c r="PPT159" s="407"/>
      <c r="PPU159" s="407"/>
      <c r="PPV159" s="407"/>
      <c r="PPW159" s="407"/>
      <c r="PPX159" s="406"/>
      <c r="PPY159" s="407"/>
      <c r="PPZ159" s="407"/>
      <c r="PQA159" s="407"/>
      <c r="PQB159" s="407"/>
      <c r="PQC159" s="407"/>
      <c r="PQD159" s="406"/>
      <c r="PQE159" s="407"/>
      <c r="PQF159" s="407"/>
      <c r="PQG159" s="407"/>
      <c r="PQH159" s="407"/>
      <c r="PQI159" s="407"/>
      <c r="PQJ159" s="406"/>
      <c r="PQK159" s="407"/>
      <c r="PQL159" s="407"/>
      <c r="PQM159" s="407"/>
      <c r="PQN159" s="407"/>
      <c r="PQO159" s="407"/>
      <c r="PQP159" s="406"/>
      <c r="PQQ159" s="407"/>
      <c r="PQR159" s="407"/>
      <c r="PQS159" s="407"/>
      <c r="PQT159" s="407"/>
      <c r="PQU159" s="407"/>
      <c r="PQV159" s="406"/>
      <c r="PQW159" s="407"/>
      <c r="PQX159" s="407"/>
      <c r="PQY159" s="407"/>
      <c r="PQZ159" s="407"/>
      <c r="PRA159" s="407"/>
      <c r="PRB159" s="406"/>
      <c r="PRC159" s="407"/>
      <c r="PRD159" s="407"/>
      <c r="PRE159" s="407"/>
      <c r="PRF159" s="407"/>
      <c r="PRG159" s="407"/>
      <c r="PRH159" s="406"/>
      <c r="PRI159" s="407"/>
      <c r="PRJ159" s="407"/>
      <c r="PRK159" s="407"/>
      <c r="PRL159" s="407"/>
      <c r="PRM159" s="407"/>
      <c r="PRN159" s="406"/>
      <c r="PRO159" s="407"/>
      <c r="PRP159" s="407"/>
      <c r="PRQ159" s="407"/>
      <c r="PRR159" s="407"/>
      <c r="PRS159" s="407"/>
      <c r="PRT159" s="406"/>
      <c r="PRU159" s="407"/>
      <c r="PRV159" s="407"/>
      <c r="PRW159" s="407"/>
      <c r="PRX159" s="407"/>
      <c r="PRY159" s="407"/>
      <c r="PRZ159" s="406"/>
      <c r="PSA159" s="407"/>
      <c r="PSB159" s="407"/>
      <c r="PSC159" s="407"/>
      <c r="PSD159" s="407"/>
      <c r="PSE159" s="407"/>
      <c r="PSF159" s="406"/>
      <c r="PSG159" s="407"/>
      <c r="PSH159" s="407"/>
      <c r="PSI159" s="407"/>
      <c r="PSJ159" s="407"/>
      <c r="PSK159" s="407"/>
      <c r="PSL159" s="406"/>
      <c r="PSM159" s="407"/>
      <c r="PSN159" s="407"/>
      <c r="PSO159" s="407"/>
      <c r="PSP159" s="407"/>
      <c r="PSQ159" s="407"/>
      <c r="PSR159" s="406"/>
      <c r="PSS159" s="407"/>
      <c r="PST159" s="407"/>
      <c r="PSU159" s="407"/>
      <c r="PSV159" s="407"/>
      <c r="PSW159" s="407"/>
      <c r="PSX159" s="406"/>
      <c r="PSY159" s="407"/>
      <c r="PSZ159" s="407"/>
      <c r="PTA159" s="407"/>
      <c r="PTB159" s="407"/>
      <c r="PTC159" s="407"/>
      <c r="PTD159" s="406"/>
      <c r="PTE159" s="407"/>
      <c r="PTF159" s="407"/>
      <c r="PTG159" s="407"/>
      <c r="PTH159" s="407"/>
      <c r="PTI159" s="407"/>
      <c r="PTJ159" s="406"/>
      <c r="PTK159" s="407"/>
      <c r="PTL159" s="407"/>
      <c r="PTM159" s="407"/>
      <c r="PTN159" s="407"/>
      <c r="PTO159" s="407"/>
      <c r="PTP159" s="406"/>
      <c r="PTQ159" s="407"/>
      <c r="PTR159" s="407"/>
      <c r="PTS159" s="407"/>
      <c r="PTT159" s="407"/>
      <c r="PTU159" s="407"/>
      <c r="PTV159" s="406"/>
      <c r="PTW159" s="407"/>
      <c r="PTX159" s="407"/>
      <c r="PTY159" s="407"/>
      <c r="PTZ159" s="407"/>
      <c r="PUA159" s="407"/>
      <c r="PUB159" s="406"/>
      <c r="PUC159" s="407"/>
      <c r="PUD159" s="407"/>
      <c r="PUE159" s="407"/>
      <c r="PUF159" s="407"/>
      <c r="PUG159" s="407"/>
      <c r="PUH159" s="406"/>
      <c r="PUI159" s="407"/>
      <c r="PUJ159" s="407"/>
      <c r="PUK159" s="407"/>
      <c r="PUL159" s="407"/>
      <c r="PUM159" s="407"/>
      <c r="PUN159" s="406"/>
      <c r="PUO159" s="407"/>
      <c r="PUP159" s="407"/>
      <c r="PUQ159" s="407"/>
      <c r="PUR159" s="407"/>
      <c r="PUS159" s="407"/>
      <c r="PUT159" s="406"/>
      <c r="PUU159" s="407"/>
      <c r="PUV159" s="407"/>
      <c r="PUW159" s="407"/>
      <c r="PUX159" s="407"/>
      <c r="PUY159" s="407"/>
      <c r="PUZ159" s="406"/>
      <c r="PVA159" s="407"/>
      <c r="PVB159" s="407"/>
      <c r="PVC159" s="407"/>
      <c r="PVD159" s="407"/>
      <c r="PVE159" s="407"/>
      <c r="PVF159" s="406"/>
      <c r="PVG159" s="407"/>
      <c r="PVH159" s="407"/>
      <c r="PVI159" s="407"/>
      <c r="PVJ159" s="407"/>
      <c r="PVK159" s="407"/>
      <c r="PVL159" s="406"/>
      <c r="PVM159" s="407"/>
      <c r="PVN159" s="407"/>
      <c r="PVO159" s="407"/>
      <c r="PVP159" s="407"/>
      <c r="PVQ159" s="407"/>
      <c r="PVR159" s="406"/>
      <c r="PVS159" s="407"/>
      <c r="PVT159" s="407"/>
      <c r="PVU159" s="407"/>
      <c r="PVV159" s="407"/>
      <c r="PVW159" s="407"/>
      <c r="PVX159" s="406"/>
      <c r="PVY159" s="407"/>
      <c r="PVZ159" s="407"/>
      <c r="PWA159" s="407"/>
      <c r="PWB159" s="407"/>
      <c r="PWC159" s="407"/>
      <c r="PWD159" s="406"/>
      <c r="PWE159" s="407"/>
      <c r="PWF159" s="407"/>
      <c r="PWG159" s="407"/>
      <c r="PWH159" s="407"/>
      <c r="PWI159" s="407"/>
      <c r="PWJ159" s="406"/>
      <c r="PWK159" s="407"/>
      <c r="PWL159" s="407"/>
      <c r="PWM159" s="407"/>
      <c r="PWN159" s="407"/>
      <c r="PWO159" s="407"/>
      <c r="PWP159" s="406"/>
      <c r="PWQ159" s="407"/>
      <c r="PWR159" s="407"/>
      <c r="PWS159" s="407"/>
      <c r="PWT159" s="407"/>
      <c r="PWU159" s="407"/>
      <c r="PWV159" s="406"/>
      <c r="PWW159" s="407"/>
      <c r="PWX159" s="407"/>
      <c r="PWY159" s="407"/>
      <c r="PWZ159" s="407"/>
      <c r="PXA159" s="407"/>
      <c r="PXB159" s="406"/>
      <c r="PXC159" s="407"/>
      <c r="PXD159" s="407"/>
      <c r="PXE159" s="407"/>
      <c r="PXF159" s="407"/>
      <c r="PXG159" s="407"/>
      <c r="PXH159" s="406"/>
      <c r="PXI159" s="407"/>
      <c r="PXJ159" s="407"/>
      <c r="PXK159" s="407"/>
      <c r="PXL159" s="407"/>
      <c r="PXM159" s="407"/>
      <c r="PXN159" s="406"/>
      <c r="PXO159" s="407"/>
      <c r="PXP159" s="407"/>
      <c r="PXQ159" s="407"/>
      <c r="PXR159" s="407"/>
      <c r="PXS159" s="407"/>
      <c r="PXT159" s="406"/>
      <c r="PXU159" s="407"/>
      <c r="PXV159" s="407"/>
      <c r="PXW159" s="407"/>
      <c r="PXX159" s="407"/>
      <c r="PXY159" s="407"/>
      <c r="PXZ159" s="406"/>
      <c r="PYA159" s="407"/>
      <c r="PYB159" s="407"/>
      <c r="PYC159" s="407"/>
      <c r="PYD159" s="407"/>
      <c r="PYE159" s="407"/>
      <c r="PYF159" s="406"/>
      <c r="PYG159" s="407"/>
      <c r="PYH159" s="407"/>
      <c r="PYI159" s="407"/>
      <c r="PYJ159" s="407"/>
      <c r="PYK159" s="407"/>
      <c r="PYL159" s="406"/>
      <c r="PYM159" s="407"/>
      <c r="PYN159" s="407"/>
      <c r="PYO159" s="407"/>
      <c r="PYP159" s="407"/>
      <c r="PYQ159" s="407"/>
      <c r="PYR159" s="406"/>
      <c r="PYS159" s="407"/>
      <c r="PYT159" s="407"/>
      <c r="PYU159" s="407"/>
      <c r="PYV159" s="407"/>
      <c r="PYW159" s="407"/>
      <c r="PYX159" s="406"/>
      <c r="PYY159" s="407"/>
      <c r="PYZ159" s="407"/>
      <c r="PZA159" s="407"/>
      <c r="PZB159" s="407"/>
      <c r="PZC159" s="407"/>
      <c r="PZD159" s="406"/>
      <c r="PZE159" s="407"/>
      <c r="PZF159" s="407"/>
      <c r="PZG159" s="407"/>
      <c r="PZH159" s="407"/>
      <c r="PZI159" s="407"/>
      <c r="PZJ159" s="406"/>
      <c r="PZK159" s="407"/>
      <c r="PZL159" s="407"/>
      <c r="PZM159" s="407"/>
      <c r="PZN159" s="407"/>
      <c r="PZO159" s="407"/>
      <c r="PZP159" s="406"/>
      <c r="PZQ159" s="407"/>
      <c r="PZR159" s="407"/>
      <c r="PZS159" s="407"/>
      <c r="PZT159" s="407"/>
      <c r="PZU159" s="407"/>
      <c r="PZV159" s="406"/>
      <c r="PZW159" s="407"/>
      <c r="PZX159" s="407"/>
      <c r="PZY159" s="407"/>
      <c r="PZZ159" s="407"/>
      <c r="QAA159" s="407"/>
      <c r="QAB159" s="406"/>
      <c r="QAC159" s="407"/>
      <c r="QAD159" s="407"/>
      <c r="QAE159" s="407"/>
      <c r="QAF159" s="407"/>
      <c r="QAG159" s="407"/>
      <c r="QAH159" s="406"/>
      <c r="QAI159" s="407"/>
      <c r="QAJ159" s="407"/>
      <c r="QAK159" s="407"/>
      <c r="QAL159" s="407"/>
      <c r="QAM159" s="407"/>
      <c r="QAN159" s="406"/>
      <c r="QAO159" s="407"/>
      <c r="QAP159" s="407"/>
      <c r="QAQ159" s="407"/>
      <c r="QAR159" s="407"/>
      <c r="QAS159" s="407"/>
      <c r="QAT159" s="406"/>
      <c r="QAU159" s="407"/>
      <c r="QAV159" s="407"/>
      <c r="QAW159" s="407"/>
      <c r="QAX159" s="407"/>
      <c r="QAY159" s="407"/>
      <c r="QAZ159" s="406"/>
      <c r="QBA159" s="407"/>
      <c r="QBB159" s="407"/>
      <c r="QBC159" s="407"/>
      <c r="QBD159" s="407"/>
      <c r="QBE159" s="407"/>
      <c r="QBF159" s="406"/>
      <c r="QBG159" s="407"/>
      <c r="QBH159" s="407"/>
      <c r="QBI159" s="407"/>
      <c r="QBJ159" s="407"/>
      <c r="QBK159" s="407"/>
      <c r="QBL159" s="406"/>
      <c r="QBM159" s="407"/>
      <c r="QBN159" s="407"/>
      <c r="QBO159" s="407"/>
      <c r="QBP159" s="407"/>
      <c r="QBQ159" s="407"/>
      <c r="QBR159" s="406"/>
      <c r="QBS159" s="407"/>
      <c r="QBT159" s="407"/>
      <c r="QBU159" s="407"/>
      <c r="QBV159" s="407"/>
      <c r="QBW159" s="407"/>
      <c r="QBX159" s="406"/>
      <c r="QBY159" s="407"/>
      <c r="QBZ159" s="407"/>
      <c r="QCA159" s="407"/>
      <c r="QCB159" s="407"/>
      <c r="QCC159" s="407"/>
      <c r="QCD159" s="406"/>
      <c r="QCE159" s="407"/>
      <c r="QCF159" s="407"/>
      <c r="QCG159" s="407"/>
      <c r="QCH159" s="407"/>
      <c r="QCI159" s="407"/>
      <c r="QCJ159" s="406"/>
      <c r="QCK159" s="407"/>
      <c r="QCL159" s="407"/>
      <c r="QCM159" s="407"/>
      <c r="QCN159" s="407"/>
      <c r="QCO159" s="407"/>
      <c r="QCP159" s="406"/>
      <c r="QCQ159" s="407"/>
      <c r="QCR159" s="407"/>
      <c r="QCS159" s="407"/>
      <c r="QCT159" s="407"/>
      <c r="QCU159" s="407"/>
      <c r="QCV159" s="406"/>
      <c r="QCW159" s="407"/>
      <c r="QCX159" s="407"/>
      <c r="QCY159" s="407"/>
      <c r="QCZ159" s="407"/>
      <c r="QDA159" s="407"/>
      <c r="QDB159" s="406"/>
      <c r="QDC159" s="407"/>
      <c r="QDD159" s="407"/>
      <c r="QDE159" s="407"/>
      <c r="QDF159" s="407"/>
      <c r="QDG159" s="407"/>
      <c r="QDH159" s="406"/>
      <c r="QDI159" s="407"/>
      <c r="QDJ159" s="407"/>
      <c r="QDK159" s="407"/>
      <c r="QDL159" s="407"/>
      <c r="QDM159" s="407"/>
      <c r="QDN159" s="406"/>
      <c r="QDO159" s="407"/>
      <c r="QDP159" s="407"/>
      <c r="QDQ159" s="407"/>
      <c r="QDR159" s="407"/>
      <c r="QDS159" s="407"/>
      <c r="QDT159" s="406"/>
      <c r="QDU159" s="407"/>
      <c r="QDV159" s="407"/>
      <c r="QDW159" s="407"/>
      <c r="QDX159" s="407"/>
      <c r="QDY159" s="407"/>
      <c r="QDZ159" s="406"/>
      <c r="QEA159" s="407"/>
      <c r="QEB159" s="407"/>
      <c r="QEC159" s="407"/>
      <c r="QED159" s="407"/>
      <c r="QEE159" s="407"/>
      <c r="QEF159" s="406"/>
      <c r="QEG159" s="407"/>
      <c r="QEH159" s="407"/>
      <c r="QEI159" s="407"/>
      <c r="QEJ159" s="407"/>
      <c r="QEK159" s="407"/>
      <c r="QEL159" s="406"/>
      <c r="QEM159" s="407"/>
      <c r="QEN159" s="407"/>
      <c r="QEO159" s="407"/>
      <c r="QEP159" s="407"/>
      <c r="QEQ159" s="407"/>
      <c r="QER159" s="406"/>
      <c r="QES159" s="407"/>
      <c r="QET159" s="407"/>
      <c r="QEU159" s="407"/>
      <c r="QEV159" s="407"/>
      <c r="QEW159" s="407"/>
      <c r="QEX159" s="406"/>
      <c r="QEY159" s="407"/>
      <c r="QEZ159" s="407"/>
      <c r="QFA159" s="407"/>
      <c r="QFB159" s="407"/>
      <c r="QFC159" s="407"/>
      <c r="QFD159" s="406"/>
      <c r="QFE159" s="407"/>
      <c r="QFF159" s="407"/>
      <c r="QFG159" s="407"/>
      <c r="QFH159" s="407"/>
      <c r="QFI159" s="407"/>
      <c r="QFJ159" s="406"/>
      <c r="QFK159" s="407"/>
      <c r="QFL159" s="407"/>
      <c r="QFM159" s="407"/>
      <c r="QFN159" s="407"/>
      <c r="QFO159" s="407"/>
      <c r="QFP159" s="406"/>
      <c r="QFQ159" s="407"/>
      <c r="QFR159" s="407"/>
      <c r="QFS159" s="407"/>
      <c r="QFT159" s="407"/>
      <c r="QFU159" s="407"/>
      <c r="QFV159" s="406"/>
      <c r="QFW159" s="407"/>
      <c r="QFX159" s="407"/>
      <c r="QFY159" s="407"/>
      <c r="QFZ159" s="407"/>
      <c r="QGA159" s="407"/>
      <c r="QGB159" s="406"/>
      <c r="QGC159" s="407"/>
      <c r="QGD159" s="407"/>
      <c r="QGE159" s="407"/>
      <c r="QGF159" s="407"/>
      <c r="QGG159" s="407"/>
      <c r="QGH159" s="406"/>
      <c r="QGI159" s="407"/>
      <c r="QGJ159" s="407"/>
      <c r="QGK159" s="407"/>
      <c r="QGL159" s="407"/>
      <c r="QGM159" s="407"/>
      <c r="QGN159" s="406"/>
      <c r="QGO159" s="407"/>
      <c r="QGP159" s="407"/>
      <c r="QGQ159" s="407"/>
      <c r="QGR159" s="407"/>
      <c r="QGS159" s="407"/>
      <c r="QGT159" s="406"/>
      <c r="QGU159" s="407"/>
      <c r="QGV159" s="407"/>
      <c r="QGW159" s="407"/>
      <c r="QGX159" s="407"/>
      <c r="QGY159" s="407"/>
      <c r="QGZ159" s="406"/>
      <c r="QHA159" s="407"/>
      <c r="QHB159" s="407"/>
      <c r="QHC159" s="407"/>
      <c r="QHD159" s="407"/>
      <c r="QHE159" s="407"/>
      <c r="QHF159" s="406"/>
      <c r="QHG159" s="407"/>
      <c r="QHH159" s="407"/>
      <c r="QHI159" s="407"/>
      <c r="QHJ159" s="407"/>
      <c r="QHK159" s="407"/>
      <c r="QHL159" s="406"/>
      <c r="QHM159" s="407"/>
      <c r="QHN159" s="407"/>
      <c r="QHO159" s="407"/>
      <c r="QHP159" s="407"/>
      <c r="QHQ159" s="407"/>
      <c r="QHR159" s="406"/>
      <c r="QHS159" s="407"/>
      <c r="QHT159" s="407"/>
      <c r="QHU159" s="407"/>
      <c r="QHV159" s="407"/>
      <c r="QHW159" s="407"/>
      <c r="QHX159" s="406"/>
      <c r="QHY159" s="407"/>
      <c r="QHZ159" s="407"/>
      <c r="QIA159" s="407"/>
      <c r="QIB159" s="407"/>
      <c r="QIC159" s="407"/>
      <c r="QID159" s="406"/>
      <c r="QIE159" s="407"/>
      <c r="QIF159" s="407"/>
      <c r="QIG159" s="407"/>
      <c r="QIH159" s="407"/>
      <c r="QII159" s="407"/>
      <c r="QIJ159" s="406"/>
      <c r="QIK159" s="407"/>
      <c r="QIL159" s="407"/>
      <c r="QIM159" s="407"/>
      <c r="QIN159" s="407"/>
      <c r="QIO159" s="407"/>
      <c r="QIP159" s="406"/>
      <c r="QIQ159" s="407"/>
      <c r="QIR159" s="407"/>
      <c r="QIS159" s="407"/>
      <c r="QIT159" s="407"/>
      <c r="QIU159" s="407"/>
      <c r="QIV159" s="406"/>
      <c r="QIW159" s="407"/>
      <c r="QIX159" s="407"/>
      <c r="QIY159" s="407"/>
      <c r="QIZ159" s="407"/>
      <c r="QJA159" s="407"/>
      <c r="QJB159" s="406"/>
      <c r="QJC159" s="407"/>
      <c r="QJD159" s="407"/>
      <c r="QJE159" s="407"/>
      <c r="QJF159" s="407"/>
      <c r="QJG159" s="407"/>
      <c r="QJH159" s="406"/>
      <c r="QJI159" s="407"/>
      <c r="QJJ159" s="407"/>
      <c r="QJK159" s="407"/>
      <c r="QJL159" s="407"/>
      <c r="QJM159" s="407"/>
      <c r="QJN159" s="406"/>
      <c r="QJO159" s="407"/>
      <c r="QJP159" s="407"/>
      <c r="QJQ159" s="407"/>
      <c r="QJR159" s="407"/>
      <c r="QJS159" s="407"/>
      <c r="QJT159" s="406"/>
      <c r="QJU159" s="407"/>
      <c r="QJV159" s="407"/>
      <c r="QJW159" s="407"/>
      <c r="QJX159" s="407"/>
      <c r="QJY159" s="407"/>
      <c r="QJZ159" s="406"/>
      <c r="QKA159" s="407"/>
      <c r="QKB159" s="407"/>
      <c r="QKC159" s="407"/>
      <c r="QKD159" s="407"/>
      <c r="QKE159" s="407"/>
      <c r="QKF159" s="406"/>
      <c r="QKG159" s="407"/>
      <c r="QKH159" s="407"/>
      <c r="QKI159" s="407"/>
      <c r="QKJ159" s="407"/>
      <c r="QKK159" s="407"/>
      <c r="QKL159" s="406"/>
      <c r="QKM159" s="407"/>
      <c r="QKN159" s="407"/>
      <c r="QKO159" s="407"/>
      <c r="QKP159" s="407"/>
      <c r="QKQ159" s="407"/>
      <c r="QKR159" s="406"/>
      <c r="QKS159" s="407"/>
      <c r="QKT159" s="407"/>
      <c r="QKU159" s="407"/>
      <c r="QKV159" s="407"/>
      <c r="QKW159" s="407"/>
      <c r="QKX159" s="406"/>
      <c r="QKY159" s="407"/>
      <c r="QKZ159" s="407"/>
      <c r="QLA159" s="407"/>
      <c r="QLB159" s="407"/>
      <c r="QLC159" s="407"/>
      <c r="QLD159" s="406"/>
      <c r="QLE159" s="407"/>
      <c r="QLF159" s="407"/>
      <c r="QLG159" s="407"/>
      <c r="QLH159" s="407"/>
      <c r="QLI159" s="407"/>
      <c r="QLJ159" s="406"/>
      <c r="QLK159" s="407"/>
      <c r="QLL159" s="407"/>
      <c r="QLM159" s="407"/>
      <c r="QLN159" s="407"/>
      <c r="QLO159" s="407"/>
      <c r="QLP159" s="406"/>
      <c r="QLQ159" s="407"/>
      <c r="QLR159" s="407"/>
      <c r="QLS159" s="407"/>
      <c r="QLT159" s="407"/>
      <c r="QLU159" s="407"/>
      <c r="QLV159" s="406"/>
      <c r="QLW159" s="407"/>
      <c r="QLX159" s="407"/>
      <c r="QLY159" s="407"/>
      <c r="QLZ159" s="407"/>
      <c r="QMA159" s="407"/>
      <c r="QMB159" s="406"/>
      <c r="QMC159" s="407"/>
      <c r="QMD159" s="407"/>
      <c r="QME159" s="407"/>
      <c r="QMF159" s="407"/>
      <c r="QMG159" s="407"/>
      <c r="QMH159" s="406"/>
      <c r="QMI159" s="407"/>
      <c r="QMJ159" s="407"/>
      <c r="QMK159" s="407"/>
      <c r="QML159" s="407"/>
      <c r="QMM159" s="407"/>
      <c r="QMN159" s="406"/>
      <c r="QMO159" s="407"/>
      <c r="QMP159" s="407"/>
      <c r="QMQ159" s="407"/>
      <c r="QMR159" s="407"/>
      <c r="QMS159" s="407"/>
      <c r="QMT159" s="406"/>
      <c r="QMU159" s="407"/>
      <c r="QMV159" s="407"/>
      <c r="QMW159" s="407"/>
      <c r="QMX159" s="407"/>
      <c r="QMY159" s="407"/>
      <c r="QMZ159" s="406"/>
      <c r="QNA159" s="407"/>
      <c r="QNB159" s="407"/>
      <c r="QNC159" s="407"/>
      <c r="QND159" s="407"/>
      <c r="QNE159" s="407"/>
      <c r="QNF159" s="406"/>
      <c r="QNG159" s="407"/>
      <c r="QNH159" s="407"/>
      <c r="QNI159" s="407"/>
      <c r="QNJ159" s="407"/>
      <c r="QNK159" s="407"/>
      <c r="QNL159" s="406"/>
      <c r="QNM159" s="407"/>
      <c r="QNN159" s="407"/>
      <c r="QNO159" s="407"/>
      <c r="QNP159" s="407"/>
      <c r="QNQ159" s="407"/>
      <c r="QNR159" s="406"/>
      <c r="QNS159" s="407"/>
      <c r="QNT159" s="407"/>
      <c r="QNU159" s="407"/>
      <c r="QNV159" s="407"/>
      <c r="QNW159" s="407"/>
      <c r="QNX159" s="406"/>
      <c r="QNY159" s="407"/>
      <c r="QNZ159" s="407"/>
      <c r="QOA159" s="407"/>
      <c r="QOB159" s="407"/>
      <c r="QOC159" s="407"/>
      <c r="QOD159" s="406"/>
      <c r="QOE159" s="407"/>
      <c r="QOF159" s="407"/>
      <c r="QOG159" s="407"/>
      <c r="QOH159" s="407"/>
      <c r="QOI159" s="407"/>
      <c r="QOJ159" s="406"/>
      <c r="QOK159" s="407"/>
      <c r="QOL159" s="407"/>
      <c r="QOM159" s="407"/>
      <c r="QON159" s="407"/>
      <c r="QOO159" s="407"/>
      <c r="QOP159" s="406"/>
      <c r="QOQ159" s="407"/>
      <c r="QOR159" s="407"/>
      <c r="QOS159" s="407"/>
      <c r="QOT159" s="407"/>
      <c r="QOU159" s="407"/>
      <c r="QOV159" s="406"/>
      <c r="QOW159" s="407"/>
      <c r="QOX159" s="407"/>
      <c r="QOY159" s="407"/>
      <c r="QOZ159" s="407"/>
      <c r="QPA159" s="407"/>
      <c r="QPB159" s="406"/>
      <c r="QPC159" s="407"/>
      <c r="QPD159" s="407"/>
      <c r="QPE159" s="407"/>
      <c r="QPF159" s="407"/>
      <c r="QPG159" s="407"/>
      <c r="QPH159" s="406"/>
      <c r="QPI159" s="407"/>
      <c r="QPJ159" s="407"/>
      <c r="QPK159" s="407"/>
      <c r="QPL159" s="407"/>
      <c r="QPM159" s="407"/>
      <c r="QPN159" s="406"/>
      <c r="QPO159" s="407"/>
      <c r="QPP159" s="407"/>
      <c r="QPQ159" s="407"/>
      <c r="QPR159" s="407"/>
      <c r="QPS159" s="407"/>
      <c r="QPT159" s="406"/>
      <c r="QPU159" s="407"/>
      <c r="QPV159" s="407"/>
      <c r="QPW159" s="407"/>
      <c r="QPX159" s="407"/>
      <c r="QPY159" s="407"/>
      <c r="QPZ159" s="406"/>
      <c r="QQA159" s="407"/>
      <c r="QQB159" s="407"/>
      <c r="QQC159" s="407"/>
      <c r="QQD159" s="407"/>
      <c r="QQE159" s="407"/>
      <c r="QQF159" s="406"/>
      <c r="QQG159" s="407"/>
      <c r="QQH159" s="407"/>
      <c r="QQI159" s="407"/>
      <c r="QQJ159" s="407"/>
      <c r="QQK159" s="407"/>
      <c r="QQL159" s="406"/>
      <c r="QQM159" s="407"/>
      <c r="QQN159" s="407"/>
      <c r="QQO159" s="407"/>
      <c r="QQP159" s="407"/>
      <c r="QQQ159" s="407"/>
      <c r="QQR159" s="406"/>
      <c r="QQS159" s="407"/>
      <c r="QQT159" s="407"/>
      <c r="QQU159" s="407"/>
      <c r="QQV159" s="407"/>
      <c r="QQW159" s="407"/>
      <c r="QQX159" s="406"/>
      <c r="QQY159" s="407"/>
      <c r="QQZ159" s="407"/>
      <c r="QRA159" s="407"/>
      <c r="QRB159" s="407"/>
      <c r="QRC159" s="407"/>
      <c r="QRD159" s="406"/>
      <c r="QRE159" s="407"/>
      <c r="QRF159" s="407"/>
      <c r="QRG159" s="407"/>
      <c r="QRH159" s="407"/>
      <c r="QRI159" s="407"/>
      <c r="QRJ159" s="406"/>
      <c r="QRK159" s="407"/>
      <c r="QRL159" s="407"/>
      <c r="QRM159" s="407"/>
      <c r="QRN159" s="407"/>
      <c r="QRO159" s="407"/>
      <c r="QRP159" s="406"/>
      <c r="QRQ159" s="407"/>
      <c r="QRR159" s="407"/>
      <c r="QRS159" s="407"/>
      <c r="QRT159" s="407"/>
      <c r="QRU159" s="407"/>
      <c r="QRV159" s="406"/>
      <c r="QRW159" s="407"/>
      <c r="QRX159" s="407"/>
      <c r="QRY159" s="407"/>
      <c r="QRZ159" s="407"/>
      <c r="QSA159" s="407"/>
      <c r="QSB159" s="406"/>
      <c r="QSC159" s="407"/>
      <c r="QSD159" s="407"/>
      <c r="QSE159" s="407"/>
      <c r="QSF159" s="407"/>
      <c r="QSG159" s="407"/>
      <c r="QSH159" s="406"/>
      <c r="QSI159" s="407"/>
      <c r="QSJ159" s="407"/>
      <c r="QSK159" s="407"/>
      <c r="QSL159" s="407"/>
      <c r="QSM159" s="407"/>
      <c r="QSN159" s="406"/>
      <c r="QSO159" s="407"/>
      <c r="QSP159" s="407"/>
      <c r="QSQ159" s="407"/>
      <c r="QSR159" s="407"/>
      <c r="QSS159" s="407"/>
      <c r="QST159" s="406"/>
      <c r="QSU159" s="407"/>
      <c r="QSV159" s="407"/>
      <c r="QSW159" s="407"/>
      <c r="QSX159" s="407"/>
      <c r="QSY159" s="407"/>
      <c r="QSZ159" s="406"/>
      <c r="QTA159" s="407"/>
      <c r="QTB159" s="407"/>
      <c r="QTC159" s="407"/>
      <c r="QTD159" s="407"/>
      <c r="QTE159" s="407"/>
      <c r="QTF159" s="406"/>
      <c r="QTG159" s="407"/>
      <c r="QTH159" s="407"/>
      <c r="QTI159" s="407"/>
      <c r="QTJ159" s="407"/>
      <c r="QTK159" s="407"/>
      <c r="QTL159" s="406"/>
      <c r="QTM159" s="407"/>
      <c r="QTN159" s="407"/>
      <c r="QTO159" s="407"/>
      <c r="QTP159" s="407"/>
      <c r="QTQ159" s="407"/>
      <c r="QTR159" s="406"/>
      <c r="QTS159" s="407"/>
      <c r="QTT159" s="407"/>
      <c r="QTU159" s="407"/>
      <c r="QTV159" s="407"/>
      <c r="QTW159" s="407"/>
      <c r="QTX159" s="406"/>
      <c r="QTY159" s="407"/>
      <c r="QTZ159" s="407"/>
      <c r="QUA159" s="407"/>
      <c r="QUB159" s="407"/>
      <c r="QUC159" s="407"/>
      <c r="QUD159" s="406"/>
      <c r="QUE159" s="407"/>
      <c r="QUF159" s="407"/>
      <c r="QUG159" s="407"/>
      <c r="QUH159" s="407"/>
      <c r="QUI159" s="407"/>
      <c r="QUJ159" s="406"/>
      <c r="QUK159" s="407"/>
      <c r="QUL159" s="407"/>
      <c r="QUM159" s="407"/>
      <c r="QUN159" s="407"/>
      <c r="QUO159" s="407"/>
      <c r="QUP159" s="406"/>
      <c r="QUQ159" s="407"/>
      <c r="QUR159" s="407"/>
      <c r="QUS159" s="407"/>
      <c r="QUT159" s="407"/>
      <c r="QUU159" s="407"/>
      <c r="QUV159" s="406"/>
      <c r="QUW159" s="407"/>
      <c r="QUX159" s="407"/>
      <c r="QUY159" s="407"/>
      <c r="QUZ159" s="407"/>
      <c r="QVA159" s="407"/>
      <c r="QVB159" s="406"/>
      <c r="QVC159" s="407"/>
      <c r="QVD159" s="407"/>
      <c r="QVE159" s="407"/>
      <c r="QVF159" s="407"/>
      <c r="QVG159" s="407"/>
      <c r="QVH159" s="406"/>
      <c r="QVI159" s="407"/>
      <c r="QVJ159" s="407"/>
      <c r="QVK159" s="407"/>
      <c r="QVL159" s="407"/>
      <c r="QVM159" s="407"/>
      <c r="QVN159" s="406"/>
      <c r="QVO159" s="407"/>
      <c r="QVP159" s="407"/>
      <c r="QVQ159" s="407"/>
      <c r="QVR159" s="407"/>
      <c r="QVS159" s="407"/>
      <c r="QVT159" s="406"/>
      <c r="QVU159" s="407"/>
      <c r="QVV159" s="407"/>
      <c r="QVW159" s="407"/>
      <c r="QVX159" s="407"/>
      <c r="QVY159" s="407"/>
      <c r="QVZ159" s="406"/>
      <c r="QWA159" s="407"/>
      <c r="QWB159" s="407"/>
      <c r="QWC159" s="407"/>
      <c r="QWD159" s="407"/>
      <c r="QWE159" s="407"/>
      <c r="QWF159" s="406"/>
      <c r="QWG159" s="407"/>
      <c r="QWH159" s="407"/>
      <c r="QWI159" s="407"/>
      <c r="QWJ159" s="407"/>
      <c r="QWK159" s="407"/>
      <c r="QWL159" s="406"/>
      <c r="QWM159" s="407"/>
      <c r="QWN159" s="407"/>
      <c r="QWO159" s="407"/>
      <c r="QWP159" s="407"/>
      <c r="QWQ159" s="407"/>
      <c r="QWR159" s="406"/>
      <c r="QWS159" s="407"/>
      <c r="QWT159" s="407"/>
      <c r="QWU159" s="407"/>
      <c r="QWV159" s="407"/>
      <c r="QWW159" s="407"/>
      <c r="QWX159" s="406"/>
      <c r="QWY159" s="407"/>
      <c r="QWZ159" s="407"/>
      <c r="QXA159" s="407"/>
      <c r="QXB159" s="407"/>
      <c r="QXC159" s="407"/>
      <c r="QXD159" s="406"/>
      <c r="QXE159" s="407"/>
      <c r="QXF159" s="407"/>
      <c r="QXG159" s="407"/>
      <c r="QXH159" s="407"/>
      <c r="QXI159" s="407"/>
      <c r="QXJ159" s="406"/>
      <c r="QXK159" s="407"/>
      <c r="QXL159" s="407"/>
      <c r="QXM159" s="407"/>
      <c r="QXN159" s="407"/>
      <c r="QXO159" s="407"/>
      <c r="QXP159" s="406"/>
      <c r="QXQ159" s="407"/>
      <c r="QXR159" s="407"/>
      <c r="QXS159" s="407"/>
      <c r="QXT159" s="407"/>
      <c r="QXU159" s="407"/>
      <c r="QXV159" s="406"/>
      <c r="QXW159" s="407"/>
      <c r="QXX159" s="407"/>
      <c r="QXY159" s="407"/>
      <c r="QXZ159" s="407"/>
      <c r="QYA159" s="407"/>
      <c r="QYB159" s="406"/>
      <c r="QYC159" s="407"/>
      <c r="QYD159" s="407"/>
      <c r="QYE159" s="407"/>
      <c r="QYF159" s="407"/>
      <c r="QYG159" s="407"/>
      <c r="QYH159" s="406"/>
      <c r="QYI159" s="407"/>
      <c r="QYJ159" s="407"/>
      <c r="QYK159" s="407"/>
      <c r="QYL159" s="407"/>
      <c r="QYM159" s="407"/>
      <c r="QYN159" s="406"/>
      <c r="QYO159" s="407"/>
      <c r="QYP159" s="407"/>
      <c r="QYQ159" s="407"/>
      <c r="QYR159" s="407"/>
      <c r="QYS159" s="407"/>
      <c r="QYT159" s="406"/>
      <c r="QYU159" s="407"/>
      <c r="QYV159" s="407"/>
      <c r="QYW159" s="407"/>
      <c r="QYX159" s="407"/>
      <c r="QYY159" s="407"/>
      <c r="QYZ159" s="406"/>
      <c r="QZA159" s="407"/>
      <c r="QZB159" s="407"/>
      <c r="QZC159" s="407"/>
      <c r="QZD159" s="407"/>
      <c r="QZE159" s="407"/>
      <c r="QZF159" s="406"/>
      <c r="QZG159" s="407"/>
      <c r="QZH159" s="407"/>
      <c r="QZI159" s="407"/>
      <c r="QZJ159" s="407"/>
      <c r="QZK159" s="407"/>
      <c r="QZL159" s="406"/>
      <c r="QZM159" s="407"/>
      <c r="QZN159" s="407"/>
      <c r="QZO159" s="407"/>
      <c r="QZP159" s="407"/>
      <c r="QZQ159" s="407"/>
      <c r="QZR159" s="406"/>
      <c r="QZS159" s="407"/>
      <c r="QZT159" s="407"/>
      <c r="QZU159" s="407"/>
      <c r="QZV159" s="407"/>
      <c r="QZW159" s="407"/>
      <c r="QZX159" s="406"/>
      <c r="QZY159" s="407"/>
      <c r="QZZ159" s="407"/>
      <c r="RAA159" s="407"/>
      <c r="RAB159" s="407"/>
      <c r="RAC159" s="407"/>
      <c r="RAD159" s="406"/>
      <c r="RAE159" s="407"/>
      <c r="RAF159" s="407"/>
      <c r="RAG159" s="407"/>
      <c r="RAH159" s="407"/>
      <c r="RAI159" s="407"/>
      <c r="RAJ159" s="406"/>
      <c r="RAK159" s="407"/>
      <c r="RAL159" s="407"/>
      <c r="RAM159" s="407"/>
      <c r="RAN159" s="407"/>
      <c r="RAO159" s="407"/>
      <c r="RAP159" s="406"/>
      <c r="RAQ159" s="407"/>
      <c r="RAR159" s="407"/>
      <c r="RAS159" s="407"/>
      <c r="RAT159" s="407"/>
      <c r="RAU159" s="407"/>
      <c r="RAV159" s="406"/>
      <c r="RAW159" s="407"/>
      <c r="RAX159" s="407"/>
      <c r="RAY159" s="407"/>
      <c r="RAZ159" s="407"/>
      <c r="RBA159" s="407"/>
      <c r="RBB159" s="406"/>
      <c r="RBC159" s="407"/>
      <c r="RBD159" s="407"/>
      <c r="RBE159" s="407"/>
      <c r="RBF159" s="407"/>
      <c r="RBG159" s="407"/>
      <c r="RBH159" s="406"/>
      <c r="RBI159" s="407"/>
      <c r="RBJ159" s="407"/>
      <c r="RBK159" s="407"/>
      <c r="RBL159" s="407"/>
      <c r="RBM159" s="407"/>
      <c r="RBN159" s="406"/>
      <c r="RBO159" s="407"/>
      <c r="RBP159" s="407"/>
      <c r="RBQ159" s="407"/>
      <c r="RBR159" s="407"/>
      <c r="RBS159" s="407"/>
      <c r="RBT159" s="406"/>
      <c r="RBU159" s="407"/>
      <c r="RBV159" s="407"/>
      <c r="RBW159" s="407"/>
      <c r="RBX159" s="407"/>
      <c r="RBY159" s="407"/>
      <c r="RBZ159" s="406"/>
      <c r="RCA159" s="407"/>
      <c r="RCB159" s="407"/>
      <c r="RCC159" s="407"/>
      <c r="RCD159" s="407"/>
      <c r="RCE159" s="407"/>
      <c r="RCF159" s="406"/>
      <c r="RCG159" s="407"/>
      <c r="RCH159" s="407"/>
      <c r="RCI159" s="407"/>
      <c r="RCJ159" s="407"/>
      <c r="RCK159" s="407"/>
      <c r="RCL159" s="406"/>
      <c r="RCM159" s="407"/>
      <c r="RCN159" s="407"/>
      <c r="RCO159" s="407"/>
      <c r="RCP159" s="407"/>
      <c r="RCQ159" s="407"/>
      <c r="RCR159" s="406"/>
      <c r="RCS159" s="407"/>
      <c r="RCT159" s="407"/>
      <c r="RCU159" s="407"/>
      <c r="RCV159" s="407"/>
      <c r="RCW159" s="407"/>
      <c r="RCX159" s="406"/>
      <c r="RCY159" s="407"/>
      <c r="RCZ159" s="407"/>
      <c r="RDA159" s="407"/>
      <c r="RDB159" s="407"/>
      <c r="RDC159" s="407"/>
      <c r="RDD159" s="406"/>
      <c r="RDE159" s="407"/>
      <c r="RDF159" s="407"/>
      <c r="RDG159" s="407"/>
      <c r="RDH159" s="407"/>
      <c r="RDI159" s="407"/>
      <c r="RDJ159" s="406"/>
      <c r="RDK159" s="407"/>
      <c r="RDL159" s="407"/>
      <c r="RDM159" s="407"/>
      <c r="RDN159" s="407"/>
      <c r="RDO159" s="407"/>
      <c r="RDP159" s="406"/>
      <c r="RDQ159" s="407"/>
      <c r="RDR159" s="407"/>
      <c r="RDS159" s="407"/>
      <c r="RDT159" s="407"/>
      <c r="RDU159" s="407"/>
      <c r="RDV159" s="406"/>
      <c r="RDW159" s="407"/>
      <c r="RDX159" s="407"/>
      <c r="RDY159" s="407"/>
      <c r="RDZ159" s="407"/>
      <c r="REA159" s="407"/>
      <c r="REB159" s="406"/>
      <c r="REC159" s="407"/>
      <c r="RED159" s="407"/>
      <c r="REE159" s="407"/>
      <c r="REF159" s="407"/>
      <c r="REG159" s="407"/>
      <c r="REH159" s="406"/>
      <c r="REI159" s="407"/>
      <c r="REJ159" s="407"/>
      <c r="REK159" s="407"/>
      <c r="REL159" s="407"/>
      <c r="REM159" s="407"/>
      <c r="REN159" s="406"/>
      <c r="REO159" s="407"/>
      <c r="REP159" s="407"/>
      <c r="REQ159" s="407"/>
      <c r="RER159" s="407"/>
      <c r="RES159" s="407"/>
      <c r="RET159" s="406"/>
      <c r="REU159" s="407"/>
      <c r="REV159" s="407"/>
      <c r="REW159" s="407"/>
      <c r="REX159" s="407"/>
      <c r="REY159" s="407"/>
      <c r="REZ159" s="406"/>
      <c r="RFA159" s="407"/>
      <c r="RFB159" s="407"/>
      <c r="RFC159" s="407"/>
      <c r="RFD159" s="407"/>
      <c r="RFE159" s="407"/>
      <c r="RFF159" s="406"/>
      <c r="RFG159" s="407"/>
      <c r="RFH159" s="407"/>
      <c r="RFI159" s="407"/>
      <c r="RFJ159" s="407"/>
      <c r="RFK159" s="407"/>
      <c r="RFL159" s="406"/>
      <c r="RFM159" s="407"/>
      <c r="RFN159" s="407"/>
      <c r="RFO159" s="407"/>
      <c r="RFP159" s="407"/>
      <c r="RFQ159" s="407"/>
      <c r="RFR159" s="406"/>
      <c r="RFS159" s="407"/>
      <c r="RFT159" s="407"/>
      <c r="RFU159" s="407"/>
      <c r="RFV159" s="407"/>
      <c r="RFW159" s="407"/>
      <c r="RFX159" s="406"/>
      <c r="RFY159" s="407"/>
      <c r="RFZ159" s="407"/>
      <c r="RGA159" s="407"/>
      <c r="RGB159" s="407"/>
      <c r="RGC159" s="407"/>
      <c r="RGD159" s="406"/>
      <c r="RGE159" s="407"/>
      <c r="RGF159" s="407"/>
      <c r="RGG159" s="407"/>
      <c r="RGH159" s="407"/>
      <c r="RGI159" s="407"/>
      <c r="RGJ159" s="406"/>
      <c r="RGK159" s="407"/>
      <c r="RGL159" s="407"/>
      <c r="RGM159" s="407"/>
      <c r="RGN159" s="407"/>
      <c r="RGO159" s="407"/>
      <c r="RGP159" s="406"/>
      <c r="RGQ159" s="407"/>
      <c r="RGR159" s="407"/>
      <c r="RGS159" s="407"/>
      <c r="RGT159" s="407"/>
      <c r="RGU159" s="407"/>
      <c r="RGV159" s="406"/>
      <c r="RGW159" s="407"/>
      <c r="RGX159" s="407"/>
      <c r="RGY159" s="407"/>
      <c r="RGZ159" s="407"/>
      <c r="RHA159" s="407"/>
      <c r="RHB159" s="406"/>
      <c r="RHC159" s="407"/>
      <c r="RHD159" s="407"/>
      <c r="RHE159" s="407"/>
      <c r="RHF159" s="407"/>
      <c r="RHG159" s="407"/>
      <c r="RHH159" s="406"/>
      <c r="RHI159" s="407"/>
      <c r="RHJ159" s="407"/>
      <c r="RHK159" s="407"/>
      <c r="RHL159" s="407"/>
      <c r="RHM159" s="407"/>
      <c r="RHN159" s="406"/>
      <c r="RHO159" s="407"/>
      <c r="RHP159" s="407"/>
      <c r="RHQ159" s="407"/>
      <c r="RHR159" s="407"/>
      <c r="RHS159" s="407"/>
      <c r="RHT159" s="406"/>
      <c r="RHU159" s="407"/>
      <c r="RHV159" s="407"/>
      <c r="RHW159" s="407"/>
      <c r="RHX159" s="407"/>
      <c r="RHY159" s="407"/>
      <c r="RHZ159" s="406"/>
      <c r="RIA159" s="407"/>
      <c r="RIB159" s="407"/>
      <c r="RIC159" s="407"/>
      <c r="RID159" s="407"/>
      <c r="RIE159" s="407"/>
      <c r="RIF159" s="406"/>
      <c r="RIG159" s="407"/>
      <c r="RIH159" s="407"/>
      <c r="RII159" s="407"/>
      <c r="RIJ159" s="407"/>
      <c r="RIK159" s="407"/>
      <c r="RIL159" s="406"/>
      <c r="RIM159" s="407"/>
      <c r="RIN159" s="407"/>
      <c r="RIO159" s="407"/>
      <c r="RIP159" s="407"/>
      <c r="RIQ159" s="407"/>
      <c r="RIR159" s="406"/>
      <c r="RIS159" s="407"/>
      <c r="RIT159" s="407"/>
      <c r="RIU159" s="407"/>
      <c r="RIV159" s="407"/>
      <c r="RIW159" s="407"/>
      <c r="RIX159" s="406"/>
      <c r="RIY159" s="407"/>
      <c r="RIZ159" s="407"/>
      <c r="RJA159" s="407"/>
      <c r="RJB159" s="407"/>
      <c r="RJC159" s="407"/>
      <c r="RJD159" s="406"/>
      <c r="RJE159" s="407"/>
      <c r="RJF159" s="407"/>
      <c r="RJG159" s="407"/>
      <c r="RJH159" s="407"/>
      <c r="RJI159" s="407"/>
      <c r="RJJ159" s="406"/>
      <c r="RJK159" s="407"/>
      <c r="RJL159" s="407"/>
      <c r="RJM159" s="407"/>
      <c r="RJN159" s="407"/>
      <c r="RJO159" s="407"/>
      <c r="RJP159" s="406"/>
      <c r="RJQ159" s="407"/>
      <c r="RJR159" s="407"/>
      <c r="RJS159" s="407"/>
      <c r="RJT159" s="407"/>
      <c r="RJU159" s="407"/>
      <c r="RJV159" s="406"/>
      <c r="RJW159" s="407"/>
      <c r="RJX159" s="407"/>
      <c r="RJY159" s="407"/>
      <c r="RJZ159" s="407"/>
      <c r="RKA159" s="407"/>
      <c r="RKB159" s="406"/>
      <c r="RKC159" s="407"/>
      <c r="RKD159" s="407"/>
      <c r="RKE159" s="407"/>
      <c r="RKF159" s="407"/>
      <c r="RKG159" s="407"/>
      <c r="RKH159" s="406"/>
      <c r="RKI159" s="407"/>
      <c r="RKJ159" s="407"/>
      <c r="RKK159" s="407"/>
      <c r="RKL159" s="407"/>
      <c r="RKM159" s="407"/>
      <c r="RKN159" s="406"/>
      <c r="RKO159" s="407"/>
      <c r="RKP159" s="407"/>
      <c r="RKQ159" s="407"/>
      <c r="RKR159" s="407"/>
      <c r="RKS159" s="407"/>
      <c r="RKT159" s="406"/>
      <c r="RKU159" s="407"/>
      <c r="RKV159" s="407"/>
      <c r="RKW159" s="407"/>
      <c r="RKX159" s="407"/>
      <c r="RKY159" s="407"/>
      <c r="RKZ159" s="406"/>
      <c r="RLA159" s="407"/>
      <c r="RLB159" s="407"/>
      <c r="RLC159" s="407"/>
      <c r="RLD159" s="407"/>
      <c r="RLE159" s="407"/>
      <c r="RLF159" s="406"/>
      <c r="RLG159" s="407"/>
      <c r="RLH159" s="407"/>
      <c r="RLI159" s="407"/>
      <c r="RLJ159" s="407"/>
      <c r="RLK159" s="407"/>
      <c r="RLL159" s="406"/>
      <c r="RLM159" s="407"/>
      <c r="RLN159" s="407"/>
      <c r="RLO159" s="407"/>
      <c r="RLP159" s="407"/>
      <c r="RLQ159" s="407"/>
      <c r="RLR159" s="406"/>
      <c r="RLS159" s="407"/>
      <c r="RLT159" s="407"/>
      <c r="RLU159" s="407"/>
      <c r="RLV159" s="407"/>
      <c r="RLW159" s="407"/>
      <c r="RLX159" s="406"/>
      <c r="RLY159" s="407"/>
      <c r="RLZ159" s="407"/>
      <c r="RMA159" s="407"/>
      <c r="RMB159" s="407"/>
      <c r="RMC159" s="407"/>
      <c r="RMD159" s="406"/>
      <c r="RME159" s="407"/>
      <c r="RMF159" s="407"/>
      <c r="RMG159" s="407"/>
      <c r="RMH159" s="407"/>
      <c r="RMI159" s="407"/>
      <c r="RMJ159" s="406"/>
      <c r="RMK159" s="407"/>
      <c r="RML159" s="407"/>
      <c r="RMM159" s="407"/>
      <c r="RMN159" s="407"/>
      <c r="RMO159" s="407"/>
      <c r="RMP159" s="406"/>
      <c r="RMQ159" s="407"/>
      <c r="RMR159" s="407"/>
      <c r="RMS159" s="407"/>
      <c r="RMT159" s="407"/>
      <c r="RMU159" s="407"/>
      <c r="RMV159" s="406"/>
      <c r="RMW159" s="407"/>
      <c r="RMX159" s="407"/>
      <c r="RMY159" s="407"/>
      <c r="RMZ159" s="407"/>
      <c r="RNA159" s="407"/>
      <c r="RNB159" s="406"/>
      <c r="RNC159" s="407"/>
      <c r="RND159" s="407"/>
      <c r="RNE159" s="407"/>
      <c r="RNF159" s="407"/>
      <c r="RNG159" s="407"/>
      <c r="RNH159" s="406"/>
      <c r="RNI159" s="407"/>
      <c r="RNJ159" s="407"/>
      <c r="RNK159" s="407"/>
      <c r="RNL159" s="407"/>
      <c r="RNM159" s="407"/>
      <c r="RNN159" s="406"/>
      <c r="RNO159" s="407"/>
      <c r="RNP159" s="407"/>
      <c r="RNQ159" s="407"/>
      <c r="RNR159" s="407"/>
      <c r="RNS159" s="407"/>
      <c r="RNT159" s="406"/>
      <c r="RNU159" s="407"/>
      <c r="RNV159" s="407"/>
      <c r="RNW159" s="407"/>
      <c r="RNX159" s="407"/>
      <c r="RNY159" s="407"/>
      <c r="RNZ159" s="406"/>
      <c r="ROA159" s="407"/>
      <c r="ROB159" s="407"/>
      <c r="ROC159" s="407"/>
      <c r="ROD159" s="407"/>
      <c r="ROE159" s="407"/>
      <c r="ROF159" s="406"/>
      <c r="ROG159" s="407"/>
      <c r="ROH159" s="407"/>
      <c r="ROI159" s="407"/>
      <c r="ROJ159" s="407"/>
      <c r="ROK159" s="407"/>
      <c r="ROL159" s="406"/>
      <c r="ROM159" s="407"/>
      <c r="RON159" s="407"/>
      <c r="ROO159" s="407"/>
      <c r="ROP159" s="407"/>
      <c r="ROQ159" s="407"/>
      <c r="ROR159" s="406"/>
      <c r="ROS159" s="407"/>
      <c r="ROT159" s="407"/>
      <c r="ROU159" s="407"/>
      <c r="ROV159" s="407"/>
      <c r="ROW159" s="407"/>
      <c r="ROX159" s="406"/>
      <c r="ROY159" s="407"/>
      <c r="ROZ159" s="407"/>
      <c r="RPA159" s="407"/>
      <c r="RPB159" s="407"/>
      <c r="RPC159" s="407"/>
      <c r="RPD159" s="406"/>
      <c r="RPE159" s="407"/>
      <c r="RPF159" s="407"/>
      <c r="RPG159" s="407"/>
      <c r="RPH159" s="407"/>
      <c r="RPI159" s="407"/>
      <c r="RPJ159" s="406"/>
      <c r="RPK159" s="407"/>
      <c r="RPL159" s="407"/>
      <c r="RPM159" s="407"/>
      <c r="RPN159" s="407"/>
      <c r="RPO159" s="407"/>
      <c r="RPP159" s="406"/>
      <c r="RPQ159" s="407"/>
      <c r="RPR159" s="407"/>
      <c r="RPS159" s="407"/>
      <c r="RPT159" s="407"/>
      <c r="RPU159" s="407"/>
      <c r="RPV159" s="406"/>
      <c r="RPW159" s="407"/>
      <c r="RPX159" s="407"/>
      <c r="RPY159" s="407"/>
      <c r="RPZ159" s="407"/>
      <c r="RQA159" s="407"/>
      <c r="RQB159" s="406"/>
      <c r="RQC159" s="407"/>
      <c r="RQD159" s="407"/>
      <c r="RQE159" s="407"/>
      <c r="RQF159" s="407"/>
      <c r="RQG159" s="407"/>
      <c r="RQH159" s="406"/>
      <c r="RQI159" s="407"/>
      <c r="RQJ159" s="407"/>
      <c r="RQK159" s="407"/>
      <c r="RQL159" s="407"/>
      <c r="RQM159" s="407"/>
      <c r="RQN159" s="406"/>
      <c r="RQO159" s="407"/>
      <c r="RQP159" s="407"/>
      <c r="RQQ159" s="407"/>
      <c r="RQR159" s="407"/>
      <c r="RQS159" s="407"/>
      <c r="RQT159" s="406"/>
      <c r="RQU159" s="407"/>
      <c r="RQV159" s="407"/>
      <c r="RQW159" s="407"/>
      <c r="RQX159" s="407"/>
      <c r="RQY159" s="407"/>
      <c r="RQZ159" s="406"/>
      <c r="RRA159" s="407"/>
      <c r="RRB159" s="407"/>
      <c r="RRC159" s="407"/>
      <c r="RRD159" s="407"/>
      <c r="RRE159" s="407"/>
      <c r="RRF159" s="406"/>
      <c r="RRG159" s="407"/>
      <c r="RRH159" s="407"/>
      <c r="RRI159" s="407"/>
      <c r="RRJ159" s="407"/>
      <c r="RRK159" s="407"/>
      <c r="RRL159" s="406"/>
      <c r="RRM159" s="407"/>
      <c r="RRN159" s="407"/>
      <c r="RRO159" s="407"/>
      <c r="RRP159" s="407"/>
      <c r="RRQ159" s="407"/>
      <c r="RRR159" s="406"/>
      <c r="RRS159" s="407"/>
      <c r="RRT159" s="407"/>
      <c r="RRU159" s="407"/>
      <c r="RRV159" s="407"/>
      <c r="RRW159" s="407"/>
      <c r="RRX159" s="406"/>
      <c r="RRY159" s="407"/>
      <c r="RRZ159" s="407"/>
      <c r="RSA159" s="407"/>
      <c r="RSB159" s="407"/>
      <c r="RSC159" s="407"/>
      <c r="RSD159" s="406"/>
      <c r="RSE159" s="407"/>
      <c r="RSF159" s="407"/>
      <c r="RSG159" s="407"/>
      <c r="RSH159" s="407"/>
      <c r="RSI159" s="407"/>
      <c r="RSJ159" s="406"/>
      <c r="RSK159" s="407"/>
      <c r="RSL159" s="407"/>
      <c r="RSM159" s="407"/>
      <c r="RSN159" s="407"/>
      <c r="RSO159" s="407"/>
      <c r="RSP159" s="406"/>
      <c r="RSQ159" s="407"/>
      <c r="RSR159" s="407"/>
      <c r="RSS159" s="407"/>
      <c r="RST159" s="407"/>
      <c r="RSU159" s="407"/>
      <c r="RSV159" s="406"/>
      <c r="RSW159" s="407"/>
      <c r="RSX159" s="407"/>
      <c r="RSY159" s="407"/>
      <c r="RSZ159" s="407"/>
      <c r="RTA159" s="407"/>
      <c r="RTB159" s="406"/>
      <c r="RTC159" s="407"/>
      <c r="RTD159" s="407"/>
      <c r="RTE159" s="407"/>
      <c r="RTF159" s="407"/>
      <c r="RTG159" s="407"/>
      <c r="RTH159" s="406"/>
      <c r="RTI159" s="407"/>
      <c r="RTJ159" s="407"/>
      <c r="RTK159" s="407"/>
      <c r="RTL159" s="407"/>
      <c r="RTM159" s="407"/>
      <c r="RTN159" s="406"/>
      <c r="RTO159" s="407"/>
      <c r="RTP159" s="407"/>
      <c r="RTQ159" s="407"/>
      <c r="RTR159" s="407"/>
      <c r="RTS159" s="407"/>
      <c r="RTT159" s="406"/>
      <c r="RTU159" s="407"/>
      <c r="RTV159" s="407"/>
      <c r="RTW159" s="407"/>
      <c r="RTX159" s="407"/>
      <c r="RTY159" s="407"/>
      <c r="RTZ159" s="406"/>
      <c r="RUA159" s="407"/>
      <c r="RUB159" s="407"/>
      <c r="RUC159" s="407"/>
      <c r="RUD159" s="407"/>
      <c r="RUE159" s="407"/>
      <c r="RUF159" s="406"/>
      <c r="RUG159" s="407"/>
      <c r="RUH159" s="407"/>
      <c r="RUI159" s="407"/>
      <c r="RUJ159" s="407"/>
      <c r="RUK159" s="407"/>
      <c r="RUL159" s="406"/>
      <c r="RUM159" s="407"/>
      <c r="RUN159" s="407"/>
      <c r="RUO159" s="407"/>
      <c r="RUP159" s="407"/>
      <c r="RUQ159" s="407"/>
      <c r="RUR159" s="406"/>
      <c r="RUS159" s="407"/>
      <c r="RUT159" s="407"/>
      <c r="RUU159" s="407"/>
      <c r="RUV159" s="407"/>
      <c r="RUW159" s="407"/>
      <c r="RUX159" s="406"/>
      <c r="RUY159" s="407"/>
      <c r="RUZ159" s="407"/>
      <c r="RVA159" s="407"/>
      <c r="RVB159" s="407"/>
      <c r="RVC159" s="407"/>
      <c r="RVD159" s="406"/>
      <c r="RVE159" s="407"/>
      <c r="RVF159" s="407"/>
      <c r="RVG159" s="407"/>
      <c r="RVH159" s="407"/>
      <c r="RVI159" s="407"/>
      <c r="RVJ159" s="406"/>
      <c r="RVK159" s="407"/>
      <c r="RVL159" s="407"/>
      <c r="RVM159" s="407"/>
      <c r="RVN159" s="407"/>
      <c r="RVO159" s="407"/>
      <c r="RVP159" s="406"/>
      <c r="RVQ159" s="407"/>
      <c r="RVR159" s="407"/>
      <c r="RVS159" s="407"/>
      <c r="RVT159" s="407"/>
      <c r="RVU159" s="407"/>
      <c r="RVV159" s="406"/>
      <c r="RVW159" s="407"/>
      <c r="RVX159" s="407"/>
      <c r="RVY159" s="407"/>
      <c r="RVZ159" s="407"/>
      <c r="RWA159" s="407"/>
      <c r="RWB159" s="406"/>
      <c r="RWC159" s="407"/>
      <c r="RWD159" s="407"/>
      <c r="RWE159" s="407"/>
      <c r="RWF159" s="407"/>
      <c r="RWG159" s="407"/>
      <c r="RWH159" s="406"/>
      <c r="RWI159" s="407"/>
      <c r="RWJ159" s="407"/>
      <c r="RWK159" s="407"/>
      <c r="RWL159" s="407"/>
      <c r="RWM159" s="407"/>
      <c r="RWN159" s="406"/>
      <c r="RWO159" s="407"/>
      <c r="RWP159" s="407"/>
      <c r="RWQ159" s="407"/>
      <c r="RWR159" s="407"/>
      <c r="RWS159" s="407"/>
      <c r="RWT159" s="406"/>
      <c r="RWU159" s="407"/>
      <c r="RWV159" s="407"/>
      <c r="RWW159" s="407"/>
      <c r="RWX159" s="407"/>
      <c r="RWY159" s="407"/>
      <c r="RWZ159" s="406"/>
      <c r="RXA159" s="407"/>
      <c r="RXB159" s="407"/>
      <c r="RXC159" s="407"/>
      <c r="RXD159" s="407"/>
      <c r="RXE159" s="407"/>
      <c r="RXF159" s="406"/>
      <c r="RXG159" s="407"/>
      <c r="RXH159" s="407"/>
      <c r="RXI159" s="407"/>
      <c r="RXJ159" s="407"/>
      <c r="RXK159" s="407"/>
      <c r="RXL159" s="406"/>
      <c r="RXM159" s="407"/>
      <c r="RXN159" s="407"/>
      <c r="RXO159" s="407"/>
      <c r="RXP159" s="407"/>
      <c r="RXQ159" s="407"/>
      <c r="RXR159" s="406"/>
      <c r="RXS159" s="407"/>
      <c r="RXT159" s="407"/>
      <c r="RXU159" s="407"/>
      <c r="RXV159" s="407"/>
      <c r="RXW159" s="407"/>
      <c r="RXX159" s="406"/>
      <c r="RXY159" s="407"/>
      <c r="RXZ159" s="407"/>
      <c r="RYA159" s="407"/>
      <c r="RYB159" s="407"/>
      <c r="RYC159" s="407"/>
      <c r="RYD159" s="406"/>
      <c r="RYE159" s="407"/>
      <c r="RYF159" s="407"/>
      <c r="RYG159" s="407"/>
      <c r="RYH159" s="407"/>
      <c r="RYI159" s="407"/>
      <c r="RYJ159" s="406"/>
      <c r="RYK159" s="407"/>
      <c r="RYL159" s="407"/>
      <c r="RYM159" s="407"/>
      <c r="RYN159" s="407"/>
      <c r="RYO159" s="407"/>
      <c r="RYP159" s="406"/>
      <c r="RYQ159" s="407"/>
      <c r="RYR159" s="407"/>
      <c r="RYS159" s="407"/>
      <c r="RYT159" s="407"/>
      <c r="RYU159" s="407"/>
      <c r="RYV159" s="406"/>
      <c r="RYW159" s="407"/>
      <c r="RYX159" s="407"/>
      <c r="RYY159" s="407"/>
      <c r="RYZ159" s="407"/>
      <c r="RZA159" s="407"/>
      <c r="RZB159" s="406"/>
      <c r="RZC159" s="407"/>
      <c r="RZD159" s="407"/>
      <c r="RZE159" s="407"/>
      <c r="RZF159" s="407"/>
      <c r="RZG159" s="407"/>
      <c r="RZH159" s="406"/>
      <c r="RZI159" s="407"/>
      <c r="RZJ159" s="407"/>
      <c r="RZK159" s="407"/>
      <c r="RZL159" s="407"/>
      <c r="RZM159" s="407"/>
      <c r="RZN159" s="406"/>
      <c r="RZO159" s="407"/>
      <c r="RZP159" s="407"/>
      <c r="RZQ159" s="407"/>
      <c r="RZR159" s="407"/>
      <c r="RZS159" s="407"/>
      <c r="RZT159" s="406"/>
      <c r="RZU159" s="407"/>
      <c r="RZV159" s="407"/>
      <c r="RZW159" s="407"/>
      <c r="RZX159" s="407"/>
      <c r="RZY159" s="407"/>
      <c r="RZZ159" s="406"/>
      <c r="SAA159" s="407"/>
      <c r="SAB159" s="407"/>
      <c r="SAC159" s="407"/>
      <c r="SAD159" s="407"/>
      <c r="SAE159" s="407"/>
      <c r="SAF159" s="406"/>
      <c r="SAG159" s="407"/>
      <c r="SAH159" s="407"/>
      <c r="SAI159" s="407"/>
      <c r="SAJ159" s="407"/>
      <c r="SAK159" s="407"/>
      <c r="SAL159" s="406"/>
      <c r="SAM159" s="407"/>
      <c r="SAN159" s="407"/>
      <c r="SAO159" s="407"/>
      <c r="SAP159" s="407"/>
      <c r="SAQ159" s="407"/>
      <c r="SAR159" s="406"/>
      <c r="SAS159" s="407"/>
      <c r="SAT159" s="407"/>
      <c r="SAU159" s="407"/>
      <c r="SAV159" s="407"/>
      <c r="SAW159" s="407"/>
      <c r="SAX159" s="406"/>
      <c r="SAY159" s="407"/>
      <c r="SAZ159" s="407"/>
      <c r="SBA159" s="407"/>
      <c r="SBB159" s="407"/>
      <c r="SBC159" s="407"/>
      <c r="SBD159" s="406"/>
      <c r="SBE159" s="407"/>
      <c r="SBF159" s="407"/>
      <c r="SBG159" s="407"/>
      <c r="SBH159" s="407"/>
      <c r="SBI159" s="407"/>
      <c r="SBJ159" s="406"/>
      <c r="SBK159" s="407"/>
      <c r="SBL159" s="407"/>
      <c r="SBM159" s="407"/>
      <c r="SBN159" s="407"/>
      <c r="SBO159" s="407"/>
      <c r="SBP159" s="406"/>
      <c r="SBQ159" s="407"/>
      <c r="SBR159" s="407"/>
      <c r="SBS159" s="407"/>
      <c r="SBT159" s="407"/>
      <c r="SBU159" s="407"/>
      <c r="SBV159" s="406"/>
      <c r="SBW159" s="407"/>
      <c r="SBX159" s="407"/>
      <c r="SBY159" s="407"/>
      <c r="SBZ159" s="407"/>
      <c r="SCA159" s="407"/>
      <c r="SCB159" s="406"/>
      <c r="SCC159" s="407"/>
      <c r="SCD159" s="407"/>
      <c r="SCE159" s="407"/>
      <c r="SCF159" s="407"/>
      <c r="SCG159" s="407"/>
      <c r="SCH159" s="406"/>
      <c r="SCI159" s="407"/>
      <c r="SCJ159" s="407"/>
      <c r="SCK159" s="407"/>
      <c r="SCL159" s="407"/>
      <c r="SCM159" s="407"/>
      <c r="SCN159" s="406"/>
      <c r="SCO159" s="407"/>
      <c r="SCP159" s="407"/>
      <c r="SCQ159" s="407"/>
      <c r="SCR159" s="407"/>
      <c r="SCS159" s="407"/>
      <c r="SCT159" s="406"/>
      <c r="SCU159" s="407"/>
      <c r="SCV159" s="407"/>
      <c r="SCW159" s="407"/>
      <c r="SCX159" s="407"/>
      <c r="SCY159" s="407"/>
      <c r="SCZ159" s="406"/>
      <c r="SDA159" s="407"/>
      <c r="SDB159" s="407"/>
      <c r="SDC159" s="407"/>
      <c r="SDD159" s="407"/>
      <c r="SDE159" s="407"/>
      <c r="SDF159" s="406"/>
      <c r="SDG159" s="407"/>
      <c r="SDH159" s="407"/>
      <c r="SDI159" s="407"/>
      <c r="SDJ159" s="407"/>
      <c r="SDK159" s="407"/>
      <c r="SDL159" s="406"/>
      <c r="SDM159" s="407"/>
      <c r="SDN159" s="407"/>
      <c r="SDO159" s="407"/>
      <c r="SDP159" s="407"/>
      <c r="SDQ159" s="407"/>
      <c r="SDR159" s="406"/>
      <c r="SDS159" s="407"/>
      <c r="SDT159" s="407"/>
      <c r="SDU159" s="407"/>
      <c r="SDV159" s="407"/>
      <c r="SDW159" s="407"/>
      <c r="SDX159" s="406"/>
      <c r="SDY159" s="407"/>
      <c r="SDZ159" s="407"/>
      <c r="SEA159" s="407"/>
      <c r="SEB159" s="407"/>
      <c r="SEC159" s="407"/>
      <c r="SED159" s="406"/>
      <c r="SEE159" s="407"/>
      <c r="SEF159" s="407"/>
      <c r="SEG159" s="407"/>
      <c r="SEH159" s="407"/>
      <c r="SEI159" s="407"/>
      <c r="SEJ159" s="406"/>
      <c r="SEK159" s="407"/>
      <c r="SEL159" s="407"/>
      <c r="SEM159" s="407"/>
      <c r="SEN159" s="407"/>
      <c r="SEO159" s="407"/>
      <c r="SEP159" s="406"/>
      <c r="SEQ159" s="407"/>
      <c r="SER159" s="407"/>
      <c r="SES159" s="407"/>
      <c r="SET159" s="407"/>
      <c r="SEU159" s="407"/>
      <c r="SEV159" s="406"/>
      <c r="SEW159" s="407"/>
      <c r="SEX159" s="407"/>
      <c r="SEY159" s="407"/>
      <c r="SEZ159" s="407"/>
      <c r="SFA159" s="407"/>
      <c r="SFB159" s="406"/>
      <c r="SFC159" s="407"/>
      <c r="SFD159" s="407"/>
      <c r="SFE159" s="407"/>
      <c r="SFF159" s="407"/>
      <c r="SFG159" s="407"/>
      <c r="SFH159" s="406"/>
      <c r="SFI159" s="407"/>
      <c r="SFJ159" s="407"/>
      <c r="SFK159" s="407"/>
      <c r="SFL159" s="407"/>
      <c r="SFM159" s="407"/>
      <c r="SFN159" s="406"/>
      <c r="SFO159" s="407"/>
      <c r="SFP159" s="407"/>
      <c r="SFQ159" s="407"/>
      <c r="SFR159" s="407"/>
      <c r="SFS159" s="407"/>
      <c r="SFT159" s="406"/>
      <c r="SFU159" s="407"/>
      <c r="SFV159" s="407"/>
      <c r="SFW159" s="407"/>
      <c r="SFX159" s="407"/>
      <c r="SFY159" s="407"/>
      <c r="SFZ159" s="406"/>
      <c r="SGA159" s="407"/>
      <c r="SGB159" s="407"/>
      <c r="SGC159" s="407"/>
      <c r="SGD159" s="407"/>
      <c r="SGE159" s="407"/>
      <c r="SGF159" s="406"/>
      <c r="SGG159" s="407"/>
      <c r="SGH159" s="407"/>
      <c r="SGI159" s="407"/>
      <c r="SGJ159" s="407"/>
      <c r="SGK159" s="407"/>
      <c r="SGL159" s="406"/>
      <c r="SGM159" s="407"/>
      <c r="SGN159" s="407"/>
      <c r="SGO159" s="407"/>
      <c r="SGP159" s="407"/>
      <c r="SGQ159" s="407"/>
      <c r="SGR159" s="406"/>
      <c r="SGS159" s="407"/>
      <c r="SGT159" s="407"/>
      <c r="SGU159" s="407"/>
      <c r="SGV159" s="407"/>
      <c r="SGW159" s="407"/>
      <c r="SGX159" s="406"/>
      <c r="SGY159" s="407"/>
      <c r="SGZ159" s="407"/>
      <c r="SHA159" s="407"/>
      <c r="SHB159" s="407"/>
      <c r="SHC159" s="407"/>
      <c r="SHD159" s="406"/>
      <c r="SHE159" s="407"/>
      <c r="SHF159" s="407"/>
      <c r="SHG159" s="407"/>
      <c r="SHH159" s="407"/>
      <c r="SHI159" s="407"/>
      <c r="SHJ159" s="406"/>
      <c r="SHK159" s="407"/>
      <c r="SHL159" s="407"/>
      <c r="SHM159" s="407"/>
      <c r="SHN159" s="407"/>
      <c r="SHO159" s="407"/>
      <c r="SHP159" s="406"/>
      <c r="SHQ159" s="407"/>
      <c r="SHR159" s="407"/>
      <c r="SHS159" s="407"/>
      <c r="SHT159" s="407"/>
      <c r="SHU159" s="407"/>
      <c r="SHV159" s="406"/>
      <c r="SHW159" s="407"/>
      <c r="SHX159" s="407"/>
      <c r="SHY159" s="407"/>
      <c r="SHZ159" s="407"/>
      <c r="SIA159" s="407"/>
      <c r="SIB159" s="406"/>
      <c r="SIC159" s="407"/>
      <c r="SID159" s="407"/>
      <c r="SIE159" s="407"/>
      <c r="SIF159" s="407"/>
      <c r="SIG159" s="407"/>
      <c r="SIH159" s="406"/>
      <c r="SII159" s="407"/>
      <c r="SIJ159" s="407"/>
      <c r="SIK159" s="407"/>
      <c r="SIL159" s="407"/>
      <c r="SIM159" s="407"/>
      <c r="SIN159" s="406"/>
      <c r="SIO159" s="407"/>
      <c r="SIP159" s="407"/>
      <c r="SIQ159" s="407"/>
      <c r="SIR159" s="407"/>
      <c r="SIS159" s="407"/>
      <c r="SIT159" s="406"/>
      <c r="SIU159" s="407"/>
      <c r="SIV159" s="407"/>
      <c r="SIW159" s="407"/>
      <c r="SIX159" s="407"/>
      <c r="SIY159" s="407"/>
      <c r="SIZ159" s="406"/>
      <c r="SJA159" s="407"/>
      <c r="SJB159" s="407"/>
      <c r="SJC159" s="407"/>
      <c r="SJD159" s="407"/>
      <c r="SJE159" s="407"/>
      <c r="SJF159" s="406"/>
      <c r="SJG159" s="407"/>
      <c r="SJH159" s="407"/>
      <c r="SJI159" s="407"/>
      <c r="SJJ159" s="407"/>
      <c r="SJK159" s="407"/>
      <c r="SJL159" s="406"/>
      <c r="SJM159" s="407"/>
      <c r="SJN159" s="407"/>
      <c r="SJO159" s="407"/>
      <c r="SJP159" s="407"/>
      <c r="SJQ159" s="407"/>
      <c r="SJR159" s="406"/>
      <c r="SJS159" s="407"/>
      <c r="SJT159" s="407"/>
      <c r="SJU159" s="407"/>
      <c r="SJV159" s="407"/>
      <c r="SJW159" s="407"/>
      <c r="SJX159" s="406"/>
      <c r="SJY159" s="407"/>
      <c r="SJZ159" s="407"/>
      <c r="SKA159" s="407"/>
      <c r="SKB159" s="407"/>
      <c r="SKC159" s="407"/>
      <c r="SKD159" s="406"/>
      <c r="SKE159" s="407"/>
      <c r="SKF159" s="407"/>
      <c r="SKG159" s="407"/>
      <c r="SKH159" s="407"/>
      <c r="SKI159" s="407"/>
      <c r="SKJ159" s="406"/>
      <c r="SKK159" s="407"/>
      <c r="SKL159" s="407"/>
      <c r="SKM159" s="407"/>
      <c r="SKN159" s="407"/>
      <c r="SKO159" s="407"/>
      <c r="SKP159" s="406"/>
      <c r="SKQ159" s="407"/>
      <c r="SKR159" s="407"/>
      <c r="SKS159" s="407"/>
      <c r="SKT159" s="407"/>
      <c r="SKU159" s="407"/>
      <c r="SKV159" s="406"/>
      <c r="SKW159" s="407"/>
      <c r="SKX159" s="407"/>
      <c r="SKY159" s="407"/>
      <c r="SKZ159" s="407"/>
      <c r="SLA159" s="407"/>
      <c r="SLB159" s="406"/>
      <c r="SLC159" s="407"/>
      <c r="SLD159" s="407"/>
      <c r="SLE159" s="407"/>
      <c r="SLF159" s="407"/>
      <c r="SLG159" s="407"/>
      <c r="SLH159" s="406"/>
      <c r="SLI159" s="407"/>
      <c r="SLJ159" s="407"/>
      <c r="SLK159" s="407"/>
      <c r="SLL159" s="407"/>
      <c r="SLM159" s="407"/>
      <c r="SLN159" s="406"/>
      <c r="SLO159" s="407"/>
      <c r="SLP159" s="407"/>
      <c r="SLQ159" s="407"/>
      <c r="SLR159" s="407"/>
      <c r="SLS159" s="407"/>
      <c r="SLT159" s="406"/>
      <c r="SLU159" s="407"/>
      <c r="SLV159" s="407"/>
      <c r="SLW159" s="407"/>
      <c r="SLX159" s="407"/>
      <c r="SLY159" s="407"/>
      <c r="SLZ159" s="406"/>
      <c r="SMA159" s="407"/>
      <c r="SMB159" s="407"/>
      <c r="SMC159" s="407"/>
      <c r="SMD159" s="407"/>
      <c r="SME159" s="407"/>
      <c r="SMF159" s="406"/>
      <c r="SMG159" s="407"/>
      <c r="SMH159" s="407"/>
      <c r="SMI159" s="407"/>
      <c r="SMJ159" s="407"/>
      <c r="SMK159" s="407"/>
      <c r="SML159" s="406"/>
      <c r="SMM159" s="407"/>
      <c r="SMN159" s="407"/>
      <c r="SMO159" s="407"/>
      <c r="SMP159" s="407"/>
      <c r="SMQ159" s="407"/>
      <c r="SMR159" s="406"/>
      <c r="SMS159" s="407"/>
      <c r="SMT159" s="407"/>
      <c r="SMU159" s="407"/>
      <c r="SMV159" s="407"/>
      <c r="SMW159" s="407"/>
      <c r="SMX159" s="406"/>
      <c r="SMY159" s="407"/>
      <c r="SMZ159" s="407"/>
      <c r="SNA159" s="407"/>
      <c r="SNB159" s="407"/>
      <c r="SNC159" s="407"/>
      <c r="SND159" s="406"/>
      <c r="SNE159" s="407"/>
      <c r="SNF159" s="407"/>
      <c r="SNG159" s="407"/>
      <c r="SNH159" s="407"/>
      <c r="SNI159" s="407"/>
      <c r="SNJ159" s="406"/>
      <c r="SNK159" s="407"/>
      <c r="SNL159" s="407"/>
      <c r="SNM159" s="407"/>
      <c r="SNN159" s="407"/>
      <c r="SNO159" s="407"/>
      <c r="SNP159" s="406"/>
      <c r="SNQ159" s="407"/>
      <c r="SNR159" s="407"/>
      <c r="SNS159" s="407"/>
      <c r="SNT159" s="407"/>
      <c r="SNU159" s="407"/>
      <c r="SNV159" s="406"/>
      <c r="SNW159" s="407"/>
      <c r="SNX159" s="407"/>
      <c r="SNY159" s="407"/>
      <c r="SNZ159" s="407"/>
      <c r="SOA159" s="407"/>
      <c r="SOB159" s="406"/>
      <c r="SOC159" s="407"/>
      <c r="SOD159" s="407"/>
      <c r="SOE159" s="407"/>
      <c r="SOF159" s="407"/>
      <c r="SOG159" s="407"/>
      <c r="SOH159" s="406"/>
      <c r="SOI159" s="407"/>
      <c r="SOJ159" s="407"/>
      <c r="SOK159" s="407"/>
      <c r="SOL159" s="407"/>
      <c r="SOM159" s="407"/>
      <c r="SON159" s="406"/>
      <c r="SOO159" s="407"/>
      <c r="SOP159" s="407"/>
      <c r="SOQ159" s="407"/>
      <c r="SOR159" s="407"/>
      <c r="SOS159" s="407"/>
      <c r="SOT159" s="406"/>
      <c r="SOU159" s="407"/>
      <c r="SOV159" s="407"/>
      <c r="SOW159" s="407"/>
      <c r="SOX159" s="407"/>
      <c r="SOY159" s="407"/>
      <c r="SOZ159" s="406"/>
      <c r="SPA159" s="407"/>
      <c r="SPB159" s="407"/>
      <c r="SPC159" s="407"/>
      <c r="SPD159" s="407"/>
      <c r="SPE159" s="407"/>
      <c r="SPF159" s="406"/>
      <c r="SPG159" s="407"/>
      <c r="SPH159" s="407"/>
      <c r="SPI159" s="407"/>
      <c r="SPJ159" s="407"/>
      <c r="SPK159" s="407"/>
      <c r="SPL159" s="406"/>
      <c r="SPM159" s="407"/>
      <c r="SPN159" s="407"/>
      <c r="SPO159" s="407"/>
      <c r="SPP159" s="407"/>
      <c r="SPQ159" s="407"/>
      <c r="SPR159" s="406"/>
      <c r="SPS159" s="407"/>
      <c r="SPT159" s="407"/>
      <c r="SPU159" s="407"/>
      <c r="SPV159" s="407"/>
      <c r="SPW159" s="407"/>
      <c r="SPX159" s="406"/>
      <c r="SPY159" s="407"/>
      <c r="SPZ159" s="407"/>
      <c r="SQA159" s="407"/>
      <c r="SQB159" s="407"/>
      <c r="SQC159" s="407"/>
      <c r="SQD159" s="406"/>
      <c r="SQE159" s="407"/>
      <c r="SQF159" s="407"/>
      <c r="SQG159" s="407"/>
      <c r="SQH159" s="407"/>
      <c r="SQI159" s="407"/>
      <c r="SQJ159" s="406"/>
      <c r="SQK159" s="407"/>
      <c r="SQL159" s="407"/>
      <c r="SQM159" s="407"/>
      <c r="SQN159" s="407"/>
      <c r="SQO159" s="407"/>
      <c r="SQP159" s="406"/>
      <c r="SQQ159" s="407"/>
      <c r="SQR159" s="407"/>
      <c r="SQS159" s="407"/>
      <c r="SQT159" s="407"/>
      <c r="SQU159" s="407"/>
      <c r="SQV159" s="406"/>
      <c r="SQW159" s="407"/>
      <c r="SQX159" s="407"/>
      <c r="SQY159" s="407"/>
      <c r="SQZ159" s="407"/>
      <c r="SRA159" s="407"/>
      <c r="SRB159" s="406"/>
      <c r="SRC159" s="407"/>
      <c r="SRD159" s="407"/>
      <c r="SRE159" s="407"/>
      <c r="SRF159" s="407"/>
      <c r="SRG159" s="407"/>
      <c r="SRH159" s="406"/>
      <c r="SRI159" s="407"/>
      <c r="SRJ159" s="407"/>
      <c r="SRK159" s="407"/>
      <c r="SRL159" s="407"/>
      <c r="SRM159" s="407"/>
      <c r="SRN159" s="406"/>
      <c r="SRO159" s="407"/>
      <c r="SRP159" s="407"/>
      <c r="SRQ159" s="407"/>
      <c r="SRR159" s="407"/>
      <c r="SRS159" s="407"/>
      <c r="SRT159" s="406"/>
      <c r="SRU159" s="407"/>
      <c r="SRV159" s="407"/>
      <c r="SRW159" s="407"/>
      <c r="SRX159" s="407"/>
      <c r="SRY159" s="407"/>
      <c r="SRZ159" s="406"/>
      <c r="SSA159" s="407"/>
      <c r="SSB159" s="407"/>
      <c r="SSC159" s="407"/>
      <c r="SSD159" s="407"/>
      <c r="SSE159" s="407"/>
      <c r="SSF159" s="406"/>
      <c r="SSG159" s="407"/>
      <c r="SSH159" s="407"/>
      <c r="SSI159" s="407"/>
      <c r="SSJ159" s="407"/>
      <c r="SSK159" s="407"/>
      <c r="SSL159" s="406"/>
      <c r="SSM159" s="407"/>
      <c r="SSN159" s="407"/>
      <c r="SSO159" s="407"/>
      <c r="SSP159" s="407"/>
      <c r="SSQ159" s="407"/>
      <c r="SSR159" s="406"/>
      <c r="SSS159" s="407"/>
      <c r="SST159" s="407"/>
      <c r="SSU159" s="407"/>
      <c r="SSV159" s="407"/>
      <c r="SSW159" s="407"/>
      <c r="SSX159" s="406"/>
      <c r="SSY159" s="407"/>
      <c r="SSZ159" s="407"/>
      <c r="STA159" s="407"/>
      <c r="STB159" s="407"/>
      <c r="STC159" s="407"/>
      <c r="STD159" s="406"/>
      <c r="STE159" s="407"/>
      <c r="STF159" s="407"/>
      <c r="STG159" s="407"/>
      <c r="STH159" s="407"/>
      <c r="STI159" s="407"/>
      <c r="STJ159" s="406"/>
      <c r="STK159" s="407"/>
      <c r="STL159" s="407"/>
      <c r="STM159" s="407"/>
      <c r="STN159" s="407"/>
      <c r="STO159" s="407"/>
      <c r="STP159" s="406"/>
      <c r="STQ159" s="407"/>
      <c r="STR159" s="407"/>
      <c r="STS159" s="407"/>
      <c r="STT159" s="407"/>
      <c r="STU159" s="407"/>
      <c r="STV159" s="406"/>
      <c r="STW159" s="407"/>
      <c r="STX159" s="407"/>
      <c r="STY159" s="407"/>
      <c r="STZ159" s="407"/>
      <c r="SUA159" s="407"/>
      <c r="SUB159" s="406"/>
      <c r="SUC159" s="407"/>
      <c r="SUD159" s="407"/>
      <c r="SUE159" s="407"/>
      <c r="SUF159" s="407"/>
      <c r="SUG159" s="407"/>
      <c r="SUH159" s="406"/>
      <c r="SUI159" s="407"/>
      <c r="SUJ159" s="407"/>
      <c r="SUK159" s="407"/>
      <c r="SUL159" s="407"/>
      <c r="SUM159" s="407"/>
      <c r="SUN159" s="406"/>
      <c r="SUO159" s="407"/>
      <c r="SUP159" s="407"/>
      <c r="SUQ159" s="407"/>
      <c r="SUR159" s="407"/>
      <c r="SUS159" s="407"/>
      <c r="SUT159" s="406"/>
      <c r="SUU159" s="407"/>
      <c r="SUV159" s="407"/>
      <c r="SUW159" s="407"/>
      <c r="SUX159" s="407"/>
      <c r="SUY159" s="407"/>
      <c r="SUZ159" s="406"/>
      <c r="SVA159" s="407"/>
      <c r="SVB159" s="407"/>
      <c r="SVC159" s="407"/>
      <c r="SVD159" s="407"/>
      <c r="SVE159" s="407"/>
      <c r="SVF159" s="406"/>
      <c r="SVG159" s="407"/>
      <c r="SVH159" s="407"/>
      <c r="SVI159" s="407"/>
      <c r="SVJ159" s="407"/>
      <c r="SVK159" s="407"/>
      <c r="SVL159" s="406"/>
      <c r="SVM159" s="407"/>
      <c r="SVN159" s="407"/>
      <c r="SVO159" s="407"/>
      <c r="SVP159" s="407"/>
      <c r="SVQ159" s="407"/>
      <c r="SVR159" s="406"/>
      <c r="SVS159" s="407"/>
      <c r="SVT159" s="407"/>
      <c r="SVU159" s="407"/>
      <c r="SVV159" s="407"/>
      <c r="SVW159" s="407"/>
      <c r="SVX159" s="406"/>
      <c r="SVY159" s="407"/>
      <c r="SVZ159" s="407"/>
      <c r="SWA159" s="407"/>
      <c r="SWB159" s="407"/>
      <c r="SWC159" s="407"/>
      <c r="SWD159" s="406"/>
      <c r="SWE159" s="407"/>
      <c r="SWF159" s="407"/>
      <c r="SWG159" s="407"/>
      <c r="SWH159" s="407"/>
      <c r="SWI159" s="407"/>
      <c r="SWJ159" s="406"/>
      <c r="SWK159" s="407"/>
      <c r="SWL159" s="407"/>
      <c r="SWM159" s="407"/>
      <c r="SWN159" s="407"/>
      <c r="SWO159" s="407"/>
      <c r="SWP159" s="406"/>
      <c r="SWQ159" s="407"/>
      <c r="SWR159" s="407"/>
      <c r="SWS159" s="407"/>
      <c r="SWT159" s="407"/>
      <c r="SWU159" s="407"/>
      <c r="SWV159" s="406"/>
      <c r="SWW159" s="407"/>
      <c r="SWX159" s="407"/>
      <c r="SWY159" s="407"/>
      <c r="SWZ159" s="407"/>
      <c r="SXA159" s="407"/>
      <c r="SXB159" s="406"/>
      <c r="SXC159" s="407"/>
      <c r="SXD159" s="407"/>
      <c r="SXE159" s="407"/>
      <c r="SXF159" s="407"/>
      <c r="SXG159" s="407"/>
      <c r="SXH159" s="406"/>
      <c r="SXI159" s="407"/>
      <c r="SXJ159" s="407"/>
      <c r="SXK159" s="407"/>
      <c r="SXL159" s="407"/>
      <c r="SXM159" s="407"/>
      <c r="SXN159" s="406"/>
      <c r="SXO159" s="407"/>
      <c r="SXP159" s="407"/>
      <c r="SXQ159" s="407"/>
      <c r="SXR159" s="407"/>
      <c r="SXS159" s="407"/>
      <c r="SXT159" s="406"/>
      <c r="SXU159" s="407"/>
      <c r="SXV159" s="407"/>
      <c r="SXW159" s="407"/>
      <c r="SXX159" s="407"/>
      <c r="SXY159" s="407"/>
      <c r="SXZ159" s="406"/>
      <c r="SYA159" s="407"/>
      <c r="SYB159" s="407"/>
      <c r="SYC159" s="407"/>
      <c r="SYD159" s="407"/>
      <c r="SYE159" s="407"/>
      <c r="SYF159" s="406"/>
      <c r="SYG159" s="407"/>
      <c r="SYH159" s="407"/>
      <c r="SYI159" s="407"/>
      <c r="SYJ159" s="407"/>
      <c r="SYK159" s="407"/>
      <c r="SYL159" s="406"/>
      <c r="SYM159" s="407"/>
      <c r="SYN159" s="407"/>
      <c r="SYO159" s="407"/>
      <c r="SYP159" s="407"/>
      <c r="SYQ159" s="407"/>
      <c r="SYR159" s="406"/>
      <c r="SYS159" s="407"/>
      <c r="SYT159" s="407"/>
      <c r="SYU159" s="407"/>
      <c r="SYV159" s="407"/>
      <c r="SYW159" s="407"/>
      <c r="SYX159" s="406"/>
      <c r="SYY159" s="407"/>
      <c r="SYZ159" s="407"/>
      <c r="SZA159" s="407"/>
      <c r="SZB159" s="407"/>
      <c r="SZC159" s="407"/>
      <c r="SZD159" s="406"/>
      <c r="SZE159" s="407"/>
      <c r="SZF159" s="407"/>
      <c r="SZG159" s="407"/>
      <c r="SZH159" s="407"/>
      <c r="SZI159" s="407"/>
      <c r="SZJ159" s="406"/>
      <c r="SZK159" s="407"/>
      <c r="SZL159" s="407"/>
      <c r="SZM159" s="407"/>
      <c r="SZN159" s="407"/>
      <c r="SZO159" s="407"/>
      <c r="SZP159" s="406"/>
      <c r="SZQ159" s="407"/>
      <c r="SZR159" s="407"/>
      <c r="SZS159" s="407"/>
      <c r="SZT159" s="407"/>
      <c r="SZU159" s="407"/>
      <c r="SZV159" s="406"/>
      <c r="SZW159" s="407"/>
      <c r="SZX159" s="407"/>
      <c r="SZY159" s="407"/>
      <c r="SZZ159" s="407"/>
      <c r="TAA159" s="407"/>
      <c r="TAB159" s="406"/>
      <c r="TAC159" s="407"/>
      <c r="TAD159" s="407"/>
      <c r="TAE159" s="407"/>
      <c r="TAF159" s="407"/>
      <c r="TAG159" s="407"/>
      <c r="TAH159" s="406"/>
      <c r="TAI159" s="407"/>
      <c r="TAJ159" s="407"/>
      <c r="TAK159" s="407"/>
      <c r="TAL159" s="407"/>
      <c r="TAM159" s="407"/>
      <c r="TAN159" s="406"/>
      <c r="TAO159" s="407"/>
      <c r="TAP159" s="407"/>
      <c r="TAQ159" s="407"/>
      <c r="TAR159" s="407"/>
      <c r="TAS159" s="407"/>
      <c r="TAT159" s="406"/>
      <c r="TAU159" s="407"/>
      <c r="TAV159" s="407"/>
      <c r="TAW159" s="407"/>
      <c r="TAX159" s="407"/>
      <c r="TAY159" s="407"/>
      <c r="TAZ159" s="406"/>
      <c r="TBA159" s="407"/>
      <c r="TBB159" s="407"/>
      <c r="TBC159" s="407"/>
      <c r="TBD159" s="407"/>
      <c r="TBE159" s="407"/>
      <c r="TBF159" s="406"/>
      <c r="TBG159" s="407"/>
      <c r="TBH159" s="407"/>
      <c r="TBI159" s="407"/>
      <c r="TBJ159" s="407"/>
      <c r="TBK159" s="407"/>
      <c r="TBL159" s="406"/>
      <c r="TBM159" s="407"/>
      <c r="TBN159" s="407"/>
      <c r="TBO159" s="407"/>
      <c r="TBP159" s="407"/>
      <c r="TBQ159" s="407"/>
      <c r="TBR159" s="406"/>
      <c r="TBS159" s="407"/>
      <c r="TBT159" s="407"/>
      <c r="TBU159" s="407"/>
      <c r="TBV159" s="407"/>
      <c r="TBW159" s="407"/>
      <c r="TBX159" s="406"/>
      <c r="TBY159" s="407"/>
      <c r="TBZ159" s="407"/>
      <c r="TCA159" s="407"/>
      <c r="TCB159" s="407"/>
      <c r="TCC159" s="407"/>
      <c r="TCD159" s="406"/>
      <c r="TCE159" s="407"/>
      <c r="TCF159" s="407"/>
      <c r="TCG159" s="407"/>
      <c r="TCH159" s="407"/>
      <c r="TCI159" s="407"/>
      <c r="TCJ159" s="406"/>
      <c r="TCK159" s="407"/>
      <c r="TCL159" s="407"/>
      <c r="TCM159" s="407"/>
      <c r="TCN159" s="407"/>
      <c r="TCO159" s="407"/>
      <c r="TCP159" s="406"/>
      <c r="TCQ159" s="407"/>
      <c r="TCR159" s="407"/>
      <c r="TCS159" s="407"/>
      <c r="TCT159" s="407"/>
      <c r="TCU159" s="407"/>
      <c r="TCV159" s="406"/>
      <c r="TCW159" s="407"/>
      <c r="TCX159" s="407"/>
      <c r="TCY159" s="407"/>
      <c r="TCZ159" s="407"/>
      <c r="TDA159" s="407"/>
      <c r="TDB159" s="406"/>
      <c r="TDC159" s="407"/>
      <c r="TDD159" s="407"/>
      <c r="TDE159" s="407"/>
      <c r="TDF159" s="407"/>
      <c r="TDG159" s="407"/>
      <c r="TDH159" s="406"/>
      <c r="TDI159" s="407"/>
      <c r="TDJ159" s="407"/>
      <c r="TDK159" s="407"/>
      <c r="TDL159" s="407"/>
      <c r="TDM159" s="407"/>
      <c r="TDN159" s="406"/>
      <c r="TDO159" s="407"/>
      <c r="TDP159" s="407"/>
      <c r="TDQ159" s="407"/>
      <c r="TDR159" s="407"/>
      <c r="TDS159" s="407"/>
      <c r="TDT159" s="406"/>
      <c r="TDU159" s="407"/>
      <c r="TDV159" s="407"/>
      <c r="TDW159" s="407"/>
      <c r="TDX159" s="407"/>
      <c r="TDY159" s="407"/>
      <c r="TDZ159" s="406"/>
      <c r="TEA159" s="407"/>
      <c r="TEB159" s="407"/>
      <c r="TEC159" s="407"/>
      <c r="TED159" s="407"/>
      <c r="TEE159" s="407"/>
      <c r="TEF159" s="406"/>
      <c r="TEG159" s="407"/>
      <c r="TEH159" s="407"/>
      <c r="TEI159" s="407"/>
      <c r="TEJ159" s="407"/>
      <c r="TEK159" s="407"/>
      <c r="TEL159" s="406"/>
      <c r="TEM159" s="407"/>
      <c r="TEN159" s="407"/>
      <c r="TEO159" s="407"/>
      <c r="TEP159" s="407"/>
      <c r="TEQ159" s="407"/>
      <c r="TER159" s="406"/>
      <c r="TES159" s="407"/>
      <c r="TET159" s="407"/>
      <c r="TEU159" s="407"/>
      <c r="TEV159" s="407"/>
      <c r="TEW159" s="407"/>
      <c r="TEX159" s="406"/>
      <c r="TEY159" s="407"/>
      <c r="TEZ159" s="407"/>
      <c r="TFA159" s="407"/>
      <c r="TFB159" s="407"/>
      <c r="TFC159" s="407"/>
      <c r="TFD159" s="406"/>
      <c r="TFE159" s="407"/>
      <c r="TFF159" s="407"/>
      <c r="TFG159" s="407"/>
      <c r="TFH159" s="407"/>
      <c r="TFI159" s="407"/>
      <c r="TFJ159" s="406"/>
      <c r="TFK159" s="407"/>
      <c r="TFL159" s="407"/>
      <c r="TFM159" s="407"/>
      <c r="TFN159" s="407"/>
      <c r="TFO159" s="407"/>
      <c r="TFP159" s="406"/>
      <c r="TFQ159" s="407"/>
      <c r="TFR159" s="407"/>
      <c r="TFS159" s="407"/>
      <c r="TFT159" s="407"/>
      <c r="TFU159" s="407"/>
      <c r="TFV159" s="406"/>
      <c r="TFW159" s="407"/>
      <c r="TFX159" s="407"/>
      <c r="TFY159" s="407"/>
      <c r="TFZ159" s="407"/>
      <c r="TGA159" s="407"/>
      <c r="TGB159" s="406"/>
      <c r="TGC159" s="407"/>
      <c r="TGD159" s="407"/>
      <c r="TGE159" s="407"/>
      <c r="TGF159" s="407"/>
      <c r="TGG159" s="407"/>
      <c r="TGH159" s="406"/>
      <c r="TGI159" s="407"/>
      <c r="TGJ159" s="407"/>
      <c r="TGK159" s="407"/>
      <c r="TGL159" s="407"/>
      <c r="TGM159" s="407"/>
      <c r="TGN159" s="406"/>
      <c r="TGO159" s="407"/>
      <c r="TGP159" s="407"/>
      <c r="TGQ159" s="407"/>
      <c r="TGR159" s="407"/>
      <c r="TGS159" s="407"/>
      <c r="TGT159" s="406"/>
      <c r="TGU159" s="407"/>
      <c r="TGV159" s="407"/>
      <c r="TGW159" s="407"/>
      <c r="TGX159" s="407"/>
      <c r="TGY159" s="407"/>
      <c r="TGZ159" s="406"/>
      <c r="THA159" s="407"/>
      <c r="THB159" s="407"/>
      <c r="THC159" s="407"/>
      <c r="THD159" s="407"/>
      <c r="THE159" s="407"/>
      <c r="THF159" s="406"/>
      <c r="THG159" s="407"/>
      <c r="THH159" s="407"/>
      <c r="THI159" s="407"/>
      <c r="THJ159" s="407"/>
      <c r="THK159" s="407"/>
      <c r="THL159" s="406"/>
      <c r="THM159" s="407"/>
      <c r="THN159" s="407"/>
      <c r="THO159" s="407"/>
      <c r="THP159" s="407"/>
      <c r="THQ159" s="407"/>
      <c r="THR159" s="406"/>
      <c r="THS159" s="407"/>
      <c r="THT159" s="407"/>
      <c r="THU159" s="407"/>
      <c r="THV159" s="407"/>
      <c r="THW159" s="407"/>
      <c r="THX159" s="406"/>
      <c r="THY159" s="407"/>
      <c r="THZ159" s="407"/>
      <c r="TIA159" s="407"/>
      <c r="TIB159" s="407"/>
      <c r="TIC159" s="407"/>
      <c r="TID159" s="406"/>
      <c r="TIE159" s="407"/>
      <c r="TIF159" s="407"/>
      <c r="TIG159" s="407"/>
      <c r="TIH159" s="407"/>
      <c r="TII159" s="407"/>
      <c r="TIJ159" s="406"/>
      <c r="TIK159" s="407"/>
      <c r="TIL159" s="407"/>
      <c r="TIM159" s="407"/>
      <c r="TIN159" s="407"/>
      <c r="TIO159" s="407"/>
      <c r="TIP159" s="406"/>
      <c r="TIQ159" s="407"/>
      <c r="TIR159" s="407"/>
      <c r="TIS159" s="407"/>
      <c r="TIT159" s="407"/>
      <c r="TIU159" s="407"/>
      <c r="TIV159" s="406"/>
      <c r="TIW159" s="407"/>
      <c r="TIX159" s="407"/>
      <c r="TIY159" s="407"/>
      <c r="TIZ159" s="407"/>
      <c r="TJA159" s="407"/>
      <c r="TJB159" s="406"/>
      <c r="TJC159" s="407"/>
      <c r="TJD159" s="407"/>
      <c r="TJE159" s="407"/>
      <c r="TJF159" s="407"/>
      <c r="TJG159" s="407"/>
      <c r="TJH159" s="406"/>
      <c r="TJI159" s="407"/>
      <c r="TJJ159" s="407"/>
      <c r="TJK159" s="407"/>
      <c r="TJL159" s="407"/>
      <c r="TJM159" s="407"/>
      <c r="TJN159" s="406"/>
      <c r="TJO159" s="407"/>
      <c r="TJP159" s="407"/>
      <c r="TJQ159" s="407"/>
      <c r="TJR159" s="407"/>
      <c r="TJS159" s="407"/>
      <c r="TJT159" s="406"/>
      <c r="TJU159" s="407"/>
      <c r="TJV159" s="407"/>
      <c r="TJW159" s="407"/>
      <c r="TJX159" s="407"/>
      <c r="TJY159" s="407"/>
      <c r="TJZ159" s="406"/>
      <c r="TKA159" s="407"/>
      <c r="TKB159" s="407"/>
      <c r="TKC159" s="407"/>
      <c r="TKD159" s="407"/>
      <c r="TKE159" s="407"/>
      <c r="TKF159" s="406"/>
      <c r="TKG159" s="407"/>
      <c r="TKH159" s="407"/>
      <c r="TKI159" s="407"/>
      <c r="TKJ159" s="407"/>
      <c r="TKK159" s="407"/>
      <c r="TKL159" s="406"/>
      <c r="TKM159" s="407"/>
      <c r="TKN159" s="407"/>
      <c r="TKO159" s="407"/>
      <c r="TKP159" s="407"/>
      <c r="TKQ159" s="407"/>
      <c r="TKR159" s="406"/>
      <c r="TKS159" s="407"/>
      <c r="TKT159" s="407"/>
      <c r="TKU159" s="407"/>
      <c r="TKV159" s="407"/>
      <c r="TKW159" s="407"/>
      <c r="TKX159" s="406"/>
      <c r="TKY159" s="407"/>
      <c r="TKZ159" s="407"/>
      <c r="TLA159" s="407"/>
      <c r="TLB159" s="407"/>
      <c r="TLC159" s="407"/>
      <c r="TLD159" s="406"/>
      <c r="TLE159" s="407"/>
      <c r="TLF159" s="407"/>
      <c r="TLG159" s="407"/>
      <c r="TLH159" s="407"/>
      <c r="TLI159" s="407"/>
      <c r="TLJ159" s="406"/>
      <c r="TLK159" s="407"/>
      <c r="TLL159" s="407"/>
      <c r="TLM159" s="407"/>
      <c r="TLN159" s="407"/>
      <c r="TLO159" s="407"/>
      <c r="TLP159" s="406"/>
      <c r="TLQ159" s="407"/>
      <c r="TLR159" s="407"/>
      <c r="TLS159" s="407"/>
      <c r="TLT159" s="407"/>
      <c r="TLU159" s="407"/>
      <c r="TLV159" s="406"/>
      <c r="TLW159" s="407"/>
      <c r="TLX159" s="407"/>
      <c r="TLY159" s="407"/>
      <c r="TLZ159" s="407"/>
      <c r="TMA159" s="407"/>
      <c r="TMB159" s="406"/>
      <c r="TMC159" s="407"/>
      <c r="TMD159" s="407"/>
      <c r="TME159" s="407"/>
      <c r="TMF159" s="407"/>
      <c r="TMG159" s="407"/>
      <c r="TMH159" s="406"/>
      <c r="TMI159" s="407"/>
      <c r="TMJ159" s="407"/>
      <c r="TMK159" s="407"/>
      <c r="TML159" s="407"/>
      <c r="TMM159" s="407"/>
      <c r="TMN159" s="406"/>
      <c r="TMO159" s="407"/>
      <c r="TMP159" s="407"/>
      <c r="TMQ159" s="407"/>
      <c r="TMR159" s="407"/>
      <c r="TMS159" s="407"/>
      <c r="TMT159" s="406"/>
      <c r="TMU159" s="407"/>
      <c r="TMV159" s="407"/>
      <c r="TMW159" s="407"/>
      <c r="TMX159" s="407"/>
      <c r="TMY159" s="407"/>
      <c r="TMZ159" s="406"/>
      <c r="TNA159" s="407"/>
      <c r="TNB159" s="407"/>
      <c r="TNC159" s="407"/>
      <c r="TND159" s="407"/>
      <c r="TNE159" s="407"/>
      <c r="TNF159" s="406"/>
      <c r="TNG159" s="407"/>
      <c r="TNH159" s="407"/>
      <c r="TNI159" s="407"/>
      <c r="TNJ159" s="407"/>
      <c r="TNK159" s="407"/>
      <c r="TNL159" s="406"/>
      <c r="TNM159" s="407"/>
      <c r="TNN159" s="407"/>
      <c r="TNO159" s="407"/>
      <c r="TNP159" s="407"/>
      <c r="TNQ159" s="407"/>
      <c r="TNR159" s="406"/>
      <c r="TNS159" s="407"/>
      <c r="TNT159" s="407"/>
      <c r="TNU159" s="407"/>
      <c r="TNV159" s="407"/>
      <c r="TNW159" s="407"/>
      <c r="TNX159" s="406"/>
      <c r="TNY159" s="407"/>
      <c r="TNZ159" s="407"/>
      <c r="TOA159" s="407"/>
      <c r="TOB159" s="407"/>
      <c r="TOC159" s="407"/>
      <c r="TOD159" s="406"/>
      <c r="TOE159" s="407"/>
      <c r="TOF159" s="407"/>
      <c r="TOG159" s="407"/>
      <c r="TOH159" s="407"/>
      <c r="TOI159" s="407"/>
      <c r="TOJ159" s="406"/>
      <c r="TOK159" s="407"/>
      <c r="TOL159" s="407"/>
      <c r="TOM159" s="407"/>
      <c r="TON159" s="407"/>
      <c r="TOO159" s="407"/>
      <c r="TOP159" s="406"/>
      <c r="TOQ159" s="407"/>
      <c r="TOR159" s="407"/>
      <c r="TOS159" s="407"/>
      <c r="TOT159" s="407"/>
      <c r="TOU159" s="407"/>
      <c r="TOV159" s="406"/>
      <c r="TOW159" s="407"/>
      <c r="TOX159" s="407"/>
      <c r="TOY159" s="407"/>
      <c r="TOZ159" s="407"/>
      <c r="TPA159" s="407"/>
      <c r="TPB159" s="406"/>
      <c r="TPC159" s="407"/>
      <c r="TPD159" s="407"/>
      <c r="TPE159" s="407"/>
      <c r="TPF159" s="407"/>
      <c r="TPG159" s="407"/>
      <c r="TPH159" s="406"/>
      <c r="TPI159" s="407"/>
      <c r="TPJ159" s="407"/>
      <c r="TPK159" s="407"/>
      <c r="TPL159" s="407"/>
      <c r="TPM159" s="407"/>
      <c r="TPN159" s="406"/>
      <c r="TPO159" s="407"/>
      <c r="TPP159" s="407"/>
      <c r="TPQ159" s="407"/>
      <c r="TPR159" s="407"/>
      <c r="TPS159" s="407"/>
      <c r="TPT159" s="406"/>
      <c r="TPU159" s="407"/>
      <c r="TPV159" s="407"/>
      <c r="TPW159" s="407"/>
      <c r="TPX159" s="407"/>
      <c r="TPY159" s="407"/>
      <c r="TPZ159" s="406"/>
      <c r="TQA159" s="407"/>
      <c r="TQB159" s="407"/>
      <c r="TQC159" s="407"/>
      <c r="TQD159" s="407"/>
      <c r="TQE159" s="407"/>
      <c r="TQF159" s="406"/>
      <c r="TQG159" s="407"/>
      <c r="TQH159" s="407"/>
      <c r="TQI159" s="407"/>
      <c r="TQJ159" s="407"/>
      <c r="TQK159" s="407"/>
      <c r="TQL159" s="406"/>
      <c r="TQM159" s="407"/>
      <c r="TQN159" s="407"/>
      <c r="TQO159" s="407"/>
      <c r="TQP159" s="407"/>
      <c r="TQQ159" s="407"/>
      <c r="TQR159" s="406"/>
      <c r="TQS159" s="407"/>
      <c r="TQT159" s="407"/>
      <c r="TQU159" s="407"/>
      <c r="TQV159" s="407"/>
      <c r="TQW159" s="407"/>
      <c r="TQX159" s="406"/>
      <c r="TQY159" s="407"/>
      <c r="TQZ159" s="407"/>
      <c r="TRA159" s="407"/>
      <c r="TRB159" s="407"/>
      <c r="TRC159" s="407"/>
      <c r="TRD159" s="406"/>
      <c r="TRE159" s="407"/>
      <c r="TRF159" s="407"/>
      <c r="TRG159" s="407"/>
      <c r="TRH159" s="407"/>
      <c r="TRI159" s="407"/>
      <c r="TRJ159" s="406"/>
      <c r="TRK159" s="407"/>
      <c r="TRL159" s="407"/>
      <c r="TRM159" s="407"/>
      <c r="TRN159" s="407"/>
      <c r="TRO159" s="407"/>
      <c r="TRP159" s="406"/>
      <c r="TRQ159" s="407"/>
      <c r="TRR159" s="407"/>
      <c r="TRS159" s="407"/>
      <c r="TRT159" s="407"/>
      <c r="TRU159" s="407"/>
      <c r="TRV159" s="406"/>
      <c r="TRW159" s="407"/>
      <c r="TRX159" s="407"/>
      <c r="TRY159" s="407"/>
      <c r="TRZ159" s="407"/>
      <c r="TSA159" s="407"/>
      <c r="TSB159" s="406"/>
      <c r="TSC159" s="407"/>
      <c r="TSD159" s="407"/>
      <c r="TSE159" s="407"/>
      <c r="TSF159" s="407"/>
      <c r="TSG159" s="407"/>
      <c r="TSH159" s="406"/>
      <c r="TSI159" s="407"/>
      <c r="TSJ159" s="407"/>
      <c r="TSK159" s="407"/>
      <c r="TSL159" s="407"/>
      <c r="TSM159" s="407"/>
      <c r="TSN159" s="406"/>
      <c r="TSO159" s="407"/>
      <c r="TSP159" s="407"/>
      <c r="TSQ159" s="407"/>
      <c r="TSR159" s="407"/>
      <c r="TSS159" s="407"/>
      <c r="TST159" s="406"/>
      <c r="TSU159" s="407"/>
      <c r="TSV159" s="407"/>
      <c r="TSW159" s="407"/>
      <c r="TSX159" s="407"/>
      <c r="TSY159" s="407"/>
      <c r="TSZ159" s="406"/>
      <c r="TTA159" s="407"/>
      <c r="TTB159" s="407"/>
      <c r="TTC159" s="407"/>
      <c r="TTD159" s="407"/>
      <c r="TTE159" s="407"/>
      <c r="TTF159" s="406"/>
      <c r="TTG159" s="407"/>
      <c r="TTH159" s="407"/>
      <c r="TTI159" s="407"/>
      <c r="TTJ159" s="407"/>
      <c r="TTK159" s="407"/>
      <c r="TTL159" s="406"/>
      <c r="TTM159" s="407"/>
      <c r="TTN159" s="407"/>
      <c r="TTO159" s="407"/>
      <c r="TTP159" s="407"/>
      <c r="TTQ159" s="407"/>
      <c r="TTR159" s="406"/>
      <c r="TTS159" s="407"/>
      <c r="TTT159" s="407"/>
      <c r="TTU159" s="407"/>
      <c r="TTV159" s="407"/>
      <c r="TTW159" s="407"/>
      <c r="TTX159" s="406"/>
      <c r="TTY159" s="407"/>
      <c r="TTZ159" s="407"/>
      <c r="TUA159" s="407"/>
      <c r="TUB159" s="407"/>
      <c r="TUC159" s="407"/>
      <c r="TUD159" s="406"/>
      <c r="TUE159" s="407"/>
      <c r="TUF159" s="407"/>
      <c r="TUG159" s="407"/>
      <c r="TUH159" s="407"/>
      <c r="TUI159" s="407"/>
      <c r="TUJ159" s="406"/>
      <c r="TUK159" s="407"/>
      <c r="TUL159" s="407"/>
      <c r="TUM159" s="407"/>
      <c r="TUN159" s="407"/>
      <c r="TUO159" s="407"/>
      <c r="TUP159" s="406"/>
      <c r="TUQ159" s="407"/>
      <c r="TUR159" s="407"/>
      <c r="TUS159" s="407"/>
      <c r="TUT159" s="407"/>
      <c r="TUU159" s="407"/>
      <c r="TUV159" s="406"/>
      <c r="TUW159" s="407"/>
      <c r="TUX159" s="407"/>
      <c r="TUY159" s="407"/>
      <c r="TUZ159" s="407"/>
      <c r="TVA159" s="407"/>
      <c r="TVB159" s="406"/>
      <c r="TVC159" s="407"/>
      <c r="TVD159" s="407"/>
      <c r="TVE159" s="407"/>
      <c r="TVF159" s="407"/>
      <c r="TVG159" s="407"/>
      <c r="TVH159" s="406"/>
      <c r="TVI159" s="407"/>
      <c r="TVJ159" s="407"/>
      <c r="TVK159" s="407"/>
      <c r="TVL159" s="407"/>
      <c r="TVM159" s="407"/>
      <c r="TVN159" s="406"/>
      <c r="TVO159" s="407"/>
      <c r="TVP159" s="407"/>
      <c r="TVQ159" s="407"/>
      <c r="TVR159" s="407"/>
      <c r="TVS159" s="407"/>
      <c r="TVT159" s="406"/>
      <c r="TVU159" s="407"/>
      <c r="TVV159" s="407"/>
      <c r="TVW159" s="407"/>
      <c r="TVX159" s="407"/>
      <c r="TVY159" s="407"/>
      <c r="TVZ159" s="406"/>
      <c r="TWA159" s="407"/>
      <c r="TWB159" s="407"/>
      <c r="TWC159" s="407"/>
      <c r="TWD159" s="407"/>
      <c r="TWE159" s="407"/>
      <c r="TWF159" s="406"/>
      <c r="TWG159" s="407"/>
      <c r="TWH159" s="407"/>
      <c r="TWI159" s="407"/>
      <c r="TWJ159" s="407"/>
      <c r="TWK159" s="407"/>
      <c r="TWL159" s="406"/>
      <c r="TWM159" s="407"/>
      <c r="TWN159" s="407"/>
      <c r="TWO159" s="407"/>
      <c r="TWP159" s="407"/>
      <c r="TWQ159" s="407"/>
      <c r="TWR159" s="406"/>
      <c r="TWS159" s="407"/>
      <c r="TWT159" s="407"/>
      <c r="TWU159" s="407"/>
      <c r="TWV159" s="407"/>
      <c r="TWW159" s="407"/>
      <c r="TWX159" s="406"/>
      <c r="TWY159" s="407"/>
      <c r="TWZ159" s="407"/>
      <c r="TXA159" s="407"/>
      <c r="TXB159" s="407"/>
      <c r="TXC159" s="407"/>
      <c r="TXD159" s="406"/>
      <c r="TXE159" s="407"/>
      <c r="TXF159" s="407"/>
      <c r="TXG159" s="407"/>
      <c r="TXH159" s="407"/>
      <c r="TXI159" s="407"/>
      <c r="TXJ159" s="406"/>
      <c r="TXK159" s="407"/>
      <c r="TXL159" s="407"/>
      <c r="TXM159" s="407"/>
      <c r="TXN159" s="407"/>
      <c r="TXO159" s="407"/>
      <c r="TXP159" s="406"/>
      <c r="TXQ159" s="407"/>
      <c r="TXR159" s="407"/>
      <c r="TXS159" s="407"/>
      <c r="TXT159" s="407"/>
      <c r="TXU159" s="407"/>
      <c r="TXV159" s="406"/>
      <c r="TXW159" s="407"/>
      <c r="TXX159" s="407"/>
      <c r="TXY159" s="407"/>
      <c r="TXZ159" s="407"/>
      <c r="TYA159" s="407"/>
      <c r="TYB159" s="406"/>
      <c r="TYC159" s="407"/>
      <c r="TYD159" s="407"/>
      <c r="TYE159" s="407"/>
      <c r="TYF159" s="407"/>
      <c r="TYG159" s="407"/>
      <c r="TYH159" s="406"/>
      <c r="TYI159" s="407"/>
      <c r="TYJ159" s="407"/>
      <c r="TYK159" s="407"/>
      <c r="TYL159" s="407"/>
      <c r="TYM159" s="407"/>
      <c r="TYN159" s="406"/>
      <c r="TYO159" s="407"/>
      <c r="TYP159" s="407"/>
      <c r="TYQ159" s="407"/>
      <c r="TYR159" s="407"/>
      <c r="TYS159" s="407"/>
      <c r="TYT159" s="406"/>
      <c r="TYU159" s="407"/>
      <c r="TYV159" s="407"/>
      <c r="TYW159" s="407"/>
      <c r="TYX159" s="407"/>
      <c r="TYY159" s="407"/>
      <c r="TYZ159" s="406"/>
      <c r="TZA159" s="407"/>
      <c r="TZB159" s="407"/>
      <c r="TZC159" s="407"/>
      <c r="TZD159" s="407"/>
      <c r="TZE159" s="407"/>
      <c r="TZF159" s="406"/>
      <c r="TZG159" s="407"/>
      <c r="TZH159" s="407"/>
      <c r="TZI159" s="407"/>
      <c r="TZJ159" s="407"/>
      <c r="TZK159" s="407"/>
      <c r="TZL159" s="406"/>
      <c r="TZM159" s="407"/>
      <c r="TZN159" s="407"/>
      <c r="TZO159" s="407"/>
      <c r="TZP159" s="407"/>
      <c r="TZQ159" s="407"/>
      <c r="TZR159" s="406"/>
      <c r="TZS159" s="407"/>
      <c r="TZT159" s="407"/>
      <c r="TZU159" s="407"/>
      <c r="TZV159" s="407"/>
      <c r="TZW159" s="407"/>
      <c r="TZX159" s="406"/>
      <c r="TZY159" s="407"/>
      <c r="TZZ159" s="407"/>
      <c r="UAA159" s="407"/>
      <c r="UAB159" s="407"/>
      <c r="UAC159" s="407"/>
      <c r="UAD159" s="406"/>
      <c r="UAE159" s="407"/>
      <c r="UAF159" s="407"/>
      <c r="UAG159" s="407"/>
      <c r="UAH159" s="407"/>
      <c r="UAI159" s="407"/>
      <c r="UAJ159" s="406"/>
      <c r="UAK159" s="407"/>
      <c r="UAL159" s="407"/>
      <c r="UAM159" s="407"/>
      <c r="UAN159" s="407"/>
      <c r="UAO159" s="407"/>
      <c r="UAP159" s="406"/>
      <c r="UAQ159" s="407"/>
      <c r="UAR159" s="407"/>
      <c r="UAS159" s="407"/>
      <c r="UAT159" s="407"/>
      <c r="UAU159" s="407"/>
      <c r="UAV159" s="406"/>
      <c r="UAW159" s="407"/>
      <c r="UAX159" s="407"/>
      <c r="UAY159" s="407"/>
      <c r="UAZ159" s="407"/>
      <c r="UBA159" s="407"/>
      <c r="UBB159" s="406"/>
      <c r="UBC159" s="407"/>
      <c r="UBD159" s="407"/>
      <c r="UBE159" s="407"/>
      <c r="UBF159" s="407"/>
      <c r="UBG159" s="407"/>
      <c r="UBH159" s="406"/>
      <c r="UBI159" s="407"/>
      <c r="UBJ159" s="407"/>
      <c r="UBK159" s="407"/>
      <c r="UBL159" s="407"/>
      <c r="UBM159" s="407"/>
      <c r="UBN159" s="406"/>
      <c r="UBO159" s="407"/>
      <c r="UBP159" s="407"/>
      <c r="UBQ159" s="407"/>
      <c r="UBR159" s="407"/>
      <c r="UBS159" s="407"/>
      <c r="UBT159" s="406"/>
      <c r="UBU159" s="407"/>
      <c r="UBV159" s="407"/>
      <c r="UBW159" s="407"/>
      <c r="UBX159" s="407"/>
      <c r="UBY159" s="407"/>
      <c r="UBZ159" s="406"/>
      <c r="UCA159" s="407"/>
      <c r="UCB159" s="407"/>
      <c r="UCC159" s="407"/>
      <c r="UCD159" s="407"/>
      <c r="UCE159" s="407"/>
      <c r="UCF159" s="406"/>
      <c r="UCG159" s="407"/>
      <c r="UCH159" s="407"/>
      <c r="UCI159" s="407"/>
      <c r="UCJ159" s="407"/>
      <c r="UCK159" s="407"/>
      <c r="UCL159" s="406"/>
      <c r="UCM159" s="407"/>
      <c r="UCN159" s="407"/>
      <c r="UCO159" s="407"/>
      <c r="UCP159" s="407"/>
      <c r="UCQ159" s="407"/>
      <c r="UCR159" s="406"/>
      <c r="UCS159" s="407"/>
      <c r="UCT159" s="407"/>
      <c r="UCU159" s="407"/>
      <c r="UCV159" s="407"/>
      <c r="UCW159" s="407"/>
      <c r="UCX159" s="406"/>
      <c r="UCY159" s="407"/>
      <c r="UCZ159" s="407"/>
      <c r="UDA159" s="407"/>
      <c r="UDB159" s="407"/>
      <c r="UDC159" s="407"/>
      <c r="UDD159" s="406"/>
      <c r="UDE159" s="407"/>
      <c r="UDF159" s="407"/>
      <c r="UDG159" s="407"/>
      <c r="UDH159" s="407"/>
      <c r="UDI159" s="407"/>
      <c r="UDJ159" s="406"/>
      <c r="UDK159" s="407"/>
      <c r="UDL159" s="407"/>
      <c r="UDM159" s="407"/>
      <c r="UDN159" s="407"/>
      <c r="UDO159" s="407"/>
      <c r="UDP159" s="406"/>
      <c r="UDQ159" s="407"/>
      <c r="UDR159" s="407"/>
      <c r="UDS159" s="407"/>
      <c r="UDT159" s="407"/>
      <c r="UDU159" s="407"/>
      <c r="UDV159" s="406"/>
      <c r="UDW159" s="407"/>
      <c r="UDX159" s="407"/>
      <c r="UDY159" s="407"/>
      <c r="UDZ159" s="407"/>
      <c r="UEA159" s="407"/>
      <c r="UEB159" s="406"/>
      <c r="UEC159" s="407"/>
      <c r="UED159" s="407"/>
      <c r="UEE159" s="407"/>
      <c r="UEF159" s="407"/>
      <c r="UEG159" s="407"/>
      <c r="UEH159" s="406"/>
      <c r="UEI159" s="407"/>
      <c r="UEJ159" s="407"/>
      <c r="UEK159" s="407"/>
      <c r="UEL159" s="407"/>
      <c r="UEM159" s="407"/>
      <c r="UEN159" s="406"/>
      <c r="UEO159" s="407"/>
      <c r="UEP159" s="407"/>
      <c r="UEQ159" s="407"/>
      <c r="UER159" s="407"/>
      <c r="UES159" s="407"/>
      <c r="UET159" s="406"/>
      <c r="UEU159" s="407"/>
      <c r="UEV159" s="407"/>
      <c r="UEW159" s="407"/>
      <c r="UEX159" s="407"/>
      <c r="UEY159" s="407"/>
      <c r="UEZ159" s="406"/>
      <c r="UFA159" s="407"/>
      <c r="UFB159" s="407"/>
      <c r="UFC159" s="407"/>
      <c r="UFD159" s="407"/>
      <c r="UFE159" s="407"/>
      <c r="UFF159" s="406"/>
      <c r="UFG159" s="407"/>
      <c r="UFH159" s="407"/>
      <c r="UFI159" s="407"/>
      <c r="UFJ159" s="407"/>
      <c r="UFK159" s="407"/>
      <c r="UFL159" s="406"/>
      <c r="UFM159" s="407"/>
      <c r="UFN159" s="407"/>
      <c r="UFO159" s="407"/>
      <c r="UFP159" s="407"/>
      <c r="UFQ159" s="407"/>
      <c r="UFR159" s="406"/>
      <c r="UFS159" s="407"/>
      <c r="UFT159" s="407"/>
      <c r="UFU159" s="407"/>
      <c r="UFV159" s="407"/>
      <c r="UFW159" s="407"/>
      <c r="UFX159" s="406"/>
      <c r="UFY159" s="407"/>
      <c r="UFZ159" s="407"/>
      <c r="UGA159" s="407"/>
      <c r="UGB159" s="407"/>
      <c r="UGC159" s="407"/>
      <c r="UGD159" s="406"/>
      <c r="UGE159" s="407"/>
      <c r="UGF159" s="407"/>
      <c r="UGG159" s="407"/>
      <c r="UGH159" s="407"/>
      <c r="UGI159" s="407"/>
      <c r="UGJ159" s="406"/>
      <c r="UGK159" s="407"/>
      <c r="UGL159" s="407"/>
      <c r="UGM159" s="407"/>
      <c r="UGN159" s="407"/>
      <c r="UGO159" s="407"/>
      <c r="UGP159" s="406"/>
      <c r="UGQ159" s="407"/>
      <c r="UGR159" s="407"/>
      <c r="UGS159" s="407"/>
      <c r="UGT159" s="407"/>
      <c r="UGU159" s="407"/>
      <c r="UGV159" s="406"/>
      <c r="UGW159" s="407"/>
      <c r="UGX159" s="407"/>
      <c r="UGY159" s="407"/>
      <c r="UGZ159" s="407"/>
      <c r="UHA159" s="407"/>
      <c r="UHB159" s="406"/>
      <c r="UHC159" s="407"/>
      <c r="UHD159" s="407"/>
      <c r="UHE159" s="407"/>
      <c r="UHF159" s="407"/>
      <c r="UHG159" s="407"/>
      <c r="UHH159" s="406"/>
      <c r="UHI159" s="407"/>
      <c r="UHJ159" s="407"/>
      <c r="UHK159" s="407"/>
      <c r="UHL159" s="407"/>
      <c r="UHM159" s="407"/>
      <c r="UHN159" s="406"/>
      <c r="UHO159" s="407"/>
      <c r="UHP159" s="407"/>
      <c r="UHQ159" s="407"/>
      <c r="UHR159" s="407"/>
      <c r="UHS159" s="407"/>
      <c r="UHT159" s="406"/>
      <c r="UHU159" s="407"/>
      <c r="UHV159" s="407"/>
      <c r="UHW159" s="407"/>
      <c r="UHX159" s="407"/>
      <c r="UHY159" s="407"/>
      <c r="UHZ159" s="406"/>
      <c r="UIA159" s="407"/>
      <c r="UIB159" s="407"/>
      <c r="UIC159" s="407"/>
      <c r="UID159" s="407"/>
      <c r="UIE159" s="407"/>
      <c r="UIF159" s="406"/>
      <c r="UIG159" s="407"/>
      <c r="UIH159" s="407"/>
      <c r="UII159" s="407"/>
      <c r="UIJ159" s="407"/>
      <c r="UIK159" s="407"/>
      <c r="UIL159" s="406"/>
      <c r="UIM159" s="407"/>
      <c r="UIN159" s="407"/>
      <c r="UIO159" s="407"/>
      <c r="UIP159" s="407"/>
      <c r="UIQ159" s="407"/>
      <c r="UIR159" s="406"/>
      <c r="UIS159" s="407"/>
      <c r="UIT159" s="407"/>
      <c r="UIU159" s="407"/>
      <c r="UIV159" s="407"/>
      <c r="UIW159" s="407"/>
      <c r="UIX159" s="406"/>
      <c r="UIY159" s="407"/>
      <c r="UIZ159" s="407"/>
      <c r="UJA159" s="407"/>
      <c r="UJB159" s="407"/>
      <c r="UJC159" s="407"/>
      <c r="UJD159" s="406"/>
      <c r="UJE159" s="407"/>
      <c r="UJF159" s="407"/>
      <c r="UJG159" s="407"/>
      <c r="UJH159" s="407"/>
      <c r="UJI159" s="407"/>
      <c r="UJJ159" s="406"/>
      <c r="UJK159" s="407"/>
      <c r="UJL159" s="407"/>
      <c r="UJM159" s="407"/>
      <c r="UJN159" s="407"/>
      <c r="UJO159" s="407"/>
      <c r="UJP159" s="406"/>
      <c r="UJQ159" s="407"/>
      <c r="UJR159" s="407"/>
      <c r="UJS159" s="407"/>
      <c r="UJT159" s="407"/>
      <c r="UJU159" s="407"/>
      <c r="UJV159" s="406"/>
      <c r="UJW159" s="407"/>
      <c r="UJX159" s="407"/>
      <c r="UJY159" s="407"/>
      <c r="UJZ159" s="407"/>
      <c r="UKA159" s="407"/>
      <c r="UKB159" s="406"/>
      <c r="UKC159" s="407"/>
      <c r="UKD159" s="407"/>
      <c r="UKE159" s="407"/>
      <c r="UKF159" s="407"/>
      <c r="UKG159" s="407"/>
      <c r="UKH159" s="406"/>
      <c r="UKI159" s="407"/>
      <c r="UKJ159" s="407"/>
      <c r="UKK159" s="407"/>
      <c r="UKL159" s="407"/>
      <c r="UKM159" s="407"/>
      <c r="UKN159" s="406"/>
      <c r="UKO159" s="407"/>
      <c r="UKP159" s="407"/>
      <c r="UKQ159" s="407"/>
      <c r="UKR159" s="407"/>
      <c r="UKS159" s="407"/>
      <c r="UKT159" s="406"/>
      <c r="UKU159" s="407"/>
      <c r="UKV159" s="407"/>
      <c r="UKW159" s="407"/>
      <c r="UKX159" s="407"/>
      <c r="UKY159" s="407"/>
      <c r="UKZ159" s="406"/>
      <c r="ULA159" s="407"/>
      <c r="ULB159" s="407"/>
      <c r="ULC159" s="407"/>
      <c r="ULD159" s="407"/>
      <c r="ULE159" s="407"/>
      <c r="ULF159" s="406"/>
      <c r="ULG159" s="407"/>
      <c r="ULH159" s="407"/>
      <c r="ULI159" s="407"/>
      <c r="ULJ159" s="407"/>
      <c r="ULK159" s="407"/>
      <c r="ULL159" s="406"/>
      <c r="ULM159" s="407"/>
      <c r="ULN159" s="407"/>
      <c r="ULO159" s="407"/>
      <c r="ULP159" s="407"/>
      <c r="ULQ159" s="407"/>
      <c r="ULR159" s="406"/>
      <c r="ULS159" s="407"/>
      <c r="ULT159" s="407"/>
      <c r="ULU159" s="407"/>
      <c r="ULV159" s="407"/>
      <c r="ULW159" s="407"/>
      <c r="ULX159" s="406"/>
      <c r="ULY159" s="407"/>
      <c r="ULZ159" s="407"/>
      <c r="UMA159" s="407"/>
      <c r="UMB159" s="407"/>
      <c r="UMC159" s="407"/>
      <c r="UMD159" s="406"/>
      <c r="UME159" s="407"/>
      <c r="UMF159" s="407"/>
      <c r="UMG159" s="407"/>
      <c r="UMH159" s="407"/>
      <c r="UMI159" s="407"/>
      <c r="UMJ159" s="406"/>
      <c r="UMK159" s="407"/>
      <c r="UML159" s="407"/>
      <c r="UMM159" s="407"/>
      <c r="UMN159" s="407"/>
      <c r="UMO159" s="407"/>
      <c r="UMP159" s="406"/>
      <c r="UMQ159" s="407"/>
      <c r="UMR159" s="407"/>
      <c r="UMS159" s="407"/>
      <c r="UMT159" s="407"/>
      <c r="UMU159" s="407"/>
      <c r="UMV159" s="406"/>
      <c r="UMW159" s="407"/>
      <c r="UMX159" s="407"/>
      <c r="UMY159" s="407"/>
      <c r="UMZ159" s="407"/>
      <c r="UNA159" s="407"/>
      <c r="UNB159" s="406"/>
      <c r="UNC159" s="407"/>
      <c r="UND159" s="407"/>
      <c r="UNE159" s="407"/>
      <c r="UNF159" s="407"/>
      <c r="UNG159" s="407"/>
      <c r="UNH159" s="406"/>
      <c r="UNI159" s="407"/>
      <c r="UNJ159" s="407"/>
      <c r="UNK159" s="407"/>
      <c r="UNL159" s="407"/>
      <c r="UNM159" s="407"/>
      <c r="UNN159" s="406"/>
      <c r="UNO159" s="407"/>
      <c r="UNP159" s="407"/>
      <c r="UNQ159" s="407"/>
      <c r="UNR159" s="407"/>
      <c r="UNS159" s="407"/>
      <c r="UNT159" s="406"/>
      <c r="UNU159" s="407"/>
      <c r="UNV159" s="407"/>
      <c r="UNW159" s="407"/>
      <c r="UNX159" s="407"/>
      <c r="UNY159" s="407"/>
      <c r="UNZ159" s="406"/>
      <c r="UOA159" s="407"/>
      <c r="UOB159" s="407"/>
      <c r="UOC159" s="407"/>
      <c r="UOD159" s="407"/>
      <c r="UOE159" s="407"/>
      <c r="UOF159" s="406"/>
      <c r="UOG159" s="407"/>
      <c r="UOH159" s="407"/>
      <c r="UOI159" s="407"/>
      <c r="UOJ159" s="407"/>
      <c r="UOK159" s="407"/>
      <c r="UOL159" s="406"/>
      <c r="UOM159" s="407"/>
      <c r="UON159" s="407"/>
      <c r="UOO159" s="407"/>
      <c r="UOP159" s="407"/>
      <c r="UOQ159" s="407"/>
      <c r="UOR159" s="406"/>
      <c r="UOS159" s="407"/>
      <c r="UOT159" s="407"/>
      <c r="UOU159" s="407"/>
      <c r="UOV159" s="407"/>
      <c r="UOW159" s="407"/>
      <c r="UOX159" s="406"/>
      <c r="UOY159" s="407"/>
      <c r="UOZ159" s="407"/>
      <c r="UPA159" s="407"/>
      <c r="UPB159" s="407"/>
      <c r="UPC159" s="407"/>
      <c r="UPD159" s="406"/>
      <c r="UPE159" s="407"/>
      <c r="UPF159" s="407"/>
      <c r="UPG159" s="407"/>
      <c r="UPH159" s="407"/>
      <c r="UPI159" s="407"/>
      <c r="UPJ159" s="406"/>
      <c r="UPK159" s="407"/>
      <c r="UPL159" s="407"/>
      <c r="UPM159" s="407"/>
      <c r="UPN159" s="407"/>
      <c r="UPO159" s="407"/>
      <c r="UPP159" s="406"/>
      <c r="UPQ159" s="407"/>
      <c r="UPR159" s="407"/>
      <c r="UPS159" s="407"/>
      <c r="UPT159" s="407"/>
      <c r="UPU159" s="407"/>
      <c r="UPV159" s="406"/>
      <c r="UPW159" s="407"/>
      <c r="UPX159" s="407"/>
      <c r="UPY159" s="407"/>
      <c r="UPZ159" s="407"/>
      <c r="UQA159" s="407"/>
      <c r="UQB159" s="406"/>
      <c r="UQC159" s="407"/>
      <c r="UQD159" s="407"/>
      <c r="UQE159" s="407"/>
      <c r="UQF159" s="407"/>
      <c r="UQG159" s="407"/>
      <c r="UQH159" s="406"/>
      <c r="UQI159" s="407"/>
      <c r="UQJ159" s="407"/>
      <c r="UQK159" s="407"/>
      <c r="UQL159" s="407"/>
      <c r="UQM159" s="407"/>
      <c r="UQN159" s="406"/>
      <c r="UQO159" s="407"/>
      <c r="UQP159" s="407"/>
      <c r="UQQ159" s="407"/>
      <c r="UQR159" s="407"/>
      <c r="UQS159" s="407"/>
      <c r="UQT159" s="406"/>
      <c r="UQU159" s="407"/>
      <c r="UQV159" s="407"/>
      <c r="UQW159" s="407"/>
      <c r="UQX159" s="407"/>
      <c r="UQY159" s="407"/>
      <c r="UQZ159" s="406"/>
      <c r="URA159" s="407"/>
      <c r="URB159" s="407"/>
      <c r="URC159" s="407"/>
      <c r="URD159" s="407"/>
      <c r="URE159" s="407"/>
      <c r="URF159" s="406"/>
      <c r="URG159" s="407"/>
      <c r="URH159" s="407"/>
      <c r="URI159" s="407"/>
      <c r="URJ159" s="407"/>
      <c r="URK159" s="407"/>
      <c r="URL159" s="406"/>
      <c r="URM159" s="407"/>
      <c r="URN159" s="407"/>
      <c r="URO159" s="407"/>
      <c r="URP159" s="407"/>
      <c r="URQ159" s="407"/>
      <c r="URR159" s="406"/>
      <c r="URS159" s="407"/>
      <c r="URT159" s="407"/>
      <c r="URU159" s="407"/>
      <c r="URV159" s="407"/>
      <c r="URW159" s="407"/>
      <c r="URX159" s="406"/>
      <c r="URY159" s="407"/>
      <c r="URZ159" s="407"/>
      <c r="USA159" s="407"/>
      <c r="USB159" s="407"/>
      <c r="USC159" s="407"/>
      <c r="USD159" s="406"/>
      <c r="USE159" s="407"/>
      <c r="USF159" s="407"/>
      <c r="USG159" s="407"/>
      <c r="USH159" s="407"/>
      <c r="USI159" s="407"/>
      <c r="USJ159" s="406"/>
      <c r="USK159" s="407"/>
      <c r="USL159" s="407"/>
      <c r="USM159" s="407"/>
      <c r="USN159" s="407"/>
      <c r="USO159" s="407"/>
      <c r="USP159" s="406"/>
      <c r="USQ159" s="407"/>
      <c r="USR159" s="407"/>
      <c r="USS159" s="407"/>
      <c r="UST159" s="407"/>
      <c r="USU159" s="407"/>
      <c r="USV159" s="406"/>
      <c r="USW159" s="407"/>
      <c r="USX159" s="407"/>
      <c r="USY159" s="407"/>
      <c r="USZ159" s="407"/>
      <c r="UTA159" s="407"/>
      <c r="UTB159" s="406"/>
      <c r="UTC159" s="407"/>
      <c r="UTD159" s="407"/>
      <c r="UTE159" s="407"/>
      <c r="UTF159" s="407"/>
      <c r="UTG159" s="407"/>
      <c r="UTH159" s="406"/>
      <c r="UTI159" s="407"/>
      <c r="UTJ159" s="407"/>
      <c r="UTK159" s="407"/>
      <c r="UTL159" s="407"/>
      <c r="UTM159" s="407"/>
      <c r="UTN159" s="406"/>
      <c r="UTO159" s="407"/>
      <c r="UTP159" s="407"/>
      <c r="UTQ159" s="407"/>
      <c r="UTR159" s="407"/>
      <c r="UTS159" s="407"/>
      <c r="UTT159" s="406"/>
      <c r="UTU159" s="407"/>
      <c r="UTV159" s="407"/>
      <c r="UTW159" s="407"/>
      <c r="UTX159" s="407"/>
      <c r="UTY159" s="407"/>
      <c r="UTZ159" s="406"/>
      <c r="UUA159" s="407"/>
      <c r="UUB159" s="407"/>
      <c r="UUC159" s="407"/>
      <c r="UUD159" s="407"/>
      <c r="UUE159" s="407"/>
      <c r="UUF159" s="406"/>
      <c r="UUG159" s="407"/>
      <c r="UUH159" s="407"/>
      <c r="UUI159" s="407"/>
      <c r="UUJ159" s="407"/>
      <c r="UUK159" s="407"/>
      <c r="UUL159" s="406"/>
      <c r="UUM159" s="407"/>
      <c r="UUN159" s="407"/>
      <c r="UUO159" s="407"/>
      <c r="UUP159" s="407"/>
      <c r="UUQ159" s="407"/>
      <c r="UUR159" s="406"/>
      <c r="UUS159" s="407"/>
      <c r="UUT159" s="407"/>
      <c r="UUU159" s="407"/>
      <c r="UUV159" s="407"/>
      <c r="UUW159" s="407"/>
      <c r="UUX159" s="406"/>
      <c r="UUY159" s="407"/>
      <c r="UUZ159" s="407"/>
      <c r="UVA159" s="407"/>
      <c r="UVB159" s="407"/>
      <c r="UVC159" s="407"/>
      <c r="UVD159" s="406"/>
      <c r="UVE159" s="407"/>
      <c r="UVF159" s="407"/>
      <c r="UVG159" s="407"/>
      <c r="UVH159" s="407"/>
      <c r="UVI159" s="407"/>
      <c r="UVJ159" s="406"/>
      <c r="UVK159" s="407"/>
      <c r="UVL159" s="407"/>
      <c r="UVM159" s="407"/>
      <c r="UVN159" s="407"/>
      <c r="UVO159" s="407"/>
      <c r="UVP159" s="406"/>
      <c r="UVQ159" s="407"/>
      <c r="UVR159" s="407"/>
      <c r="UVS159" s="407"/>
      <c r="UVT159" s="407"/>
      <c r="UVU159" s="407"/>
      <c r="UVV159" s="406"/>
      <c r="UVW159" s="407"/>
      <c r="UVX159" s="407"/>
      <c r="UVY159" s="407"/>
      <c r="UVZ159" s="407"/>
      <c r="UWA159" s="407"/>
      <c r="UWB159" s="406"/>
      <c r="UWC159" s="407"/>
      <c r="UWD159" s="407"/>
      <c r="UWE159" s="407"/>
      <c r="UWF159" s="407"/>
      <c r="UWG159" s="407"/>
      <c r="UWH159" s="406"/>
      <c r="UWI159" s="407"/>
      <c r="UWJ159" s="407"/>
      <c r="UWK159" s="407"/>
      <c r="UWL159" s="407"/>
      <c r="UWM159" s="407"/>
      <c r="UWN159" s="406"/>
      <c r="UWO159" s="407"/>
      <c r="UWP159" s="407"/>
      <c r="UWQ159" s="407"/>
      <c r="UWR159" s="407"/>
      <c r="UWS159" s="407"/>
      <c r="UWT159" s="406"/>
      <c r="UWU159" s="407"/>
      <c r="UWV159" s="407"/>
      <c r="UWW159" s="407"/>
      <c r="UWX159" s="407"/>
      <c r="UWY159" s="407"/>
      <c r="UWZ159" s="406"/>
      <c r="UXA159" s="407"/>
      <c r="UXB159" s="407"/>
      <c r="UXC159" s="407"/>
      <c r="UXD159" s="407"/>
      <c r="UXE159" s="407"/>
      <c r="UXF159" s="406"/>
      <c r="UXG159" s="407"/>
      <c r="UXH159" s="407"/>
      <c r="UXI159" s="407"/>
      <c r="UXJ159" s="407"/>
      <c r="UXK159" s="407"/>
      <c r="UXL159" s="406"/>
      <c r="UXM159" s="407"/>
      <c r="UXN159" s="407"/>
      <c r="UXO159" s="407"/>
      <c r="UXP159" s="407"/>
      <c r="UXQ159" s="407"/>
      <c r="UXR159" s="406"/>
      <c r="UXS159" s="407"/>
      <c r="UXT159" s="407"/>
      <c r="UXU159" s="407"/>
      <c r="UXV159" s="407"/>
      <c r="UXW159" s="407"/>
      <c r="UXX159" s="406"/>
      <c r="UXY159" s="407"/>
      <c r="UXZ159" s="407"/>
      <c r="UYA159" s="407"/>
      <c r="UYB159" s="407"/>
      <c r="UYC159" s="407"/>
      <c r="UYD159" s="406"/>
      <c r="UYE159" s="407"/>
      <c r="UYF159" s="407"/>
      <c r="UYG159" s="407"/>
      <c r="UYH159" s="407"/>
      <c r="UYI159" s="407"/>
      <c r="UYJ159" s="406"/>
      <c r="UYK159" s="407"/>
      <c r="UYL159" s="407"/>
      <c r="UYM159" s="407"/>
      <c r="UYN159" s="407"/>
      <c r="UYO159" s="407"/>
      <c r="UYP159" s="406"/>
      <c r="UYQ159" s="407"/>
      <c r="UYR159" s="407"/>
      <c r="UYS159" s="407"/>
      <c r="UYT159" s="407"/>
      <c r="UYU159" s="407"/>
      <c r="UYV159" s="406"/>
      <c r="UYW159" s="407"/>
      <c r="UYX159" s="407"/>
      <c r="UYY159" s="407"/>
      <c r="UYZ159" s="407"/>
      <c r="UZA159" s="407"/>
      <c r="UZB159" s="406"/>
      <c r="UZC159" s="407"/>
      <c r="UZD159" s="407"/>
      <c r="UZE159" s="407"/>
      <c r="UZF159" s="407"/>
      <c r="UZG159" s="407"/>
      <c r="UZH159" s="406"/>
      <c r="UZI159" s="407"/>
      <c r="UZJ159" s="407"/>
      <c r="UZK159" s="407"/>
      <c r="UZL159" s="407"/>
      <c r="UZM159" s="407"/>
      <c r="UZN159" s="406"/>
      <c r="UZO159" s="407"/>
      <c r="UZP159" s="407"/>
      <c r="UZQ159" s="407"/>
      <c r="UZR159" s="407"/>
      <c r="UZS159" s="407"/>
      <c r="UZT159" s="406"/>
      <c r="UZU159" s="407"/>
      <c r="UZV159" s="407"/>
      <c r="UZW159" s="407"/>
      <c r="UZX159" s="407"/>
      <c r="UZY159" s="407"/>
      <c r="UZZ159" s="406"/>
      <c r="VAA159" s="407"/>
      <c r="VAB159" s="407"/>
      <c r="VAC159" s="407"/>
      <c r="VAD159" s="407"/>
      <c r="VAE159" s="407"/>
      <c r="VAF159" s="406"/>
      <c r="VAG159" s="407"/>
      <c r="VAH159" s="407"/>
      <c r="VAI159" s="407"/>
      <c r="VAJ159" s="407"/>
      <c r="VAK159" s="407"/>
      <c r="VAL159" s="406"/>
      <c r="VAM159" s="407"/>
      <c r="VAN159" s="407"/>
      <c r="VAO159" s="407"/>
      <c r="VAP159" s="407"/>
      <c r="VAQ159" s="407"/>
      <c r="VAR159" s="406"/>
      <c r="VAS159" s="407"/>
      <c r="VAT159" s="407"/>
      <c r="VAU159" s="407"/>
      <c r="VAV159" s="407"/>
      <c r="VAW159" s="407"/>
      <c r="VAX159" s="406"/>
      <c r="VAY159" s="407"/>
      <c r="VAZ159" s="407"/>
      <c r="VBA159" s="407"/>
      <c r="VBB159" s="407"/>
      <c r="VBC159" s="407"/>
      <c r="VBD159" s="406"/>
      <c r="VBE159" s="407"/>
      <c r="VBF159" s="407"/>
      <c r="VBG159" s="407"/>
      <c r="VBH159" s="407"/>
      <c r="VBI159" s="407"/>
      <c r="VBJ159" s="406"/>
      <c r="VBK159" s="407"/>
      <c r="VBL159" s="407"/>
      <c r="VBM159" s="407"/>
      <c r="VBN159" s="407"/>
      <c r="VBO159" s="407"/>
      <c r="VBP159" s="406"/>
      <c r="VBQ159" s="407"/>
      <c r="VBR159" s="407"/>
      <c r="VBS159" s="407"/>
      <c r="VBT159" s="407"/>
      <c r="VBU159" s="407"/>
      <c r="VBV159" s="406"/>
      <c r="VBW159" s="407"/>
      <c r="VBX159" s="407"/>
      <c r="VBY159" s="407"/>
      <c r="VBZ159" s="407"/>
      <c r="VCA159" s="407"/>
      <c r="VCB159" s="406"/>
      <c r="VCC159" s="407"/>
      <c r="VCD159" s="407"/>
      <c r="VCE159" s="407"/>
      <c r="VCF159" s="407"/>
      <c r="VCG159" s="407"/>
      <c r="VCH159" s="406"/>
      <c r="VCI159" s="407"/>
      <c r="VCJ159" s="407"/>
      <c r="VCK159" s="407"/>
      <c r="VCL159" s="407"/>
      <c r="VCM159" s="407"/>
      <c r="VCN159" s="406"/>
      <c r="VCO159" s="407"/>
      <c r="VCP159" s="407"/>
      <c r="VCQ159" s="407"/>
      <c r="VCR159" s="407"/>
      <c r="VCS159" s="407"/>
      <c r="VCT159" s="406"/>
      <c r="VCU159" s="407"/>
      <c r="VCV159" s="407"/>
      <c r="VCW159" s="407"/>
      <c r="VCX159" s="407"/>
      <c r="VCY159" s="407"/>
      <c r="VCZ159" s="406"/>
      <c r="VDA159" s="407"/>
      <c r="VDB159" s="407"/>
      <c r="VDC159" s="407"/>
      <c r="VDD159" s="407"/>
      <c r="VDE159" s="407"/>
      <c r="VDF159" s="406"/>
      <c r="VDG159" s="407"/>
      <c r="VDH159" s="407"/>
      <c r="VDI159" s="407"/>
      <c r="VDJ159" s="407"/>
      <c r="VDK159" s="407"/>
      <c r="VDL159" s="406"/>
      <c r="VDM159" s="407"/>
      <c r="VDN159" s="407"/>
      <c r="VDO159" s="407"/>
      <c r="VDP159" s="407"/>
      <c r="VDQ159" s="407"/>
      <c r="VDR159" s="406"/>
      <c r="VDS159" s="407"/>
      <c r="VDT159" s="407"/>
      <c r="VDU159" s="407"/>
      <c r="VDV159" s="407"/>
      <c r="VDW159" s="407"/>
      <c r="VDX159" s="406"/>
      <c r="VDY159" s="407"/>
      <c r="VDZ159" s="407"/>
      <c r="VEA159" s="407"/>
      <c r="VEB159" s="407"/>
      <c r="VEC159" s="407"/>
      <c r="VED159" s="406"/>
      <c r="VEE159" s="407"/>
      <c r="VEF159" s="407"/>
      <c r="VEG159" s="407"/>
      <c r="VEH159" s="407"/>
      <c r="VEI159" s="407"/>
      <c r="VEJ159" s="406"/>
      <c r="VEK159" s="407"/>
      <c r="VEL159" s="407"/>
      <c r="VEM159" s="407"/>
      <c r="VEN159" s="407"/>
      <c r="VEO159" s="407"/>
      <c r="VEP159" s="406"/>
      <c r="VEQ159" s="407"/>
      <c r="VER159" s="407"/>
      <c r="VES159" s="407"/>
      <c r="VET159" s="407"/>
      <c r="VEU159" s="407"/>
      <c r="VEV159" s="406"/>
      <c r="VEW159" s="407"/>
      <c r="VEX159" s="407"/>
      <c r="VEY159" s="407"/>
      <c r="VEZ159" s="407"/>
      <c r="VFA159" s="407"/>
      <c r="VFB159" s="406"/>
      <c r="VFC159" s="407"/>
      <c r="VFD159" s="407"/>
      <c r="VFE159" s="407"/>
      <c r="VFF159" s="407"/>
      <c r="VFG159" s="407"/>
      <c r="VFH159" s="406"/>
      <c r="VFI159" s="407"/>
      <c r="VFJ159" s="407"/>
      <c r="VFK159" s="407"/>
      <c r="VFL159" s="407"/>
      <c r="VFM159" s="407"/>
      <c r="VFN159" s="406"/>
      <c r="VFO159" s="407"/>
      <c r="VFP159" s="407"/>
      <c r="VFQ159" s="407"/>
      <c r="VFR159" s="407"/>
      <c r="VFS159" s="407"/>
      <c r="VFT159" s="406"/>
      <c r="VFU159" s="407"/>
      <c r="VFV159" s="407"/>
      <c r="VFW159" s="407"/>
      <c r="VFX159" s="407"/>
      <c r="VFY159" s="407"/>
      <c r="VFZ159" s="406"/>
      <c r="VGA159" s="407"/>
      <c r="VGB159" s="407"/>
      <c r="VGC159" s="407"/>
      <c r="VGD159" s="407"/>
      <c r="VGE159" s="407"/>
      <c r="VGF159" s="406"/>
      <c r="VGG159" s="407"/>
      <c r="VGH159" s="407"/>
      <c r="VGI159" s="407"/>
      <c r="VGJ159" s="407"/>
      <c r="VGK159" s="407"/>
      <c r="VGL159" s="406"/>
      <c r="VGM159" s="407"/>
      <c r="VGN159" s="407"/>
      <c r="VGO159" s="407"/>
      <c r="VGP159" s="407"/>
      <c r="VGQ159" s="407"/>
      <c r="VGR159" s="406"/>
      <c r="VGS159" s="407"/>
      <c r="VGT159" s="407"/>
      <c r="VGU159" s="407"/>
      <c r="VGV159" s="407"/>
      <c r="VGW159" s="407"/>
      <c r="VGX159" s="406"/>
      <c r="VGY159" s="407"/>
      <c r="VGZ159" s="407"/>
      <c r="VHA159" s="407"/>
      <c r="VHB159" s="407"/>
      <c r="VHC159" s="407"/>
      <c r="VHD159" s="406"/>
      <c r="VHE159" s="407"/>
      <c r="VHF159" s="407"/>
      <c r="VHG159" s="407"/>
      <c r="VHH159" s="407"/>
      <c r="VHI159" s="407"/>
      <c r="VHJ159" s="406"/>
      <c r="VHK159" s="407"/>
      <c r="VHL159" s="407"/>
      <c r="VHM159" s="407"/>
      <c r="VHN159" s="407"/>
      <c r="VHO159" s="407"/>
      <c r="VHP159" s="406"/>
      <c r="VHQ159" s="407"/>
      <c r="VHR159" s="407"/>
      <c r="VHS159" s="407"/>
      <c r="VHT159" s="407"/>
      <c r="VHU159" s="407"/>
      <c r="VHV159" s="406"/>
      <c r="VHW159" s="407"/>
      <c r="VHX159" s="407"/>
      <c r="VHY159" s="407"/>
      <c r="VHZ159" s="407"/>
      <c r="VIA159" s="407"/>
      <c r="VIB159" s="406"/>
      <c r="VIC159" s="407"/>
      <c r="VID159" s="407"/>
      <c r="VIE159" s="407"/>
      <c r="VIF159" s="407"/>
      <c r="VIG159" s="407"/>
      <c r="VIH159" s="406"/>
      <c r="VII159" s="407"/>
      <c r="VIJ159" s="407"/>
      <c r="VIK159" s="407"/>
      <c r="VIL159" s="407"/>
      <c r="VIM159" s="407"/>
      <c r="VIN159" s="406"/>
      <c r="VIO159" s="407"/>
      <c r="VIP159" s="407"/>
      <c r="VIQ159" s="407"/>
      <c r="VIR159" s="407"/>
      <c r="VIS159" s="407"/>
      <c r="VIT159" s="406"/>
      <c r="VIU159" s="407"/>
      <c r="VIV159" s="407"/>
      <c r="VIW159" s="407"/>
      <c r="VIX159" s="407"/>
      <c r="VIY159" s="407"/>
      <c r="VIZ159" s="406"/>
      <c r="VJA159" s="407"/>
      <c r="VJB159" s="407"/>
      <c r="VJC159" s="407"/>
      <c r="VJD159" s="407"/>
      <c r="VJE159" s="407"/>
      <c r="VJF159" s="406"/>
      <c r="VJG159" s="407"/>
      <c r="VJH159" s="407"/>
      <c r="VJI159" s="407"/>
      <c r="VJJ159" s="407"/>
      <c r="VJK159" s="407"/>
      <c r="VJL159" s="406"/>
      <c r="VJM159" s="407"/>
      <c r="VJN159" s="407"/>
      <c r="VJO159" s="407"/>
      <c r="VJP159" s="407"/>
      <c r="VJQ159" s="407"/>
      <c r="VJR159" s="406"/>
      <c r="VJS159" s="407"/>
      <c r="VJT159" s="407"/>
      <c r="VJU159" s="407"/>
      <c r="VJV159" s="407"/>
      <c r="VJW159" s="407"/>
      <c r="VJX159" s="406"/>
      <c r="VJY159" s="407"/>
      <c r="VJZ159" s="407"/>
      <c r="VKA159" s="407"/>
      <c r="VKB159" s="407"/>
      <c r="VKC159" s="407"/>
      <c r="VKD159" s="406"/>
      <c r="VKE159" s="407"/>
      <c r="VKF159" s="407"/>
      <c r="VKG159" s="407"/>
      <c r="VKH159" s="407"/>
      <c r="VKI159" s="407"/>
      <c r="VKJ159" s="406"/>
      <c r="VKK159" s="407"/>
      <c r="VKL159" s="407"/>
      <c r="VKM159" s="407"/>
      <c r="VKN159" s="407"/>
      <c r="VKO159" s="407"/>
      <c r="VKP159" s="406"/>
      <c r="VKQ159" s="407"/>
      <c r="VKR159" s="407"/>
      <c r="VKS159" s="407"/>
      <c r="VKT159" s="407"/>
      <c r="VKU159" s="407"/>
      <c r="VKV159" s="406"/>
      <c r="VKW159" s="407"/>
      <c r="VKX159" s="407"/>
      <c r="VKY159" s="407"/>
      <c r="VKZ159" s="407"/>
      <c r="VLA159" s="407"/>
      <c r="VLB159" s="406"/>
      <c r="VLC159" s="407"/>
      <c r="VLD159" s="407"/>
      <c r="VLE159" s="407"/>
      <c r="VLF159" s="407"/>
      <c r="VLG159" s="407"/>
      <c r="VLH159" s="406"/>
      <c r="VLI159" s="407"/>
      <c r="VLJ159" s="407"/>
      <c r="VLK159" s="407"/>
      <c r="VLL159" s="407"/>
      <c r="VLM159" s="407"/>
      <c r="VLN159" s="406"/>
      <c r="VLO159" s="407"/>
      <c r="VLP159" s="407"/>
      <c r="VLQ159" s="407"/>
      <c r="VLR159" s="407"/>
      <c r="VLS159" s="407"/>
      <c r="VLT159" s="406"/>
      <c r="VLU159" s="407"/>
      <c r="VLV159" s="407"/>
      <c r="VLW159" s="407"/>
      <c r="VLX159" s="407"/>
      <c r="VLY159" s="407"/>
      <c r="VLZ159" s="406"/>
      <c r="VMA159" s="407"/>
      <c r="VMB159" s="407"/>
      <c r="VMC159" s="407"/>
      <c r="VMD159" s="407"/>
      <c r="VME159" s="407"/>
      <c r="VMF159" s="406"/>
      <c r="VMG159" s="407"/>
      <c r="VMH159" s="407"/>
      <c r="VMI159" s="407"/>
      <c r="VMJ159" s="407"/>
      <c r="VMK159" s="407"/>
      <c r="VML159" s="406"/>
      <c r="VMM159" s="407"/>
      <c r="VMN159" s="407"/>
      <c r="VMO159" s="407"/>
      <c r="VMP159" s="407"/>
      <c r="VMQ159" s="407"/>
      <c r="VMR159" s="406"/>
      <c r="VMS159" s="407"/>
      <c r="VMT159" s="407"/>
      <c r="VMU159" s="407"/>
      <c r="VMV159" s="407"/>
      <c r="VMW159" s="407"/>
      <c r="VMX159" s="406"/>
      <c r="VMY159" s="407"/>
      <c r="VMZ159" s="407"/>
      <c r="VNA159" s="407"/>
      <c r="VNB159" s="407"/>
      <c r="VNC159" s="407"/>
      <c r="VND159" s="406"/>
      <c r="VNE159" s="407"/>
      <c r="VNF159" s="407"/>
      <c r="VNG159" s="407"/>
      <c r="VNH159" s="407"/>
      <c r="VNI159" s="407"/>
      <c r="VNJ159" s="406"/>
      <c r="VNK159" s="407"/>
      <c r="VNL159" s="407"/>
      <c r="VNM159" s="407"/>
      <c r="VNN159" s="407"/>
      <c r="VNO159" s="407"/>
      <c r="VNP159" s="406"/>
      <c r="VNQ159" s="407"/>
      <c r="VNR159" s="407"/>
      <c r="VNS159" s="407"/>
      <c r="VNT159" s="407"/>
      <c r="VNU159" s="407"/>
      <c r="VNV159" s="406"/>
      <c r="VNW159" s="407"/>
      <c r="VNX159" s="407"/>
      <c r="VNY159" s="407"/>
      <c r="VNZ159" s="407"/>
      <c r="VOA159" s="407"/>
      <c r="VOB159" s="406"/>
      <c r="VOC159" s="407"/>
      <c r="VOD159" s="407"/>
      <c r="VOE159" s="407"/>
      <c r="VOF159" s="407"/>
      <c r="VOG159" s="407"/>
      <c r="VOH159" s="406"/>
      <c r="VOI159" s="407"/>
      <c r="VOJ159" s="407"/>
      <c r="VOK159" s="407"/>
      <c r="VOL159" s="407"/>
      <c r="VOM159" s="407"/>
      <c r="VON159" s="406"/>
      <c r="VOO159" s="407"/>
      <c r="VOP159" s="407"/>
      <c r="VOQ159" s="407"/>
      <c r="VOR159" s="407"/>
      <c r="VOS159" s="407"/>
      <c r="VOT159" s="406"/>
      <c r="VOU159" s="407"/>
      <c r="VOV159" s="407"/>
      <c r="VOW159" s="407"/>
      <c r="VOX159" s="407"/>
      <c r="VOY159" s="407"/>
      <c r="VOZ159" s="406"/>
      <c r="VPA159" s="407"/>
      <c r="VPB159" s="407"/>
      <c r="VPC159" s="407"/>
      <c r="VPD159" s="407"/>
      <c r="VPE159" s="407"/>
      <c r="VPF159" s="406"/>
      <c r="VPG159" s="407"/>
      <c r="VPH159" s="407"/>
      <c r="VPI159" s="407"/>
      <c r="VPJ159" s="407"/>
      <c r="VPK159" s="407"/>
      <c r="VPL159" s="406"/>
      <c r="VPM159" s="407"/>
      <c r="VPN159" s="407"/>
      <c r="VPO159" s="407"/>
      <c r="VPP159" s="407"/>
      <c r="VPQ159" s="407"/>
      <c r="VPR159" s="406"/>
      <c r="VPS159" s="407"/>
      <c r="VPT159" s="407"/>
      <c r="VPU159" s="407"/>
      <c r="VPV159" s="407"/>
      <c r="VPW159" s="407"/>
      <c r="VPX159" s="406"/>
      <c r="VPY159" s="407"/>
      <c r="VPZ159" s="407"/>
      <c r="VQA159" s="407"/>
      <c r="VQB159" s="407"/>
      <c r="VQC159" s="407"/>
      <c r="VQD159" s="406"/>
      <c r="VQE159" s="407"/>
      <c r="VQF159" s="407"/>
      <c r="VQG159" s="407"/>
      <c r="VQH159" s="407"/>
      <c r="VQI159" s="407"/>
      <c r="VQJ159" s="406"/>
      <c r="VQK159" s="407"/>
      <c r="VQL159" s="407"/>
      <c r="VQM159" s="407"/>
      <c r="VQN159" s="407"/>
      <c r="VQO159" s="407"/>
      <c r="VQP159" s="406"/>
      <c r="VQQ159" s="407"/>
      <c r="VQR159" s="407"/>
      <c r="VQS159" s="407"/>
      <c r="VQT159" s="407"/>
      <c r="VQU159" s="407"/>
      <c r="VQV159" s="406"/>
      <c r="VQW159" s="407"/>
      <c r="VQX159" s="407"/>
      <c r="VQY159" s="407"/>
      <c r="VQZ159" s="407"/>
      <c r="VRA159" s="407"/>
      <c r="VRB159" s="406"/>
      <c r="VRC159" s="407"/>
      <c r="VRD159" s="407"/>
      <c r="VRE159" s="407"/>
      <c r="VRF159" s="407"/>
      <c r="VRG159" s="407"/>
      <c r="VRH159" s="406"/>
      <c r="VRI159" s="407"/>
      <c r="VRJ159" s="407"/>
      <c r="VRK159" s="407"/>
      <c r="VRL159" s="407"/>
      <c r="VRM159" s="407"/>
      <c r="VRN159" s="406"/>
      <c r="VRO159" s="407"/>
      <c r="VRP159" s="407"/>
      <c r="VRQ159" s="407"/>
      <c r="VRR159" s="407"/>
      <c r="VRS159" s="407"/>
      <c r="VRT159" s="406"/>
      <c r="VRU159" s="407"/>
      <c r="VRV159" s="407"/>
      <c r="VRW159" s="407"/>
      <c r="VRX159" s="407"/>
      <c r="VRY159" s="407"/>
      <c r="VRZ159" s="406"/>
      <c r="VSA159" s="407"/>
      <c r="VSB159" s="407"/>
      <c r="VSC159" s="407"/>
      <c r="VSD159" s="407"/>
      <c r="VSE159" s="407"/>
      <c r="VSF159" s="406"/>
      <c r="VSG159" s="407"/>
      <c r="VSH159" s="407"/>
      <c r="VSI159" s="407"/>
      <c r="VSJ159" s="407"/>
      <c r="VSK159" s="407"/>
      <c r="VSL159" s="406"/>
      <c r="VSM159" s="407"/>
      <c r="VSN159" s="407"/>
      <c r="VSO159" s="407"/>
      <c r="VSP159" s="407"/>
      <c r="VSQ159" s="407"/>
      <c r="VSR159" s="406"/>
      <c r="VSS159" s="407"/>
      <c r="VST159" s="407"/>
      <c r="VSU159" s="407"/>
      <c r="VSV159" s="407"/>
      <c r="VSW159" s="407"/>
      <c r="VSX159" s="406"/>
      <c r="VSY159" s="407"/>
      <c r="VSZ159" s="407"/>
      <c r="VTA159" s="407"/>
      <c r="VTB159" s="407"/>
      <c r="VTC159" s="407"/>
      <c r="VTD159" s="406"/>
      <c r="VTE159" s="407"/>
      <c r="VTF159" s="407"/>
      <c r="VTG159" s="407"/>
      <c r="VTH159" s="407"/>
      <c r="VTI159" s="407"/>
      <c r="VTJ159" s="406"/>
      <c r="VTK159" s="407"/>
      <c r="VTL159" s="407"/>
      <c r="VTM159" s="407"/>
      <c r="VTN159" s="407"/>
      <c r="VTO159" s="407"/>
      <c r="VTP159" s="406"/>
      <c r="VTQ159" s="407"/>
      <c r="VTR159" s="407"/>
      <c r="VTS159" s="407"/>
      <c r="VTT159" s="407"/>
      <c r="VTU159" s="407"/>
      <c r="VTV159" s="406"/>
      <c r="VTW159" s="407"/>
      <c r="VTX159" s="407"/>
      <c r="VTY159" s="407"/>
      <c r="VTZ159" s="407"/>
      <c r="VUA159" s="407"/>
      <c r="VUB159" s="406"/>
      <c r="VUC159" s="407"/>
      <c r="VUD159" s="407"/>
      <c r="VUE159" s="407"/>
      <c r="VUF159" s="407"/>
      <c r="VUG159" s="407"/>
      <c r="VUH159" s="406"/>
      <c r="VUI159" s="407"/>
      <c r="VUJ159" s="407"/>
      <c r="VUK159" s="407"/>
      <c r="VUL159" s="407"/>
      <c r="VUM159" s="407"/>
      <c r="VUN159" s="406"/>
      <c r="VUO159" s="407"/>
      <c r="VUP159" s="407"/>
      <c r="VUQ159" s="407"/>
      <c r="VUR159" s="407"/>
      <c r="VUS159" s="407"/>
      <c r="VUT159" s="406"/>
      <c r="VUU159" s="407"/>
      <c r="VUV159" s="407"/>
      <c r="VUW159" s="407"/>
      <c r="VUX159" s="407"/>
      <c r="VUY159" s="407"/>
      <c r="VUZ159" s="406"/>
      <c r="VVA159" s="407"/>
      <c r="VVB159" s="407"/>
      <c r="VVC159" s="407"/>
      <c r="VVD159" s="407"/>
      <c r="VVE159" s="407"/>
      <c r="VVF159" s="406"/>
      <c r="VVG159" s="407"/>
      <c r="VVH159" s="407"/>
      <c r="VVI159" s="407"/>
      <c r="VVJ159" s="407"/>
      <c r="VVK159" s="407"/>
      <c r="VVL159" s="406"/>
      <c r="VVM159" s="407"/>
      <c r="VVN159" s="407"/>
      <c r="VVO159" s="407"/>
      <c r="VVP159" s="407"/>
      <c r="VVQ159" s="407"/>
      <c r="VVR159" s="406"/>
      <c r="VVS159" s="407"/>
      <c r="VVT159" s="407"/>
      <c r="VVU159" s="407"/>
      <c r="VVV159" s="407"/>
      <c r="VVW159" s="407"/>
      <c r="VVX159" s="406"/>
      <c r="VVY159" s="407"/>
      <c r="VVZ159" s="407"/>
      <c r="VWA159" s="407"/>
      <c r="VWB159" s="407"/>
      <c r="VWC159" s="407"/>
      <c r="VWD159" s="406"/>
      <c r="VWE159" s="407"/>
      <c r="VWF159" s="407"/>
      <c r="VWG159" s="407"/>
      <c r="VWH159" s="407"/>
      <c r="VWI159" s="407"/>
      <c r="VWJ159" s="406"/>
      <c r="VWK159" s="407"/>
      <c r="VWL159" s="407"/>
      <c r="VWM159" s="407"/>
      <c r="VWN159" s="407"/>
      <c r="VWO159" s="407"/>
      <c r="VWP159" s="406"/>
      <c r="VWQ159" s="407"/>
      <c r="VWR159" s="407"/>
      <c r="VWS159" s="407"/>
      <c r="VWT159" s="407"/>
      <c r="VWU159" s="407"/>
      <c r="VWV159" s="406"/>
      <c r="VWW159" s="407"/>
      <c r="VWX159" s="407"/>
      <c r="VWY159" s="407"/>
      <c r="VWZ159" s="407"/>
      <c r="VXA159" s="407"/>
      <c r="VXB159" s="406"/>
      <c r="VXC159" s="407"/>
      <c r="VXD159" s="407"/>
      <c r="VXE159" s="407"/>
      <c r="VXF159" s="407"/>
      <c r="VXG159" s="407"/>
      <c r="VXH159" s="406"/>
      <c r="VXI159" s="407"/>
      <c r="VXJ159" s="407"/>
      <c r="VXK159" s="407"/>
      <c r="VXL159" s="407"/>
      <c r="VXM159" s="407"/>
      <c r="VXN159" s="406"/>
      <c r="VXO159" s="407"/>
      <c r="VXP159" s="407"/>
      <c r="VXQ159" s="407"/>
      <c r="VXR159" s="407"/>
      <c r="VXS159" s="407"/>
      <c r="VXT159" s="406"/>
      <c r="VXU159" s="407"/>
      <c r="VXV159" s="407"/>
      <c r="VXW159" s="407"/>
      <c r="VXX159" s="407"/>
      <c r="VXY159" s="407"/>
      <c r="VXZ159" s="406"/>
      <c r="VYA159" s="407"/>
      <c r="VYB159" s="407"/>
      <c r="VYC159" s="407"/>
      <c r="VYD159" s="407"/>
      <c r="VYE159" s="407"/>
      <c r="VYF159" s="406"/>
      <c r="VYG159" s="407"/>
      <c r="VYH159" s="407"/>
      <c r="VYI159" s="407"/>
      <c r="VYJ159" s="407"/>
      <c r="VYK159" s="407"/>
      <c r="VYL159" s="406"/>
      <c r="VYM159" s="407"/>
      <c r="VYN159" s="407"/>
      <c r="VYO159" s="407"/>
      <c r="VYP159" s="407"/>
      <c r="VYQ159" s="407"/>
      <c r="VYR159" s="406"/>
      <c r="VYS159" s="407"/>
      <c r="VYT159" s="407"/>
      <c r="VYU159" s="407"/>
      <c r="VYV159" s="407"/>
      <c r="VYW159" s="407"/>
      <c r="VYX159" s="406"/>
      <c r="VYY159" s="407"/>
      <c r="VYZ159" s="407"/>
      <c r="VZA159" s="407"/>
      <c r="VZB159" s="407"/>
      <c r="VZC159" s="407"/>
      <c r="VZD159" s="406"/>
      <c r="VZE159" s="407"/>
      <c r="VZF159" s="407"/>
      <c r="VZG159" s="407"/>
      <c r="VZH159" s="407"/>
      <c r="VZI159" s="407"/>
      <c r="VZJ159" s="406"/>
      <c r="VZK159" s="407"/>
      <c r="VZL159" s="407"/>
      <c r="VZM159" s="407"/>
      <c r="VZN159" s="407"/>
      <c r="VZO159" s="407"/>
      <c r="VZP159" s="406"/>
      <c r="VZQ159" s="407"/>
      <c r="VZR159" s="407"/>
      <c r="VZS159" s="407"/>
      <c r="VZT159" s="407"/>
      <c r="VZU159" s="407"/>
      <c r="VZV159" s="406"/>
      <c r="VZW159" s="407"/>
      <c r="VZX159" s="407"/>
      <c r="VZY159" s="407"/>
      <c r="VZZ159" s="407"/>
      <c r="WAA159" s="407"/>
      <c r="WAB159" s="406"/>
      <c r="WAC159" s="407"/>
      <c r="WAD159" s="407"/>
      <c r="WAE159" s="407"/>
      <c r="WAF159" s="407"/>
      <c r="WAG159" s="407"/>
      <c r="WAH159" s="406"/>
      <c r="WAI159" s="407"/>
      <c r="WAJ159" s="407"/>
      <c r="WAK159" s="407"/>
      <c r="WAL159" s="407"/>
      <c r="WAM159" s="407"/>
      <c r="WAN159" s="406"/>
      <c r="WAO159" s="407"/>
      <c r="WAP159" s="407"/>
      <c r="WAQ159" s="407"/>
      <c r="WAR159" s="407"/>
      <c r="WAS159" s="407"/>
      <c r="WAT159" s="406"/>
      <c r="WAU159" s="407"/>
      <c r="WAV159" s="407"/>
      <c r="WAW159" s="407"/>
      <c r="WAX159" s="407"/>
      <c r="WAY159" s="407"/>
      <c r="WAZ159" s="406"/>
      <c r="WBA159" s="407"/>
      <c r="WBB159" s="407"/>
      <c r="WBC159" s="407"/>
      <c r="WBD159" s="407"/>
      <c r="WBE159" s="407"/>
      <c r="WBF159" s="406"/>
      <c r="WBG159" s="407"/>
      <c r="WBH159" s="407"/>
      <c r="WBI159" s="407"/>
      <c r="WBJ159" s="407"/>
      <c r="WBK159" s="407"/>
      <c r="WBL159" s="406"/>
      <c r="WBM159" s="407"/>
      <c r="WBN159" s="407"/>
      <c r="WBO159" s="407"/>
      <c r="WBP159" s="407"/>
      <c r="WBQ159" s="407"/>
      <c r="WBR159" s="406"/>
      <c r="WBS159" s="407"/>
      <c r="WBT159" s="407"/>
      <c r="WBU159" s="407"/>
      <c r="WBV159" s="407"/>
      <c r="WBW159" s="407"/>
      <c r="WBX159" s="406"/>
      <c r="WBY159" s="407"/>
      <c r="WBZ159" s="407"/>
      <c r="WCA159" s="407"/>
      <c r="WCB159" s="407"/>
      <c r="WCC159" s="407"/>
      <c r="WCD159" s="406"/>
      <c r="WCE159" s="407"/>
      <c r="WCF159" s="407"/>
      <c r="WCG159" s="407"/>
      <c r="WCH159" s="407"/>
      <c r="WCI159" s="407"/>
      <c r="WCJ159" s="406"/>
      <c r="WCK159" s="407"/>
      <c r="WCL159" s="407"/>
      <c r="WCM159" s="407"/>
      <c r="WCN159" s="407"/>
      <c r="WCO159" s="407"/>
      <c r="WCP159" s="406"/>
      <c r="WCQ159" s="407"/>
      <c r="WCR159" s="407"/>
      <c r="WCS159" s="407"/>
      <c r="WCT159" s="407"/>
      <c r="WCU159" s="407"/>
      <c r="WCV159" s="406"/>
      <c r="WCW159" s="407"/>
      <c r="WCX159" s="407"/>
      <c r="WCY159" s="407"/>
      <c r="WCZ159" s="407"/>
      <c r="WDA159" s="407"/>
      <c r="WDB159" s="406"/>
      <c r="WDC159" s="407"/>
      <c r="WDD159" s="407"/>
      <c r="WDE159" s="407"/>
      <c r="WDF159" s="407"/>
      <c r="WDG159" s="407"/>
      <c r="WDH159" s="406"/>
      <c r="WDI159" s="407"/>
      <c r="WDJ159" s="407"/>
      <c r="WDK159" s="407"/>
      <c r="WDL159" s="407"/>
      <c r="WDM159" s="407"/>
      <c r="WDN159" s="406"/>
      <c r="WDO159" s="407"/>
      <c r="WDP159" s="407"/>
      <c r="WDQ159" s="407"/>
      <c r="WDR159" s="407"/>
      <c r="WDS159" s="407"/>
      <c r="WDT159" s="406"/>
      <c r="WDU159" s="407"/>
      <c r="WDV159" s="407"/>
      <c r="WDW159" s="407"/>
      <c r="WDX159" s="407"/>
      <c r="WDY159" s="407"/>
      <c r="WDZ159" s="406"/>
      <c r="WEA159" s="407"/>
      <c r="WEB159" s="407"/>
      <c r="WEC159" s="407"/>
      <c r="WED159" s="407"/>
      <c r="WEE159" s="407"/>
      <c r="WEF159" s="406"/>
      <c r="WEG159" s="407"/>
      <c r="WEH159" s="407"/>
      <c r="WEI159" s="407"/>
      <c r="WEJ159" s="407"/>
      <c r="WEK159" s="407"/>
      <c r="WEL159" s="406"/>
      <c r="WEM159" s="407"/>
      <c r="WEN159" s="407"/>
      <c r="WEO159" s="407"/>
      <c r="WEP159" s="407"/>
      <c r="WEQ159" s="407"/>
      <c r="WER159" s="406"/>
      <c r="WES159" s="407"/>
      <c r="WET159" s="407"/>
      <c r="WEU159" s="407"/>
      <c r="WEV159" s="407"/>
      <c r="WEW159" s="407"/>
      <c r="WEX159" s="406"/>
      <c r="WEY159" s="407"/>
      <c r="WEZ159" s="407"/>
      <c r="WFA159" s="407"/>
      <c r="WFB159" s="407"/>
      <c r="WFC159" s="407"/>
      <c r="WFD159" s="406"/>
      <c r="WFE159" s="407"/>
      <c r="WFF159" s="407"/>
      <c r="WFG159" s="407"/>
      <c r="WFH159" s="407"/>
      <c r="WFI159" s="407"/>
      <c r="WFJ159" s="406"/>
      <c r="WFK159" s="407"/>
      <c r="WFL159" s="407"/>
      <c r="WFM159" s="407"/>
      <c r="WFN159" s="407"/>
      <c r="WFO159" s="407"/>
      <c r="WFP159" s="406"/>
      <c r="WFQ159" s="407"/>
      <c r="WFR159" s="407"/>
      <c r="WFS159" s="407"/>
      <c r="WFT159" s="407"/>
      <c r="WFU159" s="407"/>
      <c r="WFV159" s="406"/>
      <c r="WFW159" s="407"/>
      <c r="WFX159" s="407"/>
      <c r="WFY159" s="407"/>
      <c r="WFZ159" s="407"/>
      <c r="WGA159" s="407"/>
      <c r="WGB159" s="406"/>
      <c r="WGC159" s="407"/>
      <c r="WGD159" s="407"/>
      <c r="WGE159" s="407"/>
      <c r="WGF159" s="407"/>
      <c r="WGG159" s="407"/>
      <c r="WGH159" s="406"/>
      <c r="WGI159" s="407"/>
      <c r="WGJ159" s="407"/>
      <c r="WGK159" s="407"/>
      <c r="WGL159" s="407"/>
      <c r="WGM159" s="407"/>
      <c r="WGN159" s="406"/>
      <c r="WGO159" s="407"/>
      <c r="WGP159" s="407"/>
      <c r="WGQ159" s="407"/>
      <c r="WGR159" s="407"/>
      <c r="WGS159" s="407"/>
      <c r="WGT159" s="406"/>
      <c r="WGU159" s="407"/>
      <c r="WGV159" s="407"/>
      <c r="WGW159" s="407"/>
      <c r="WGX159" s="407"/>
      <c r="WGY159" s="407"/>
      <c r="WGZ159" s="406"/>
      <c r="WHA159" s="407"/>
      <c r="WHB159" s="407"/>
      <c r="WHC159" s="407"/>
      <c r="WHD159" s="407"/>
      <c r="WHE159" s="407"/>
      <c r="WHF159" s="406"/>
      <c r="WHG159" s="407"/>
      <c r="WHH159" s="407"/>
      <c r="WHI159" s="407"/>
      <c r="WHJ159" s="407"/>
      <c r="WHK159" s="407"/>
      <c r="WHL159" s="406"/>
      <c r="WHM159" s="407"/>
      <c r="WHN159" s="407"/>
      <c r="WHO159" s="407"/>
      <c r="WHP159" s="407"/>
      <c r="WHQ159" s="407"/>
      <c r="WHR159" s="406"/>
      <c r="WHS159" s="407"/>
      <c r="WHT159" s="407"/>
      <c r="WHU159" s="407"/>
      <c r="WHV159" s="407"/>
      <c r="WHW159" s="407"/>
      <c r="WHX159" s="406"/>
      <c r="WHY159" s="407"/>
      <c r="WHZ159" s="407"/>
      <c r="WIA159" s="407"/>
      <c r="WIB159" s="407"/>
      <c r="WIC159" s="407"/>
      <c r="WID159" s="406"/>
      <c r="WIE159" s="407"/>
      <c r="WIF159" s="407"/>
      <c r="WIG159" s="407"/>
      <c r="WIH159" s="407"/>
      <c r="WII159" s="407"/>
      <c r="WIJ159" s="406"/>
      <c r="WIK159" s="407"/>
      <c r="WIL159" s="407"/>
      <c r="WIM159" s="407"/>
      <c r="WIN159" s="407"/>
      <c r="WIO159" s="407"/>
      <c r="WIP159" s="406"/>
      <c r="WIQ159" s="407"/>
      <c r="WIR159" s="407"/>
      <c r="WIS159" s="407"/>
      <c r="WIT159" s="407"/>
      <c r="WIU159" s="407"/>
      <c r="WIV159" s="406"/>
      <c r="WIW159" s="407"/>
      <c r="WIX159" s="407"/>
      <c r="WIY159" s="407"/>
      <c r="WIZ159" s="407"/>
      <c r="WJA159" s="407"/>
      <c r="WJB159" s="406"/>
      <c r="WJC159" s="407"/>
      <c r="WJD159" s="407"/>
      <c r="WJE159" s="407"/>
      <c r="WJF159" s="407"/>
      <c r="WJG159" s="407"/>
      <c r="WJH159" s="406"/>
      <c r="WJI159" s="407"/>
      <c r="WJJ159" s="407"/>
      <c r="WJK159" s="407"/>
      <c r="WJL159" s="407"/>
      <c r="WJM159" s="407"/>
      <c r="WJN159" s="406"/>
      <c r="WJO159" s="407"/>
      <c r="WJP159" s="407"/>
      <c r="WJQ159" s="407"/>
      <c r="WJR159" s="407"/>
      <c r="WJS159" s="407"/>
      <c r="WJT159" s="406"/>
      <c r="WJU159" s="407"/>
      <c r="WJV159" s="407"/>
      <c r="WJW159" s="407"/>
      <c r="WJX159" s="407"/>
      <c r="WJY159" s="407"/>
      <c r="WJZ159" s="406"/>
      <c r="WKA159" s="407"/>
      <c r="WKB159" s="407"/>
      <c r="WKC159" s="407"/>
      <c r="WKD159" s="407"/>
      <c r="WKE159" s="407"/>
      <c r="WKF159" s="406"/>
      <c r="WKG159" s="407"/>
      <c r="WKH159" s="407"/>
      <c r="WKI159" s="407"/>
      <c r="WKJ159" s="407"/>
      <c r="WKK159" s="407"/>
      <c r="WKL159" s="406"/>
      <c r="WKM159" s="407"/>
      <c r="WKN159" s="407"/>
      <c r="WKO159" s="407"/>
      <c r="WKP159" s="407"/>
      <c r="WKQ159" s="407"/>
      <c r="WKR159" s="406"/>
      <c r="WKS159" s="407"/>
      <c r="WKT159" s="407"/>
      <c r="WKU159" s="407"/>
      <c r="WKV159" s="407"/>
      <c r="WKW159" s="407"/>
      <c r="WKX159" s="406"/>
      <c r="WKY159" s="407"/>
      <c r="WKZ159" s="407"/>
      <c r="WLA159" s="407"/>
      <c r="WLB159" s="407"/>
      <c r="WLC159" s="407"/>
      <c r="WLD159" s="406"/>
      <c r="WLE159" s="407"/>
      <c r="WLF159" s="407"/>
      <c r="WLG159" s="407"/>
      <c r="WLH159" s="407"/>
      <c r="WLI159" s="407"/>
      <c r="WLJ159" s="406"/>
      <c r="WLK159" s="407"/>
      <c r="WLL159" s="407"/>
      <c r="WLM159" s="407"/>
      <c r="WLN159" s="407"/>
      <c r="WLO159" s="407"/>
      <c r="WLP159" s="406"/>
      <c r="WLQ159" s="407"/>
      <c r="WLR159" s="407"/>
      <c r="WLS159" s="407"/>
      <c r="WLT159" s="407"/>
      <c r="WLU159" s="407"/>
      <c r="WLV159" s="406"/>
      <c r="WLW159" s="407"/>
      <c r="WLX159" s="407"/>
      <c r="WLY159" s="407"/>
      <c r="WLZ159" s="407"/>
      <c r="WMA159" s="407"/>
      <c r="WMB159" s="406"/>
      <c r="WMC159" s="407"/>
      <c r="WMD159" s="407"/>
      <c r="WME159" s="407"/>
      <c r="WMF159" s="407"/>
      <c r="WMG159" s="407"/>
      <c r="WMH159" s="406"/>
      <c r="WMI159" s="407"/>
      <c r="WMJ159" s="407"/>
      <c r="WMK159" s="407"/>
      <c r="WML159" s="407"/>
      <c r="WMM159" s="407"/>
      <c r="WMN159" s="406"/>
      <c r="WMO159" s="407"/>
      <c r="WMP159" s="407"/>
      <c r="WMQ159" s="407"/>
      <c r="WMR159" s="407"/>
      <c r="WMS159" s="407"/>
      <c r="WMT159" s="406"/>
      <c r="WMU159" s="407"/>
      <c r="WMV159" s="407"/>
      <c r="WMW159" s="407"/>
      <c r="WMX159" s="407"/>
      <c r="WMY159" s="407"/>
      <c r="WMZ159" s="406"/>
      <c r="WNA159" s="407"/>
      <c r="WNB159" s="407"/>
      <c r="WNC159" s="407"/>
      <c r="WND159" s="407"/>
      <c r="WNE159" s="407"/>
      <c r="WNF159" s="406"/>
      <c r="WNG159" s="407"/>
      <c r="WNH159" s="407"/>
      <c r="WNI159" s="407"/>
      <c r="WNJ159" s="407"/>
      <c r="WNK159" s="407"/>
      <c r="WNL159" s="406"/>
      <c r="WNM159" s="407"/>
      <c r="WNN159" s="407"/>
      <c r="WNO159" s="407"/>
      <c r="WNP159" s="407"/>
      <c r="WNQ159" s="407"/>
      <c r="WNR159" s="406"/>
      <c r="WNS159" s="407"/>
      <c r="WNT159" s="407"/>
      <c r="WNU159" s="407"/>
      <c r="WNV159" s="407"/>
      <c r="WNW159" s="407"/>
      <c r="WNX159" s="406"/>
      <c r="WNY159" s="407"/>
      <c r="WNZ159" s="407"/>
      <c r="WOA159" s="407"/>
      <c r="WOB159" s="407"/>
      <c r="WOC159" s="407"/>
      <c r="WOD159" s="406"/>
      <c r="WOE159" s="407"/>
      <c r="WOF159" s="407"/>
      <c r="WOG159" s="407"/>
      <c r="WOH159" s="407"/>
      <c r="WOI159" s="407"/>
      <c r="WOJ159" s="406"/>
      <c r="WOK159" s="407"/>
      <c r="WOL159" s="407"/>
      <c r="WOM159" s="407"/>
      <c r="WON159" s="407"/>
      <c r="WOO159" s="407"/>
      <c r="WOP159" s="406"/>
      <c r="WOQ159" s="407"/>
      <c r="WOR159" s="407"/>
      <c r="WOS159" s="407"/>
      <c r="WOT159" s="407"/>
      <c r="WOU159" s="407"/>
      <c r="WOV159" s="406"/>
      <c r="WOW159" s="407"/>
      <c r="WOX159" s="407"/>
      <c r="WOY159" s="407"/>
      <c r="WOZ159" s="407"/>
      <c r="WPA159" s="407"/>
      <c r="WPB159" s="406"/>
      <c r="WPC159" s="407"/>
      <c r="WPD159" s="407"/>
      <c r="WPE159" s="407"/>
      <c r="WPF159" s="407"/>
      <c r="WPG159" s="407"/>
      <c r="WPH159" s="406"/>
      <c r="WPI159" s="407"/>
      <c r="WPJ159" s="407"/>
      <c r="WPK159" s="407"/>
      <c r="WPL159" s="407"/>
      <c r="WPM159" s="407"/>
      <c r="WPN159" s="406"/>
      <c r="WPO159" s="407"/>
      <c r="WPP159" s="407"/>
      <c r="WPQ159" s="407"/>
      <c r="WPR159" s="407"/>
      <c r="WPS159" s="407"/>
      <c r="WPT159" s="406"/>
      <c r="WPU159" s="407"/>
      <c r="WPV159" s="407"/>
      <c r="WPW159" s="407"/>
      <c r="WPX159" s="407"/>
      <c r="WPY159" s="407"/>
      <c r="WPZ159" s="406"/>
      <c r="WQA159" s="407"/>
      <c r="WQB159" s="407"/>
      <c r="WQC159" s="407"/>
      <c r="WQD159" s="407"/>
      <c r="WQE159" s="407"/>
      <c r="WQF159" s="406"/>
      <c r="WQG159" s="407"/>
      <c r="WQH159" s="407"/>
      <c r="WQI159" s="407"/>
      <c r="WQJ159" s="407"/>
      <c r="WQK159" s="407"/>
      <c r="WQL159" s="406"/>
      <c r="WQM159" s="407"/>
      <c r="WQN159" s="407"/>
      <c r="WQO159" s="407"/>
      <c r="WQP159" s="407"/>
      <c r="WQQ159" s="407"/>
      <c r="WQR159" s="406"/>
      <c r="WQS159" s="407"/>
      <c r="WQT159" s="407"/>
      <c r="WQU159" s="407"/>
      <c r="WQV159" s="407"/>
      <c r="WQW159" s="407"/>
      <c r="WQX159" s="406"/>
      <c r="WQY159" s="407"/>
      <c r="WQZ159" s="407"/>
      <c r="WRA159" s="407"/>
      <c r="WRB159" s="407"/>
      <c r="WRC159" s="407"/>
      <c r="WRD159" s="406"/>
      <c r="WRE159" s="407"/>
      <c r="WRF159" s="407"/>
      <c r="WRG159" s="407"/>
      <c r="WRH159" s="407"/>
      <c r="WRI159" s="407"/>
      <c r="WRJ159" s="406"/>
      <c r="WRK159" s="407"/>
      <c r="WRL159" s="407"/>
      <c r="WRM159" s="407"/>
      <c r="WRN159" s="407"/>
      <c r="WRO159" s="407"/>
      <c r="WRP159" s="406"/>
      <c r="WRQ159" s="407"/>
      <c r="WRR159" s="407"/>
      <c r="WRS159" s="407"/>
      <c r="WRT159" s="407"/>
      <c r="WRU159" s="407"/>
      <c r="WRV159" s="406"/>
      <c r="WRW159" s="407"/>
      <c r="WRX159" s="407"/>
      <c r="WRY159" s="407"/>
      <c r="WRZ159" s="407"/>
      <c r="WSA159" s="407"/>
      <c r="WSB159" s="406"/>
      <c r="WSC159" s="407"/>
      <c r="WSD159" s="407"/>
      <c r="WSE159" s="407"/>
      <c r="WSF159" s="407"/>
      <c r="WSG159" s="407"/>
      <c r="WSH159" s="406"/>
      <c r="WSI159" s="407"/>
      <c r="WSJ159" s="407"/>
      <c r="WSK159" s="407"/>
      <c r="WSL159" s="407"/>
      <c r="WSM159" s="407"/>
      <c r="WSN159" s="406"/>
      <c r="WSO159" s="407"/>
      <c r="WSP159" s="407"/>
      <c r="WSQ159" s="407"/>
      <c r="WSR159" s="407"/>
      <c r="WSS159" s="407"/>
      <c r="WST159" s="406"/>
      <c r="WSU159" s="407"/>
      <c r="WSV159" s="407"/>
      <c r="WSW159" s="407"/>
      <c r="WSX159" s="407"/>
      <c r="WSY159" s="407"/>
      <c r="WSZ159" s="406"/>
      <c r="WTA159" s="407"/>
      <c r="WTB159" s="407"/>
      <c r="WTC159" s="407"/>
      <c r="WTD159" s="407"/>
      <c r="WTE159" s="407"/>
      <c r="WTF159" s="406"/>
      <c r="WTG159" s="407"/>
      <c r="WTH159" s="407"/>
      <c r="WTI159" s="407"/>
      <c r="WTJ159" s="407"/>
      <c r="WTK159" s="407"/>
      <c r="WTL159" s="406"/>
      <c r="WTM159" s="407"/>
      <c r="WTN159" s="407"/>
      <c r="WTO159" s="407"/>
      <c r="WTP159" s="407"/>
      <c r="WTQ159" s="407"/>
      <c r="WTR159" s="406"/>
      <c r="WTS159" s="407"/>
      <c r="WTT159" s="407"/>
      <c r="WTU159" s="407"/>
      <c r="WTV159" s="407"/>
      <c r="WTW159" s="407"/>
      <c r="WTX159" s="406"/>
      <c r="WTY159" s="407"/>
      <c r="WTZ159" s="407"/>
      <c r="WUA159" s="407"/>
      <c r="WUB159" s="407"/>
      <c r="WUC159" s="407"/>
      <c r="WUD159" s="406"/>
      <c r="WUE159" s="407"/>
      <c r="WUF159" s="407"/>
      <c r="WUG159" s="407"/>
      <c r="WUH159" s="407"/>
      <c r="WUI159" s="407"/>
      <c r="WUJ159" s="406"/>
      <c r="WUK159" s="407"/>
      <c r="WUL159" s="407"/>
      <c r="WUM159" s="407"/>
      <c r="WUN159" s="407"/>
      <c r="WUO159" s="407"/>
      <c r="WUP159" s="406"/>
      <c r="WUQ159" s="407"/>
      <c r="WUR159" s="407"/>
      <c r="WUS159" s="407"/>
      <c r="WUT159" s="407"/>
      <c r="WUU159" s="407"/>
      <c r="WUV159" s="406"/>
      <c r="WUW159" s="407"/>
      <c r="WUX159" s="407"/>
      <c r="WUY159" s="407"/>
      <c r="WUZ159" s="407"/>
      <c r="WVA159" s="407"/>
      <c r="WVB159" s="406"/>
      <c r="WVC159" s="407"/>
      <c r="WVD159" s="407"/>
      <c r="WVE159" s="407"/>
      <c r="WVF159" s="407"/>
      <c r="WVG159" s="407"/>
      <c r="WVH159" s="406"/>
      <c r="WVI159" s="407"/>
      <c r="WVJ159" s="407"/>
      <c r="WVK159" s="407"/>
      <c r="WVL159" s="407"/>
      <c r="WVM159" s="407"/>
      <c r="WVN159" s="406"/>
      <c r="WVO159" s="407"/>
      <c r="WVP159" s="407"/>
      <c r="WVQ159" s="407"/>
      <c r="WVR159" s="407"/>
      <c r="WVS159" s="407"/>
      <c r="WVT159" s="406"/>
      <c r="WVU159" s="407"/>
      <c r="WVV159" s="407"/>
      <c r="WVW159" s="407"/>
      <c r="WVX159" s="407"/>
      <c r="WVY159" s="407"/>
      <c r="WVZ159" s="406"/>
      <c r="WWA159" s="407"/>
      <c r="WWB159" s="407"/>
      <c r="WWC159" s="407"/>
      <c r="WWD159" s="407"/>
      <c r="WWE159" s="407"/>
      <c r="WWF159" s="406"/>
      <c r="WWG159" s="407"/>
      <c r="WWH159" s="407"/>
      <c r="WWI159" s="407"/>
      <c r="WWJ159" s="407"/>
      <c r="WWK159" s="407"/>
      <c r="WWL159" s="406"/>
      <c r="WWM159" s="407"/>
      <c r="WWN159" s="407"/>
      <c r="WWO159" s="407"/>
      <c r="WWP159" s="407"/>
      <c r="WWQ159" s="407"/>
      <c r="WWR159" s="406"/>
      <c r="WWS159" s="407"/>
      <c r="WWT159" s="407"/>
      <c r="WWU159" s="407"/>
      <c r="WWV159" s="407"/>
      <c r="WWW159" s="407"/>
      <c r="WWX159" s="406"/>
      <c r="WWY159" s="407"/>
      <c r="WWZ159" s="407"/>
      <c r="WXA159" s="407"/>
      <c r="WXB159" s="407"/>
      <c r="WXC159" s="407"/>
      <c r="WXD159" s="406"/>
      <c r="WXE159" s="407"/>
      <c r="WXF159" s="407"/>
      <c r="WXG159" s="407"/>
      <c r="WXH159" s="407"/>
      <c r="WXI159" s="407"/>
      <c r="WXJ159" s="406"/>
      <c r="WXK159" s="407"/>
      <c r="WXL159" s="407"/>
      <c r="WXM159" s="407"/>
      <c r="WXN159" s="407"/>
      <c r="WXO159" s="407"/>
      <c r="WXP159" s="406"/>
      <c r="WXQ159" s="407"/>
      <c r="WXR159" s="407"/>
      <c r="WXS159" s="407"/>
      <c r="WXT159" s="407"/>
      <c r="WXU159" s="407"/>
      <c r="WXV159" s="406"/>
      <c r="WXW159" s="407"/>
      <c r="WXX159" s="407"/>
      <c r="WXY159" s="407"/>
      <c r="WXZ159" s="407"/>
      <c r="WYA159" s="407"/>
      <c r="WYB159" s="406"/>
      <c r="WYC159" s="407"/>
      <c r="WYD159" s="407"/>
      <c r="WYE159" s="407"/>
      <c r="WYF159" s="407"/>
      <c r="WYG159" s="407"/>
      <c r="WYH159" s="406"/>
      <c r="WYI159" s="407"/>
      <c r="WYJ159" s="407"/>
      <c r="WYK159" s="407"/>
      <c r="WYL159" s="407"/>
      <c r="WYM159" s="407"/>
      <c r="WYN159" s="406"/>
      <c r="WYO159" s="407"/>
      <c r="WYP159" s="407"/>
      <c r="WYQ159" s="407"/>
      <c r="WYR159" s="407"/>
      <c r="WYS159" s="407"/>
      <c r="WYT159" s="406"/>
      <c r="WYU159" s="407"/>
      <c r="WYV159" s="407"/>
      <c r="WYW159" s="407"/>
      <c r="WYX159" s="407"/>
      <c r="WYY159" s="407"/>
      <c r="WYZ159" s="406"/>
      <c r="WZA159" s="407"/>
      <c r="WZB159" s="407"/>
      <c r="WZC159" s="407"/>
      <c r="WZD159" s="407"/>
      <c r="WZE159" s="407"/>
      <c r="WZF159" s="406"/>
      <c r="WZG159" s="407"/>
      <c r="WZH159" s="407"/>
      <c r="WZI159" s="407"/>
      <c r="WZJ159" s="407"/>
      <c r="WZK159" s="407"/>
      <c r="WZL159" s="406"/>
      <c r="WZM159" s="407"/>
      <c r="WZN159" s="407"/>
      <c r="WZO159" s="407"/>
      <c r="WZP159" s="407"/>
      <c r="WZQ159" s="407"/>
      <c r="WZR159" s="406"/>
      <c r="WZS159" s="407"/>
      <c r="WZT159" s="407"/>
      <c r="WZU159" s="407"/>
      <c r="WZV159" s="407"/>
      <c r="WZW159" s="407"/>
      <c r="WZX159" s="406"/>
      <c r="WZY159" s="407"/>
      <c r="WZZ159" s="407"/>
      <c r="XAA159" s="407"/>
      <c r="XAB159" s="407"/>
      <c r="XAC159" s="407"/>
      <c r="XAD159" s="406"/>
      <c r="XAE159" s="407"/>
      <c r="XAF159" s="407"/>
      <c r="XAG159" s="407"/>
      <c r="XAH159" s="407"/>
      <c r="XAI159" s="407"/>
      <c r="XAJ159" s="406"/>
      <c r="XAK159" s="407"/>
      <c r="XAL159" s="407"/>
      <c r="XAM159" s="407"/>
      <c r="XAN159" s="407"/>
      <c r="XAO159" s="407"/>
      <c r="XAP159" s="406"/>
      <c r="XAQ159" s="407"/>
      <c r="XAR159" s="407"/>
      <c r="XAS159" s="407"/>
      <c r="XAT159" s="407"/>
      <c r="XAU159" s="407"/>
      <c r="XAV159" s="406"/>
      <c r="XAW159" s="407"/>
      <c r="XAX159" s="407"/>
      <c r="XAY159" s="407"/>
      <c r="XAZ159" s="407"/>
      <c r="XBA159" s="407"/>
      <c r="XBB159" s="406"/>
      <c r="XBC159" s="407"/>
      <c r="XBD159" s="407"/>
      <c r="XBE159" s="407"/>
      <c r="XBF159" s="407"/>
      <c r="XBG159" s="407"/>
      <c r="XBH159" s="406"/>
      <c r="XBI159" s="407"/>
      <c r="XBJ159" s="407"/>
      <c r="XBK159" s="407"/>
      <c r="XBL159" s="407"/>
      <c r="XBM159" s="407"/>
      <c r="XBN159" s="406"/>
      <c r="XBO159" s="407"/>
      <c r="XBP159" s="407"/>
      <c r="XBQ159" s="407"/>
      <c r="XBR159" s="407"/>
      <c r="XBS159" s="407"/>
      <c r="XBT159" s="406"/>
      <c r="XBU159" s="407"/>
      <c r="XBV159" s="407"/>
      <c r="XBW159" s="407"/>
      <c r="XBX159" s="407"/>
      <c r="XBY159" s="407"/>
      <c r="XBZ159" s="406"/>
      <c r="XCA159" s="407"/>
      <c r="XCB159" s="407"/>
      <c r="XCC159" s="407"/>
      <c r="XCD159" s="407"/>
      <c r="XCE159" s="407"/>
      <c r="XCF159" s="406"/>
      <c r="XCG159" s="407"/>
      <c r="XCH159" s="407"/>
      <c r="XCI159" s="407"/>
      <c r="XCJ159" s="407"/>
      <c r="XCK159" s="407"/>
      <c r="XCL159" s="406"/>
      <c r="XCM159" s="407"/>
      <c r="XCN159" s="407"/>
      <c r="XCO159" s="407"/>
      <c r="XCP159" s="407"/>
      <c r="XCQ159" s="407"/>
      <c r="XCR159" s="406"/>
      <c r="XCS159" s="407"/>
      <c r="XCT159" s="407"/>
      <c r="XCU159" s="407"/>
      <c r="XCV159" s="407"/>
      <c r="XCW159" s="407"/>
      <c r="XCX159" s="406"/>
      <c r="XCY159" s="407"/>
      <c r="XCZ159" s="407"/>
      <c r="XDA159" s="407"/>
      <c r="XDB159" s="407"/>
      <c r="XDC159" s="407"/>
      <c r="XDD159" s="406"/>
      <c r="XDE159" s="407"/>
      <c r="XDF159" s="407"/>
      <c r="XDG159" s="407"/>
      <c r="XDH159" s="407"/>
      <c r="XDI159" s="407"/>
      <c r="XDJ159" s="406"/>
      <c r="XDK159" s="407"/>
      <c r="XDL159" s="407"/>
      <c r="XDM159" s="407"/>
      <c r="XDN159" s="407"/>
      <c r="XDO159" s="407"/>
      <c r="XDP159" s="406"/>
      <c r="XDQ159" s="407"/>
      <c r="XDR159" s="407"/>
      <c r="XDS159" s="407"/>
      <c r="XDT159" s="407"/>
      <c r="XDU159" s="407"/>
      <c r="XDV159" s="406"/>
      <c r="XDW159" s="407"/>
      <c r="XDX159" s="407"/>
      <c r="XDY159" s="407"/>
      <c r="XDZ159" s="407"/>
      <c r="XEA159" s="407"/>
      <c r="XEB159" s="406"/>
      <c r="XEC159" s="407"/>
      <c r="XED159" s="407"/>
      <c r="XEE159" s="407"/>
      <c r="XEF159" s="407"/>
      <c r="XEG159" s="407"/>
      <c r="XEH159" s="406"/>
      <c r="XEI159" s="407"/>
      <c r="XEJ159" s="407"/>
      <c r="XEK159" s="407"/>
      <c r="XEL159" s="407"/>
      <c r="XEM159" s="407"/>
      <c r="XEN159" s="406"/>
      <c r="XEO159" s="407"/>
      <c r="XEP159" s="407"/>
      <c r="XEQ159" s="407"/>
      <c r="XER159" s="407"/>
      <c r="XES159" s="407"/>
      <c r="XET159" s="406"/>
      <c r="XEU159" s="407"/>
      <c r="XEV159" s="407"/>
      <c r="XEW159" s="407"/>
    </row>
    <row r="160" spans="1:16377" s="110" customFormat="1" ht="25.5" x14ac:dyDescent="0.2">
      <c r="A160" s="364" t="str">
        <f t="shared" ref="A160:G160" si="28">A130</f>
        <v>Year</v>
      </c>
      <c r="B160" s="365" t="str">
        <f t="shared" si="28"/>
        <v>R1(i) Residential</v>
      </c>
      <c r="C160" s="365" t="str">
        <f t="shared" si="28"/>
        <v>R1(ii) GS &lt; 50 kW</v>
      </c>
      <c r="D160" s="365" t="str">
        <f t="shared" si="28"/>
        <v>R2 GS&gt;50 kW</v>
      </c>
      <c r="E160" s="366" t="str">
        <f t="shared" si="28"/>
        <v>Seasonal</v>
      </c>
      <c r="F160" s="365" t="str">
        <f t="shared" si="28"/>
        <v>Street Lights</v>
      </c>
      <c r="G160" s="366" t="str">
        <f t="shared" si="28"/>
        <v>Total</v>
      </c>
      <c r="H160" s="84"/>
      <c r="J160" s="84"/>
      <c r="K160" s="84"/>
      <c r="L160" s="84"/>
      <c r="M160" s="84"/>
      <c r="N160" s="84"/>
      <c r="O160" s="84"/>
      <c r="P160" s="84"/>
      <c r="Q160" s="84"/>
      <c r="R160" s="84"/>
      <c r="S160" s="84"/>
      <c r="T160" s="84"/>
      <c r="U160" s="84"/>
      <c r="V160" s="84"/>
      <c r="W160" s="84"/>
      <c r="X160" s="84"/>
    </row>
    <row r="161" spans="1:12" s="110" customFormat="1" x14ac:dyDescent="0.2">
      <c r="A161" s="172" t="s">
        <v>109</v>
      </c>
      <c r="B161" s="173"/>
      <c r="C161" s="173"/>
      <c r="D161" s="173"/>
      <c r="E161" s="173"/>
      <c r="F161" s="173"/>
      <c r="G161" s="174"/>
      <c r="H161" s="84"/>
      <c r="J161" s="84"/>
      <c r="K161" s="84"/>
      <c r="L161" s="84"/>
    </row>
    <row r="162" spans="1:12" s="110" customFormat="1" x14ac:dyDescent="0.2">
      <c r="A162" s="180" t="str">
        <f>A126</f>
        <v>2024 Bridge</v>
      </c>
      <c r="B162" s="181">
        <f>'Rate Class Customer Model'!B13</f>
        <v>8566.6002674063275</v>
      </c>
      <c r="C162" s="181">
        <f>'Rate Class Customer Model'!C13</f>
        <v>1071.6069871659804</v>
      </c>
      <c r="D162" s="181">
        <f>'Rate Class Customer Model'!D13</f>
        <v>47</v>
      </c>
      <c r="E162" s="181">
        <f>'Rate Class Customer Model'!E13</f>
        <v>2756.4148805697369</v>
      </c>
      <c r="F162" s="181">
        <f>'Rate Class Customer Model'!F13</f>
        <v>1117</v>
      </c>
      <c r="G162" s="181">
        <f>SUM(B162:F162)</f>
        <v>13558.622135142044</v>
      </c>
      <c r="H162" s="84"/>
      <c r="J162" s="84"/>
      <c r="K162" s="84"/>
      <c r="L162" s="84"/>
    </row>
    <row r="163" spans="1:12" s="110" customFormat="1" x14ac:dyDescent="0.2">
      <c r="A163" s="324" t="s">
        <v>169</v>
      </c>
      <c r="B163" s="292">
        <f>'Rate Class Customer Model'!B14</f>
        <v>8634.8849400222571</v>
      </c>
      <c r="C163" s="292">
        <f>'Rate Class Customer Model'!C14</f>
        <v>1070.55837274188</v>
      </c>
      <c r="D163" s="292">
        <f>'Rate Class Customer Model'!D14</f>
        <v>46.119647750507838</v>
      </c>
      <c r="E163" s="292">
        <f>'Rate Class Customer Model'!E14</f>
        <v>2718.8145082649953</v>
      </c>
      <c r="F163" s="292">
        <f>'Rate Class Customer Model'!F14</f>
        <v>1129.0031247807513</v>
      </c>
      <c r="G163" s="181">
        <f>SUM(B163:F163)</f>
        <v>13599.38059356039</v>
      </c>
      <c r="H163" s="84"/>
      <c r="J163" s="84"/>
      <c r="K163" s="84"/>
      <c r="L163" s="84"/>
    </row>
    <row r="165" spans="1:12" x14ac:dyDescent="0.2">
      <c r="A165" s="311" t="s">
        <v>132</v>
      </c>
      <c r="B165" s="312"/>
      <c r="C165" s="312"/>
      <c r="D165" s="312"/>
      <c r="E165" s="312"/>
      <c r="F165" s="312"/>
      <c r="G165" s="87"/>
      <c r="H165" s="87"/>
      <c r="I165" s="87"/>
      <c r="J165" s="87"/>
    </row>
    <row r="166" spans="1:12" s="110" customFormat="1" ht="25.5" x14ac:dyDescent="0.2">
      <c r="A166" s="367" t="str">
        <f t="shared" ref="A166:D166" si="29">A160</f>
        <v>Year</v>
      </c>
      <c r="B166" s="366" t="str">
        <f t="shared" si="29"/>
        <v>R1(i) Residential</v>
      </c>
      <c r="C166" s="366" t="str">
        <f t="shared" si="29"/>
        <v>R1(ii) GS &lt; 50 kW</v>
      </c>
      <c r="D166" s="366" t="str">
        <f t="shared" si="29"/>
        <v>R2 GS&gt;50 kW</v>
      </c>
      <c r="E166" s="366" t="str">
        <f>E160</f>
        <v>Seasonal</v>
      </c>
      <c r="F166" s="366" t="str">
        <f>F160</f>
        <v>Street Lights</v>
      </c>
      <c r="H166" s="84"/>
      <c r="I166" s="84"/>
      <c r="J166" s="84"/>
      <c r="K166" s="84"/>
    </row>
    <row r="167" spans="1:12" x14ac:dyDescent="0.2">
      <c r="A167" s="270" t="s">
        <v>110</v>
      </c>
      <c r="B167" s="271"/>
      <c r="C167" s="271"/>
      <c r="D167" s="271"/>
      <c r="E167" s="271"/>
      <c r="F167" s="272"/>
      <c r="H167" s="87"/>
      <c r="I167" s="87"/>
    </row>
    <row r="168" spans="1:12" x14ac:dyDescent="0.2">
      <c r="A168" s="126">
        <v>2023</v>
      </c>
      <c r="B168" s="150">
        <f>'Rate Class Energy Model'!H21</f>
        <v>11360.73612256924</v>
      </c>
      <c r="C168" s="150">
        <f>'Rate Class Energy Model'!I21</f>
        <v>27010.901421800947</v>
      </c>
      <c r="D168" s="150">
        <f>'Rate Class Energy Model'!J21</f>
        <v>2727419.6382978722</v>
      </c>
      <c r="E168" s="150">
        <f>'Rate Class Energy Model'!K21</f>
        <v>2192.6201217329035</v>
      </c>
      <c r="F168" s="150">
        <f>'Rate Class Energy Model'!L21</f>
        <v>474.91471498011487</v>
      </c>
      <c r="H168" s="87"/>
      <c r="I168" s="87"/>
    </row>
    <row r="169" spans="1:12" x14ac:dyDescent="0.2">
      <c r="A169" s="100"/>
      <c r="B169" s="261"/>
      <c r="C169" s="261"/>
      <c r="D169" s="261"/>
      <c r="E169" s="261"/>
      <c r="F169" s="261"/>
      <c r="G169" s="87"/>
      <c r="H169" s="87"/>
      <c r="I169" s="87"/>
    </row>
    <row r="170" spans="1:12" x14ac:dyDescent="0.2">
      <c r="B170" s="111"/>
      <c r="C170" s="111"/>
      <c r="D170" s="111"/>
      <c r="E170" s="111"/>
      <c r="F170" s="111"/>
    </row>
    <row r="171" spans="1:12" x14ac:dyDescent="0.2">
      <c r="A171" s="112" t="s">
        <v>133</v>
      </c>
      <c r="B171" s="113"/>
      <c r="C171" s="113"/>
      <c r="D171" s="113"/>
      <c r="E171" s="113"/>
      <c r="F171" s="113"/>
    </row>
    <row r="172" spans="1:12" s="110" customFormat="1" ht="25.5" x14ac:dyDescent="0.2">
      <c r="A172" s="182" t="str">
        <f t="shared" ref="A172:C172" si="30">A166</f>
        <v>Year</v>
      </c>
      <c r="B172" s="179" t="str">
        <f t="shared" si="30"/>
        <v>R1(i) Residential</v>
      </c>
      <c r="C172" s="179" t="str">
        <f t="shared" si="30"/>
        <v>R1(ii) GS &lt; 50 kW</v>
      </c>
      <c r="D172" s="179" t="str">
        <f>D166</f>
        <v>R2 GS&gt;50 kW</v>
      </c>
      <c r="E172" s="179" t="str">
        <f>E166</f>
        <v>Seasonal</v>
      </c>
      <c r="F172" s="179" t="str">
        <f>F166</f>
        <v>Street Lights</v>
      </c>
      <c r="G172" s="84"/>
      <c r="I172" s="84"/>
      <c r="J172" s="84"/>
      <c r="K172" s="84"/>
    </row>
    <row r="173" spans="1:12" x14ac:dyDescent="0.2">
      <c r="A173" s="270" t="s">
        <v>111</v>
      </c>
      <c r="B173" s="271"/>
      <c r="C173" s="271"/>
      <c r="D173" s="271"/>
      <c r="E173" s="271"/>
      <c r="F173" s="271"/>
      <c r="G173" s="87"/>
      <c r="I173" s="87"/>
    </row>
    <row r="174" spans="1:12" x14ac:dyDescent="0.2">
      <c r="A174" s="151" t="str">
        <f>A162</f>
        <v>2024 Bridge</v>
      </c>
      <c r="B174" s="150">
        <f>'Rate Class Energy Model'!H22</f>
        <v>11360.73612256924</v>
      </c>
      <c r="C174" s="150">
        <f>'Rate Class Energy Model'!I22</f>
        <v>27010.901421800947</v>
      </c>
      <c r="D174" s="150">
        <f>'Rate Class Energy Model'!J22</f>
        <v>2727419.6382978722</v>
      </c>
      <c r="E174" s="150">
        <f>'Rate Class Energy Model'!K22</f>
        <v>2192.6201217329035</v>
      </c>
      <c r="F174" s="150">
        <f>'Rate Class Energy Model'!L22</f>
        <v>474.91471498011487</v>
      </c>
      <c r="G174" s="87"/>
      <c r="I174" s="87"/>
    </row>
    <row r="175" spans="1:12" x14ac:dyDescent="0.2">
      <c r="A175" s="259">
        <v>2025</v>
      </c>
      <c r="B175" s="150">
        <f>'Rate Class Energy Model'!H23</f>
        <v>11360.73612256924</v>
      </c>
      <c r="C175" s="150">
        <f>'Rate Class Energy Model'!I23</f>
        <v>27010.901421800947</v>
      </c>
      <c r="D175" s="150">
        <f>'Rate Class Energy Model'!J23</f>
        <v>2727419.6382978722</v>
      </c>
      <c r="E175" s="150">
        <f>'Rate Class Energy Model'!K23</f>
        <v>2192.6201217329035</v>
      </c>
      <c r="F175" s="150">
        <f>'Rate Class Energy Model'!L23</f>
        <v>474.91471498011487</v>
      </c>
      <c r="G175" s="87"/>
      <c r="I175" s="87"/>
    </row>
    <row r="177" spans="1:14" x14ac:dyDescent="0.2">
      <c r="A177" s="112" t="s">
        <v>134</v>
      </c>
      <c r="B177" s="113"/>
      <c r="C177" s="113"/>
      <c r="D177" s="113"/>
      <c r="E177" s="113"/>
      <c r="F177" s="113"/>
      <c r="K177" s="101"/>
    </row>
    <row r="178" spans="1:14" s="110" customFormat="1" ht="25.5" x14ac:dyDescent="0.2">
      <c r="A178" s="182" t="str">
        <f t="shared" ref="A178:G178" si="31">A160</f>
        <v>Year</v>
      </c>
      <c r="B178" s="179" t="str">
        <f t="shared" si="31"/>
        <v>R1(i) Residential</v>
      </c>
      <c r="C178" s="179" t="str">
        <f t="shared" si="31"/>
        <v>R1(ii) GS &lt; 50 kW</v>
      </c>
      <c r="D178" s="179" t="str">
        <f t="shared" si="31"/>
        <v>R2 GS&gt;50 kW</v>
      </c>
      <c r="E178" s="179" t="str">
        <f>E160</f>
        <v>Seasonal</v>
      </c>
      <c r="F178" s="179" t="str">
        <f>F160</f>
        <v>Street Lights</v>
      </c>
      <c r="G178" s="179" t="str">
        <f t="shared" si="31"/>
        <v>Total</v>
      </c>
      <c r="I178" s="84"/>
      <c r="J178" s="84"/>
      <c r="K178" s="84"/>
      <c r="L178" s="84"/>
    </row>
    <row r="179" spans="1:14" x14ac:dyDescent="0.2">
      <c r="A179" s="270" t="s">
        <v>112</v>
      </c>
      <c r="B179" s="271"/>
      <c r="C179" s="271"/>
      <c r="D179" s="271"/>
      <c r="E179" s="271"/>
      <c r="F179" s="271"/>
      <c r="G179" s="272"/>
      <c r="I179" s="87"/>
      <c r="J179" s="87"/>
      <c r="K179" s="87"/>
    </row>
    <row r="180" spans="1:14" x14ac:dyDescent="0.2">
      <c r="A180" s="126" t="str">
        <f>A174</f>
        <v>2024 Bridge</v>
      </c>
      <c r="B180" s="183">
        <f t="shared" ref="B180:D180" si="32">B174*B162/1000000</f>
        <v>97.322885105534368</v>
      </c>
      <c r="C180" s="183">
        <f t="shared" si="32"/>
        <v>28.94507069325341</v>
      </c>
      <c r="D180" s="183">
        <f t="shared" si="32"/>
        <v>128.18872299999998</v>
      </c>
      <c r="E180" s="183">
        <f>E174*E162/1000000</f>
        <v>6.043770730981203</v>
      </c>
      <c r="F180" s="183">
        <f>F174*F162/1000000</f>
        <v>0.53047973663278836</v>
      </c>
      <c r="G180" s="183">
        <f>SUM(B180:E180)</f>
        <v>260.50044952976896</v>
      </c>
      <c r="I180" s="87"/>
      <c r="J180" s="87"/>
      <c r="K180" s="87"/>
    </row>
    <row r="181" spans="1:14" x14ac:dyDescent="0.2">
      <c r="A181" s="255">
        <v>2025</v>
      </c>
      <c r="B181" s="183">
        <f>B175*B163/1000000</f>
        <v>98.098649252339996</v>
      </c>
      <c r="C181" s="183">
        <f>C175*C163/1000000</f>
        <v>28.916746672414558</v>
      </c>
      <c r="D181" s="183">
        <f>D175*D163/1000000</f>
        <v>125.78763298611537</v>
      </c>
      <c r="E181" s="183">
        <f>E175*E163/1000000</f>
        <v>5.9613273980811776</v>
      </c>
      <c r="F181" s="183">
        <f>F175*F163/1000000</f>
        <v>0.53618019721690946</v>
      </c>
      <c r="G181" s="293">
        <f>SUM(B181:E181)</f>
        <v>258.76435630895111</v>
      </c>
      <c r="I181" s="87"/>
      <c r="J181" s="87"/>
      <c r="K181" s="87"/>
    </row>
    <row r="183" spans="1:14" x14ac:dyDescent="0.2">
      <c r="B183" s="113" t="s">
        <v>135</v>
      </c>
      <c r="C183" s="113"/>
      <c r="D183" s="113"/>
      <c r="E183" s="113"/>
      <c r="F183" s="113"/>
    </row>
    <row r="184" spans="1:14" ht="25.5" x14ac:dyDescent="0.2">
      <c r="B184" s="362" t="str">
        <f t="shared" ref="B184:D184" si="33">B178</f>
        <v>R1(i) Residential</v>
      </c>
      <c r="C184" s="362" t="str">
        <f t="shared" si="33"/>
        <v>R1(ii) GS &lt; 50 kW</v>
      </c>
      <c r="D184" s="362" t="str">
        <f t="shared" si="33"/>
        <v>R2 GS&gt;50 kW</v>
      </c>
      <c r="E184" s="362" t="str">
        <f>E178</f>
        <v>Seasonal</v>
      </c>
      <c r="F184" s="362" t="str">
        <f>F178</f>
        <v>Street Lights</v>
      </c>
    </row>
    <row r="185" spans="1:14" x14ac:dyDescent="0.2">
      <c r="B185" s="311" t="s">
        <v>113</v>
      </c>
      <c r="C185" s="312"/>
      <c r="D185" s="312"/>
      <c r="E185" s="312"/>
      <c r="F185" s="368"/>
      <c r="H185" s="87"/>
      <c r="I185" s="87"/>
    </row>
    <row r="186" spans="1:14" x14ac:dyDescent="0.2">
      <c r="B186" s="118">
        <f>'Rate Class Energy Model'!H35</f>
        <v>0.82499999999999996</v>
      </c>
      <c r="C186" s="118">
        <f>'Rate Class Energy Model'!I35</f>
        <v>0.82499999999999996</v>
      </c>
      <c r="D186" s="118">
        <f>'Rate Class Energy Model'!J35</f>
        <v>0.65</v>
      </c>
      <c r="E186" s="118">
        <f>'Rate Class Energy Model'!K35</f>
        <v>0</v>
      </c>
      <c r="F186" s="118">
        <f>'Rate Class Energy Model'!L35</f>
        <v>0</v>
      </c>
      <c r="H186" s="87"/>
      <c r="I186" s="87"/>
    </row>
    <row r="187" spans="1:14" x14ac:dyDescent="0.2">
      <c r="B187" s="114"/>
      <c r="C187" s="114"/>
      <c r="D187" s="114"/>
      <c r="E187" s="114"/>
      <c r="F187" s="114"/>
    </row>
    <row r="188" spans="1:14" s="84" customFormat="1" x14ac:dyDescent="0.2"/>
    <row r="189" spans="1:14" s="87" customFormat="1" x14ac:dyDescent="0.2"/>
    <row r="190" spans="1:14" x14ac:dyDescent="0.2">
      <c r="A190" s="404" t="s">
        <v>136</v>
      </c>
      <c r="B190" s="404"/>
      <c r="C190" s="404"/>
      <c r="D190" s="404"/>
      <c r="E190" s="404"/>
      <c r="F190" s="404"/>
      <c r="G190" s="404"/>
      <c r="H190" s="404"/>
      <c r="I190" s="404"/>
      <c r="J190" s="404"/>
      <c r="K190" s="404"/>
      <c r="L190" s="404"/>
      <c r="M190" s="404"/>
      <c r="N190" s="93"/>
    </row>
    <row r="191" spans="1:14" ht="25.5" x14ac:dyDescent="0.2">
      <c r="A191" s="370" t="s">
        <v>65</v>
      </c>
      <c r="B191" s="362" t="str">
        <f t="shared" ref="B191:D191" si="34">B184</f>
        <v>R1(i) Residential</v>
      </c>
      <c r="C191" s="362" t="str">
        <f t="shared" si="34"/>
        <v>R1(ii) GS &lt; 50 kW</v>
      </c>
      <c r="D191" s="362" t="str">
        <f t="shared" si="34"/>
        <v>R2 GS&gt;50 kW</v>
      </c>
      <c r="E191" s="362" t="str">
        <f>E184</f>
        <v>Seasonal</v>
      </c>
      <c r="F191" s="362" t="str">
        <f>F184</f>
        <v>Street Lights</v>
      </c>
      <c r="G191" s="362" t="str">
        <f>G178</f>
        <v>Total</v>
      </c>
      <c r="I191" s="87"/>
      <c r="J191" s="87"/>
      <c r="K191" s="87"/>
    </row>
    <row r="192" spans="1:14" x14ac:dyDescent="0.2">
      <c r="A192" s="270" t="s">
        <v>114</v>
      </c>
      <c r="B192" s="271"/>
      <c r="C192" s="271"/>
      <c r="D192" s="271"/>
      <c r="E192" s="271"/>
      <c r="F192" s="271"/>
      <c r="G192" s="272"/>
      <c r="I192" s="87"/>
      <c r="J192" s="87"/>
      <c r="K192" s="87"/>
    </row>
    <row r="193" spans="1:11" x14ac:dyDescent="0.2">
      <c r="A193" s="126" t="str">
        <f t="shared" ref="A193:D193" si="35">A180</f>
        <v>2024 Bridge</v>
      </c>
      <c r="B193" s="183">
        <f t="shared" si="35"/>
        <v>97.322885105534368</v>
      </c>
      <c r="C193" s="183">
        <f t="shared" si="35"/>
        <v>28.94507069325341</v>
      </c>
      <c r="D193" s="183">
        <f t="shared" si="35"/>
        <v>128.18872299999998</v>
      </c>
      <c r="E193" s="183">
        <f>E180</f>
        <v>6.043770730981203</v>
      </c>
      <c r="F193" s="183">
        <f>F180</f>
        <v>0.53047973663278836</v>
      </c>
      <c r="G193" s="183">
        <f>SUM(B193:E193)</f>
        <v>260.50044952976896</v>
      </c>
      <c r="I193" s="87"/>
      <c r="J193" s="87"/>
      <c r="K193" s="87"/>
    </row>
    <row r="194" spans="1:11" x14ac:dyDescent="0.2">
      <c r="A194" s="369" t="s">
        <v>169</v>
      </c>
      <c r="B194" s="183">
        <f t="shared" ref="B194:D194" si="36">B181</f>
        <v>98.098649252339996</v>
      </c>
      <c r="C194" s="183">
        <f t="shared" si="36"/>
        <v>28.916746672414558</v>
      </c>
      <c r="D194" s="183">
        <f t="shared" si="36"/>
        <v>125.78763298611537</v>
      </c>
      <c r="E194" s="183">
        <f>E181</f>
        <v>5.9613273980811776</v>
      </c>
      <c r="F194" s="183">
        <f>F181</f>
        <v>0.53618019721690946</v>
      </c>
      <c r="G194" s="183">
        <f>SUM(B194:E194)</f>
        <v>258.76435630895111</v>
      </c>
      <c r="I194" s="87"/>
      <c r="J194" s="87"/>
      <c r="K194" s="87"/>
    </row>
    <row r="195" spans="1:11" x14ac:dyDescent="0.2">
      <c r="A195" s="270" t="s">
        <v>115</v>
      </c>
      <c r="B195" s="271"/>
      <c r="C195" s="271"/>
      <c r="D195" s="271"/>
      <c r="E195" s="271"/>
      <c r="F195" s="271"/>
      <c r="G195" s="272"/>
      <c r="I195" s="87"/>
      <c r="J195" s="87"/>
      <c r="K195" s="87"/>
    </row>
    <row r="196" spans="1:11" x14ac:dyDescent="0.2">
      <c r="A196" s="151" t="str">
        <f>A174</f>
        <v>2024 Bridge</v>
      </c>
      <c r="B196" s="184">
        <f>'Rate Class Energy Model'!H40/1000000</f>
        <v>1.0324178002933417</v>
      </c>
      <c r="C196" s="184">
        <f>'Rate Class Energy Model'!I40/1000000</f>
        <v>0.30705425740368447</v>
      </c>
      <c r="D196" s="184">
        <f>'Rate Class Energy Model'!J40/1000000</f>
        <v>1.0713953029221912</v>
      </c>
      <c r="E196" s="184">
        <f>'Rate Class Energy Model'!K40/1000000</f>
        <v>0</v>
      </c>
      <c r="F196" s="184">
        <f>'Rate Class Energy Model'!L40/1000000</f>
        <v>0</v>
      </c>
      <c r="G196" s="184">
        <f>SUM(B196:E196)</f>
        <v>2.4108673606192177</v>
      </c>
      <c r="I196" s="87"/>
      <c r="J196" s="87"/>
      <c r="K196" s="87"/>
    </row>
    <row r="197" spans="1:11" x14ac:dyDescent="0.2">
      <c r="A197" s="369" t="s">
        <v>169</v>
      </c>
      <c r="B197" s="184">
        <f>'Rate Class Energy Model'!H41/1000000</f>
        <v>3.7638599307817038</v>
      </c>
      <c r="C197" s="184">
        <f>'Rate Class Energy Model'!I41/1000000</f>
        <v>1.1094809659295093</v>
      </c>
      <c r="D197" s="184">
        <f>'Rate Class Energy Model'!J41/1000000</f>
        <v>3.8024873554572638</v>
      </c>
      <c r="E197" s="184">
        <f>'Rate Class Energy Model'!K41/1000000</f>
        <v>0</v>
      </c>
      <c r="F197" s="184">
        <f>'Rate Class Energy Model'!L41/1000000</f>
        <v>0</v>
      </c>
      <c r="G197" s="262">
        <f>SUM(B197:E197)</f>
        <v>8.6758282521684755</v>
      </c>
      <c r="I197" s="87"/>
      <c r="J197" s="87"/>
      <c r="K197" s="87"/>
    </row>
    <row r="198" spans="1:11" ht="15" customHeight="1" x14ac:dyDescent="0.2">
      <c r="A198" s="270" t="s">
        <v>213</v>
      </c>
      <c r="B198" s="271"/>
      <c r="C198" s="271"/>
      <c r="D198" s="271"/>
      <c r="E198" s="271"/>
      <c r="F198" s="271"/>
      <c r="G198" s="272"/>
      <c r="I198" s="87"/>
      <c r="J198" s="87"/>
      <c r="K198" s="87"/>
    </row>
    <row r="199" spans="1:11" ht="15" customHeight="1" x14ac:dyDescent="0.2">
      <c r="A199" s="151" t="s">
        <v>169</v>
      </c>
      <c r="B199" s="326">
        <v>0</v>
      </c>
      <c r="C199" s="326">
        <v>0</v>
      </c>
      <c r="D199" s="184">
        <f>'Rate Class Energy Model'!J44/1000000</f>
        <v>51.89964157706094</v>
      </c>
      <c r="E199" s="326">
        <v>0</v>
      </c>
      <c r="F199" s="326">
        <v>0</v>
      </c>
      <c r="G199" s="326">
        <v>0</v>
      </c>
      <c r="I199" s="87"/>
      <c r="J199" s="87"/>
      <c r="K199" s="87"/>
    </row>
    <row r="200" spans="1:11" x14ac:dyDescent="0.2">
      <c r="A200" s="270" t="s">
        <v>116</v>
      </c>
      <c r="B200" s="271"/>
      <c r="C200" s="271"/>
      <c r="D200" s="271"/>
      <c r="E200" s="271"/>
      <c r="F200" s="271"/>
      <c r="G200" s="272"/>
      <c r="I200" s="87"/>
      <c r="J200" s="87"/>
      <c r="K200" s="87"/>
    </row>
    <row r="201" spans="1:11" x14ac:dyDescent="0.2">
      <c r="A201" s="126" t="str">
        <f>A193</f>
        <v>2024 Bridge</v>
      </c>
      <c r="B201" s="185">
        <f>B193+B196</f>
        <v>98.355302905827713</v>
      </c>
      <c r="C201" s="185">
        <f>C193+C196</f>
        <v>29.252124950657095</v>
      </c>
      <c r="D201" s="185">
        <f>D193+D196</f>
        <v>129.26011830292217</v>
      </c>
      <c r="E201" s="185">
        <f>E193+E196</f>
        <v>6.043770730981203</v>
      </c>
      <c r="F201" s="185">
        <f>F193+F196</f>
        <v>0.53047973663278836</v>
      </c>
      <c r="G201" s="184">
        <f>SUM(B201:E201)</f>
        <v>262.91131689038815</v>
      </c>
      <c r="I201" s="87"/>
      <c r="J201" s="87"/>
      <c r="K201" s="87"/>
    </row>
    <row r="202" spans="1:11" ht="15" customHeight="1" x14ac:dyDescent="0.2">
      <c r="A202" s="369" t="s">
        <v>169</v>
      </c>
      <c r="B202" s="185">
        <f>B194+B197</f>
        <v>101.8625091831217</v>
      </c>
      <c r="C202" s="185">
        <f>C194+C197</f>
        <v>30.026227638344068</v>
      </c>
      <c r="D202" s="185">
        <f>D194+D197+D199</f>
        <v>181.48976191863358</v>
      </c>
      <c r="E202" s="185">
        <f>E194+E197</f>
        <v>5.9613273980811776</v>
      </c>
      <c r="F202" s="185">
        <f>F194+F197</f>
        <v>0.53618019721690946</v>
      </c>
      <c r="G202" s="184">
        <f>SUM(B202:E202)</f>
        <v>319.33982613818051</v>
      </c>
      <c r="I202" s="87"/>
      <c r="J202" s="87"/>
      <c r="K202" s="87"/>
    </row>
    <row r="203" spans="1:11" ht="15" customHeight="1" x14ac:dyDescent="0.2">
      <c r="A203" s="100"/>
      <c r="B203" s="325"/>
      <c r="C203" s="325"/>
      <c r="D203" s="325"/>
      <c r="E203" s="325"/>
      <c r="F203" s="325"/>
      <c r="G203" s="310"/>
      <c r="I203" s="87"/>
      <c r="J203" s="87"/>
      <c r="K203" s="87"/>
    </row>
    <row r="204" spans="1:11" x14ac:dyDescent="0.2">
      <c r="A204" s="100"/>
      <c r="B204" s="111"/>
      <c r="C204" s="111"/>
      <c r="D204" s="111"/>
      <c r="E204" s="111"/>
    </row>
    <row r="205" spans="1:11" ht="12.95" customHeight="1" x14ac:dyDescent="0.2">
      <c r="A205" s="405" t="s">
        <v>137</v>
      </c>
      <c r="B205" s="405"/>
      <c r="C205" s="405"/>
      <c r="D205" s="405"/>
      <c r="E205" s="405"/>
      <c r="F205" s="87"/>
      <c r="G205" s="87"/>
      <c r="H205" s="87"/>
      <c r="I205" s="87"/>
    </row>
    <row r="206" spans="1:11" ht="25.5" x14ac:dyDescent="0.2">
      <c r="A206" s="321" t="s">
        <v>65</v>
      </c>
      <c r="B206" s="320" t="str">
        <f>D191</f>
        <v>R2 GS&gt;50 kW</v>
      </c>
      <c r="C206" s="320" t="str">
        <f>F191</f>
        <v>Street Lights</v>
      </c>
      <c r="D206" s="87"/>
      <c r="E206" s="87"/>
      <c r="F206" s="87"/>
    </row>
    <row r="207" spans="1:11" x14ac:dyDescent="0.2">
      <c r="A207" s="270" t="s">
        <v>117</v>
      </c>
      <c r="B207" s="271"/>
      <c r="C207" s="271"/>
      <c r="D207" s="87"/>
      <c r="E207" s="87"/>
      <c r="F207" s="87"/>
    </row>
    <row r="208" spans="1:11" x14ac:dyDescent="0.2">
      <c r="A208" s="126">
        <f t="shared" ref="A208:A216" si="37">A146</f>
        <v>2014</v>
      </c>
      <c r="B208" s="186">
        <f>'Rate Class Load Model'!B16</f>
        <v>2.3563715366026884E-3</v>
      </c>
      <c r="C208" s="186" cm="1">
        <f t="array" ref="C208:C217">'Rate Class Load Model'!C16:C25</f>
        <v>2.8651610440507897E-3</v>
      </c>
      <c r="D208" s="87"/>
      <c r="E208" s="87"/>
      <c r="F208" s="87"/>
    </row>
    <row r="209" spans="1:10" x14ac:dyDescent="0.2">
      <c r="A209" s="126">
        <f t="shared" si="37"/>
        <v>2015</v>
      </c>
      <c r="B209" s="186">
        <f>'Rate Class Load Model'!B17</f>
        <v>2.4068351562067402E-3</v>
      </c>
      <c r="C209" s="186">
        <v>2.8652357632588175E-3</v>
      </c>
      <c r="D209" s="87"/>
      <c r="E209" s="87"/>
      <c r="F209" s="87"/>
    </row>
    <row r="210" spans="1:10" x14ac:dyDescent="0.2">
      <c r="A210" s="126">
        <f t="shared" si="37"/>
        <v>2016</v>
      </c>
      <c r="B210" s="186">
        <f>'Rate Class Load Model'!B18</f>
        <v>2.4265606572213025E-3</v>
      </c>
      <c r="C210" s="186">
        <v>2.7763740999022539E-3</v>
      </c>
      <c r="D210" s="87"/>
      <c r="E210" s="87"/>
      <c r="F210" s="87"/>
    </row>
    <row r="211" spans="1:10" x14ac:dyDescent="0.2">
      <c r="A211" s="126">
        <f t="shared" si="37"/>
        <v>2017</v>
      </c>
      <c r="B211" s="186">
        <f>'Rate Class Load Model'!B19</f>
        <v>2.230783193891586E-3</v>
      </c>
      <c r="C211" s="186">
        <v>2.7792240385884704E-3</v>
      </c>
      <c r="D211" s="87"/>
      <c r="E211" s="87"/>
      <c r="F211" s="87"/>
    </row>
    <row r="212" spans="1:10" x14ac:dyDescent="0.2">
      <c r="A212" s="126">
        <f t="shared" si="37"/>
        <v>2018</v>
      </c>
      <c r="B212" s="186">
        <f>'Rate Class Load Model'!B20</f>
        <v>2.1465197877672771E-3</v>
      </c>
      <c r="C212" s="186">
        <v>2.7391928913163637E-3</v>
      </c>
      <c r="D212" s="87"/>
      <c r="E212" s="87"/>
      <c r="F212" s="87"/>
    </row>
    <row r="213" spans="1:10" x14ac:dyDescent="0.2">
      <c r="A213" s="126">
        <f t="shared" si="37"/>
        <v>2019</v>
      </c>
      <c r="B213" s="186">
        <f>'Rate Class Load Model'!B21</f>
        <v>2.1015825872624746E-3</v>
      </c>
      <c r="C213" s="186">
        <v>2.7802801476692627E-3</v>
      </c>
      <c r="D213" s="87"/>
      <c r="E213" s="87"/>
      <c r="F213" s="87"/>
    </row>
    <row r="214" spans="1:10" x14ac:dyDescent="0.2">
      <c r="A214" s="126">
        <f t="shared" si="37"/>
        <v>2020</v>
      </c>
      <c r="B214" s="186">
        <f>'Rate Class Load Model'!B22</f>
        <v>2.2524551796602506E-3</v>
      </c>
      <c r="C214" s="186">
        <v>2.7606470057060443E-3</v>
      </c>
      <c r="D214" s="87"/>
      <c r="E214" s="87"/>
      <c r="F214" s="87"/>
    </row>
    <row r="215" spans="1:10" x14ac:dyDescent="0.2">
      <c r="A215" s="126">
        <f t="shared" si="37"/>
        <v>2021</v>
      </c>
      <c r="B215" s="186">
        <f>'Rate Class Load Model'!B23</f>
        <v>2.1415808513247665E-3</v>
      </c>
      <c r="C215" s="186">
        <v>2.6815007032663647E-3</v>
      </c>
      <c r="D215" s="87"/>
      <c r="E215" s="87"/>
      <c r="F215" s="87"/>
    </row>
    <row r="216" spans="1:10" x14ac:dyDescent="0.2">
      <c r="A216" s="126">
        <f t="shared" si="37"/>
        <v>2022</v>
      </c>
      <c r="B216" s="186">
        <f>'Rate Class Load Model'!B24</f>
        <v>2.1682313446618629E-3</v>
      </c>
      <c r="C216" s="186">
        <v>2.8768502680298954E-3</v>
      </c>
      <c r="D216" s="87"/>
      <c r="E216" s="87"/>
      <c r="F216" s="87"/>
    </row>
    <row r="217" spans="1:10" x14ac:dyDescent="0.2">
      <c r="A217" s="125">
        <v>2023</v>
      </c>
      <c r="B217" s="186">
        <f>'Rate Class Load Model'!B25</f>
        <v>2.1691065601769041E-3</v>
      </c>
      <c r="C217" s="186">
        <v>2.8006982205796421E-3</v>
      </c>
      <c r="D217" s="87"/>
      <c r="E217" s="87"/>
      <c r="F217" s="87"/>
    </row>
    <row r="218" spans="1:10" x14ac:dyDescent="0.2">
      <c r="A218" s="263"/>
      <c r="B218" s="264"/>
      <c r="C218" s="264"/>
      <c r="D218" s="87"/>
      <c r="E218" s="87"/>
      <c r="F218" s="87"/>
    </row>
    <row r="219" spans="1:10" x14ac:dyDescent="0.2">
      <c r="A219" s="121" t="s">
        <v>10</v>
      </c>
      <c r="B219" s="187">
        <f>'Rate Class Load Model'!B29</f>
        <v>2.2400026854775853E-3</v>
      </c>
      <c r="C219" s="187">
        <f>'Rate Class Load Model'!C29</f>
        <v>2.7925164182367908E-3</v>
      </c>
      <c r="D219" s="87"/>
      <c r="E219" s="87"/>
      <c r="F219" s="87"/>
    </row>
    <row r="221" spans="1:10" x14ac:dyDescent="0.2">
      <c r="A221" s="404" t="s">
        <v>138</v>
      </c>
      <c r="B221" s="404"/>
      <c r="C221" s="404"/>
      <c r="D221" s="404"/>
      <c r="E221" s="404"/>
      <c r="F221" s="404"/>
      <c r="G221" s="87"/>
      <c r="H221" s="87"/>
      <c r="I221" s="87"/>
      <c r="J221" s="87"/>
    </row>
    <row r="222" spans="1:10" ht="25.5" x14ac:dyDescent="0.2">
      <c r="A222" s="370" t="s">
        <v>65</v>
      </c>
      <c r="B222" s="362" t="str">
        <f>B206</f>
        <v>R2 GS&gt;50 kW</v>
      </c>
      <c r="C222" s="362" t="str">
        <f>C206</f>
        <v>Street Lights</v>
      </c>
      <c r="D222" s="362" t="s">
        <v>8</v>
      </c>
      <c r="E222" s="87"/>
      <c r="F222" s="87"/>
      <c r="G222" s="87"/>
      <c r="H222" s="87"/>
    </row>
    <row r="223" spans="1:10" x14ac:dyDescent="0.2">
      <c r="A223" s="270" t="s">
        <v>118</v>
      </c>
      <c r="B223" s="271"/>
      <c r="C223" s="271"/>
      <c r="D223" s="272"/>
      <c r="E223" s="87"/>
      <c r="F223" s="87"/>
      <c r="G223" s="87"/>
      <c r="H223" s="87"/>
    </row>
    <row r="224" spans="1:10" x14ac:dyDescent="0.2">
      <c r="A224" s="255" t="str">
        <f>A201</f>
        <v>2024 Bridge</v>
      </c>
      <c r="B224" s="150">
        <f>'Rate Class Load Model'!B12</f>
        <v>289543.01212369604</v>
      </c>
      <c r="C224" s="150">
        <f>'Rate Class Load Model'!C12</f>
        <v>1481.3733740889902</v>
      </c>
      <c r="D224" s="150">
        <f>SUM(B224:C224)</f>
        <v>291024.38549778506</v>
      </c>
      <c r="E224" s="87"/>
      <c r="F224" s="87"/>
      <c r="G224" s="87"/>
      <c r="H224" s="87"/>
    </row>
    <row r="225" spans="1:25" x14ac:dyDescent="0.2">
      <c r="A225" s="371">
        <v>2025</v>
      </c>
      <c r="B225" s="150">
        <f>'Rate Class Load Model'!B13</f>
        <v>377162.21757648617</v>
      </c>
      <c r="C225" s="150">
        <f>'Rate Class Load Model'!C13</f>
        <v>1497.2920038616603</v>
      </c>
      <c r="D225" s="150">
        <f>SUM(B225:C225)</f>
        <v>378659.50958034786</v>
      </c>
    </row>
    <row r="227" spans="1:25" x14ac:dyDescent="0.2">
      <c r="A227" s="93" t="s">
        <v>140</v>
      </c>
      <c r="Q227" s="93"/>
      <c r="R227" s="93"/>
      <c r="S227" s="93"/>
      <c r="T227" s="93"/>
      <c r="U227" s="93"/>
      <c r="V227" s="93"/>
      <c r="W227" s="93"/>
      <c r="X227" s="93"/>
      <c r="Y227" s="93"/>
    </row>
    <row r="228" spans="1:25" ht="38.25" x14ac:dyDescent="0.2">
      <c r="A228" s="362"/>
      <c r="B228" s="362" t="s">
        <v>204</v>
      </c>
      <c r="C228" s="362" t="s">
        <v>59</v>
      </c>
      <c r="D228" s="362" t="s">
        <v>62</v>
      </c>
      <c r="E228" s="362" t="s">
        <v>63</v>
      </c>
      <c r="F228" s="362" t="s">
        <v>139</v>
      </c>
      <c r="G228" s="362" t="s">
        <v>69</v>
      </c>
      <c r="H228" s="362" t="s">
        <v>70</v>
      </c>
      <c r="I228" s="363" t="s">
        <v>190</v>
      </c>
      <c r="J228" s="362" t="s">
        <v>193</v>
      </c>
      <c r="K228" s="362" t="s">
        <v>194</v>
      </c>
      <c r="L228" s="87">
        <v>2025</v>
      </c>
    </row>
    <row r="229" spans="1:25" x14ac:dyDescent="0.2">
      <c r="A229" s="270" t="s">
        <v>5</v>
      </c>
      <c r="B229" s="312"/>
      <c r="C229" s="271"/>
      <c r="D229" s="271"/>
      <c r="E229" s="271"/>
      <c r="F229" s="271"/>
      <c r="G229" s="271"/>
      <c r="H229" s="271"/>
      <c r="I229" s="271"/>
      <c r="J229" s="271"/>
      <c r="K229" s="272"/>
      <c r="L229" s="87"/>
    </row>
    <row r="230" spans="1:25" x14ac:dyDescent="0.2">
      <c r="A230" s="126" t="s">
        <v>48</v>
      </c>
      <c r="B230" s="315"/>
      <c r="C230" s="147">
        <f>'Load Forecast Summary'!E4</f>
        <v>217280995.02387795</v>
      </c>
      <c r="D230" s="147">
        <f>'Load Forecast Summary'!F4</f>
        <v>241087151.13</v>
      </c>
      <c r="E230" s="147">
        <f>'Load Forecast Summary'!G4</f>
        <v>255923211</v>
      </c>
      <c r="F230" s="147">
        <f>'Load Forecast Summary'!H4</f>
        <v>252540603</v>
      </c>
      <c r="G230" s="147">
        <f>'Load Forecast Summary'!I4</f>
        <v>265226888</v>
      </c>
      <c r="H230" s="147">
        <f>'Load Forecast Summary'!J4</f>
        <v>279572890</v>
      </c>
      <c r="I230" s="260">
        <f>'Load Forecast Summary'!K4</f>
        <v>281399999.13</v>
      </c>
      <c r="J230" s="147"/>
      <c r="K230" s="147"/>
      <c r="L230" s="87"/>
    </row>
    <row r="231" spans="1:25" ht="12.75" customHeight="1" x14ac:dyDescent="0.2">
      <c r="A231" s="151" t="s">
        <v>119</v>
      </c>
      <c r="B231" s="315">
        <f>B234*B233</f>
        <v>246292288.57870001</v>
      </c>
      <c r="C231" s="147">
        <f>'Load Forecast Summary'!E5</f>
        <v>222936935.79111478</v>
      </c>
      <c r="D231" s="147">
        <f>'Load Forecast Summary'!F5</f>
        <v>231146708.30304456</v>
      </c>
      <c r="E231" s="147">
        <f>'Load Forecast Summary'!G5</f>
        <v>238698376.49621281</v>
      </c>
      <c r="F231" s="147">
        <f>'Load Forecast Summary'!H5</f>
        <v>248560275.93597302</v>
      </c>
      <c r="G231" s="147">
        <f>'Load Forecast Summary'!I5</f>
        <v>265083240.63657501</v>
      </c>
      <c r="H231" s="147">
        <f>'Load Forecast Summary'!J5</f>
        <v>280348495.50124574</v>
      </c>
      <c r="I231" s="260">
        <f>'Load Forecast Summary'!K5</f>
        <v>281897516.58727068</v>
      </c>
      <c r="J231" s="315">
        <f>'Load Forecast Summary'!L5</f>
        <v>286442559.29903477</v>
      </c>
      <c r="K231" s="315">
        <f>'Load Forecast Summary'!M5</f>
        <v>291373034.71136582</v>
      </c>
      <c r="L231" s="87"/>
    </row>
    <row r="232" spans="1:25" ht="38.25" x14ac:dyDescent="0.2">
      <c r="A232" s="151" t="s">
        <v>120</v>
      </c>
      <c r="B232" s="316"/>
      <c r="C232" s="188">
        <f t="shared" ref="C232:H232" si="38">(C231-C230)/C230</f>
        <v>2.603053601910868E-2</v>
      </c>
      <c r="D232" s="188">
        <f t="shared" si="38"/>
        <v>-4.1231740390823696E-2</v>
      </c>
      <c r="E232" s="188">
        <f t="shared" si="38"/>
        <v>-6.7304698297909332E-2</v>
      </c>
      <c r="F232" s="188">
        <f t="shared" si="38"/>
        <v>-1.5761137087436913E-2</v>
      </c>
      <c r="G232" s="188">
        <f t="shared" si="38"/>
        <v>-5.4160181310496168E-4</v>
      </c>
      <c r="H232" s="188">
        <f t="shared" si="38"/>
        <v>2.7742514706835027E-3</v>
      </c>
      <c r="I232" s="188">
        <f>(I231-I230)/I230</f>
        <v>1.7680080270392638E-3</v>
      </c>
      <c r="J232" s="188"/>
      <c r="K232" s="188"/>
      <c r="L232" s="87"/>
      <c r="M232" s="84"/>
      <c r="N232" s="84"/>
      <c r="O232" s="84"/>
      <c r="P232" s="84"/>
      <c r="Q232" s="84"/>
      <c r="R232" s="84"/>
      <c r="S232" s="84"/>
      <c r="T232" s="84"/>
      <c r="U232" s="84"/>
    </row>
    <row r="233" spans="1:25" ht="12.95" customHeight="1" x14ac:dyDescent="0.2">
      <c r="A233" s="142" t="s">
        <v>0</v>
      </c>
      <c r="B233" s="318">
        <v>1.0829</v>
      </c>
      <c r="C233" s="190"/>
      <c r="D233" s="164"/>
      <c r="E233" s="164"/>
      <c r="F233" s="191"/>
      <c r="G233" s="191"/>
      <c r="H233" s="191"/>
      <c r="I233" s="274"/>
      <c r="J233" s="192">
        <f>'Rate Class Energy Model'!F16</f>
        <v>1.0873087071470975</v>
      </c>
      <c r="K233" s="165">
        <f>J233</f>
        <v>1.0873087071470975</v>
      </c>
      <c r="L233" s="87"/>
    </row>
    <row r="234" spans="1:25" ht="12.95" customHeight="1" x14ac:dyDescent="0.2">
      <c r="A234" s="142" t="s">
        <v>64</v>
      </c>
      <c r="B234" s="315">
        <v>227437703</v>
      </c>
      <c r="C234" s="147">
        <f t="array" ref="C234:H234">TRANSPOSE('Rate Class Energy Model'!G6:G11)</f>
        <v>203063777.39999998</v>
      </c>
      <c r="D234" s="147">
        <v>224565775.07520857</v>
      </c>
      <c r="E234" s="147">
        <v>235800480.53377673</v>
      </c>
      <c r="F234" s="147">
        <v>229140219.85089642</v>
      </c>
      <c r="G234" s="147">
        <v>244314343.79167747</v>
      </c>
      <c r="H234" s="147">
        <v>256287580.02670693</v>
      </c>
      <c r="I234" s="260">
        <f>'Rate Class Energy Model'!G12</f>
        <v>259742424</v>
      </c>
      <c r="J234" s="147">
        <f>J231/J233</f>
        <v>263441796.62702098</v>
      </c>
      <c r="K234" s="147">
        <f>K231/K233</f>
        <v>267976364.75833645</v>
      </c>
      <c r="L234" s="87"/>
      <c r="M234" s="95"/>
      <c r="N234" s="95"/>
      <c r="O234" s="95"/>
    </row>
    <row r="235" spans="1:25" x14ac:dyDescent="0.2">
      <c r="A235" s="270" t="s">
        <v>121</v>
      </c>
      <c r="B235" s="312"/>
      <c r="C235" s="271"/>
      <c r="D235" s="271"/>
      <c r="E235" s="271"/>
      <c r="F235" s="271"/>
      <c r="G235" s="271"/>
      <c r="H235" s="271"/>
      <c r="I235" s="271"/>
      <c r="J235" s="271"/>
      <c r="K235" s="272"/>
      <c r="L235" s="87"/>
    </row>
    <row r="236" spans="1:25" x14ac:dyDescent="0.2">
      <c r="A236" s="189" t="s">
        <v>1</v>
      </c>
      <c r="B236" s="317"/>
      <c r="C236" s="189"/>
      <c r="D236" s="189"/>
      <c r="E236" s="189"/>
      <c r="F236" s="189"/>
      <c r="G236" s="189"/>
      <c r="H236" s="189"/>
      <c r="I236" s="273"/>
      <c r="J236" s="189"/>
      <c r="K236" s="189"/>
      <c r="L236" s="87"/>
    </row>
    <row r="237" spans="1:25" x14ac:dyDescent="0.2">
      <c r="A237" s="126" t="s">
        <v>42</v>
      </c>
      <c r="B237" s="319">
        <v>8116</v>
      </c>
      <c r="C237" s="129">
        <f>'Load Forecast Summary'!E14</f>
        <v>7596.416666666667</v>
      </c>
      <c r="D237" s="129">
        <f>'Load Forecast Summary'!F14</f>
        <v>7639.75</v>
      </c>
      <c r="E237" s="129">
        <f>'Load Forecast Summary'!G14</f>
        <v>7697.5</v>
      </c>
      <c r="F237" s="129">
        <f>'Load Forecast Summary'!H14</f>
        <v>7924.5</v>
      </c>
      <c r="G237" s="129">
        <f>'Load Forecast Summary'!I14</f>
        <v>8204.5</v>
      </c>
      <c r="H237" s="129">
        <f>'Load Forecast Summary'!J14</f>
        <v>8360.5</v>
      </c>
      <c r="I237" s="257">
        <f>'Load Forecast Summary'!K14</f>
        <v>8485</v>
      </c>
      <c r="J237" s="129">
        <f>'Load Forecast Summary'!L14</f>
        <v>8566.6002674063275</v>
      </c>
      <c r="K237" s="129">
        <f>'Load Forecast Summary'!M14</f>
        <v>8634.8849400222571</v>
      </c>
      <c r="L237" s="87"/>
      <c r="M237" s="95"/>
    </row>
    <row r="238" spans="1:25" x14ac:dyDescent="0.2">
      <c r="A238" s="126" t="s">
        <v>43</v>
      </c>
      <c r="B238" s="319">
        <f>84857056</f>
        <v>84857056</v>
      </c>
      <c r="C238" s="129">
        <f>'Load Forecast Summary'!E15</f>
        <v>76321855.799999997</v>
      </c>
      <c r="D238" s="129">
        <f>'Load Forecast Summary'!F15</f>
        <v>82424404.340000227</v>
      </c>
      <c r="E238" s="129">
        <f>'Load Forecast Summary'!G15</f>
        <v>86629135.540000111</v>
      </c>
      <c r="F238" s="129">
        <f>'Load Forecast Summary'!H15</f>
        <v>91478383.059998766</v>
      </c>
      <c r="G238" s="129">
        <f>'Load Forecast Summary'!I15</f>
        <v>92005689.629998744</v>
      </c>
      <c r="H238" s="129">
        <f>'Load Forecast Summary'!J15</f>
        <v>99292265.290000916</v>
      </c>
      <c r="I238" s="129">
        <f>'Load Forecast Summary'!K15</f>
        <v>96395846</v>
      </c>
      <c r="J238" s="129">
        <f>'Load Forecast Summary'!L15</f>
        <v>98355302.905827716</v>
      </c>
      <c r="K238" s="129">
        <f>'Load Forecast Summary'!M15</f>
        <v>101862509.1831217</v>
      </c>
      <c r="L238" s="87"/>
      <c r="M238" s="95"/>
      <c r="N238" s="95"/>
      <c r="O238" s="95"/>
      <c r="P238" s="95"/>
      <c r="Q238" s="95"/>
      <c r="R238" s="95"/>
      <c r="S238" s="95"/>
    </row>
    <row r="239" spans="1:25" x14ac:dyDescent="0.2">
      <c r="A239" s="189" t="s">
        <v>71</v>
      </c>
      <c r="B239" s="317"/>
      <c r="C239" s="189"/>
      <c r="D239" s="189"/>
      <c r="E239" s="189"/>
      <c r="F239" s="189"/>
      <c r="G239" s="189"/>
      <c r="H239" s="189"/>
      <c r="I239" s="273"/>
      <c r="J239" s="189"/>
      <c r="K239" s="189"/>
      <c r="L239" s="87"/>
    </row>
    <row r="240" spans="1:25" x14ac:dyDescent="0.2">
      <c r="A240" s="126" t="s">
        <v>42</v>
      </c>
      <c r="B240" s="319">
        <v>997</v>
      </c>
      <c r="C240" s="129">
        <f>'Load Forecast Summary'!E18</f>
        <v>961.16666666666663</v>
      </c>
      <c r="D240" s="129">
        <f>'Load Forecast Summary'!F18</f>
        <v>960.91666666666663</v>
      </c>
      <c r="E240" s="129">
        <f>'Load Forecast Summary'!G18</f>
        <v>951</v>
      </c>
      <c r="F240" s="129">
        <f>'Load Forecast Summary'!H18</f>
        <v>968.5</v>
      </c>
      <c r="G240" s="129">
        <f>'Load Forecast Summary'!I18</f>
        <v>998.5</v>
      </c>
      <c r="H240" s="129">
        <f>'Load Forecast Summary'!J18</f>
        <v>1025</v>
      </c>
      <c r="I240" s="257">
        <f>'Load Forecast Summary'!K18</f>
        <v>1055</v>
      </c>
      <c r="J240" s="129">
        <f>'Load Forecast Summary'!L18</f>
        <v>1071.6069871659804</v>
      </c>
      <c r="K240" s="129">
        <f>'Load Forecast Summary'!M18</f>
        <v>1070.55837274188</v>
      </c>
      <c r="L240" s="87"/>
    </row>
    <row r="241" spans="1:19" x14ac:dyDescent="0.2">
      <c r="A241" s="126" t="s">
        <v>43</v>
      </c>
      <c r="B241" s="319">
        <v>28480011</v>
      </c>
      <c r="C241" s="129">
        <f>'Load Forecast Summary'!E19</f>
        <v>25604789</v>
      </c>
      <c r="D241" s="129">
        <f>'Load Forecast Summary'!F19</f>
        <v>26132430.019999992</v>
      </c>
      <c r="E241" s="129">
        <f>'Load Forecast Summary'!G19</f>
        <v>26695948.809999999</v>
      </c>
      <c r="F241" s="129">
        <f>'Load Forecast Summary'!H19</f>
        <v>27143066.610000066</v>
      </c>
      <c r="G241" s="129">
        <f>'Load Forecast Summary'!I19</f>
        <v>27745373.102553256</v>
      </c>
      <c r="H241" s="129">
        <f>'Load Forecast Summary'!J19</f>
        <v>29567137.169999924</v>
      </c>
      <c r="I241" s="129">
        <f>'Load Forecast Summary'!K19</f>
        <v>28496501</v>
      </c>
      <c r="J241" s="129">
        <f>'Load Forecast Summary'!L19</f>
        <v>29252124.950657092</v>
      </c>
      <c r="K241" s="129">
        <f>'Load Forecast Summary'!M19</f>
        <v>30026227.638344064</v>
      </c>
      <c r="L241" s="87"/>
      <c r="M241" s="95"/>
      <c r="N241" s="95"/>
      <c r="O241" s="95"/>
      <c r="P241" s="95"/>
      <c r="Q241" s="95"/>
      <c r="R241" s="95"/>
      <c r="S241" s="95"/>
    </row>
    <row r="242" spans="1:19" x14ac:dyDescent="0.2">
      <c r="A242" s="270" t="str">
        <f>D191</f>
        <v>R2 GS&gt;50 kW</v>
      </c>
      <c r="B242" s="312"/>
      <c r="C242" s="271"/>
      <c r="D242" s="271"/>
      <c r="E242" s="271"/>
      <c r="F242" s="271"/>
      <c r="G242" s="271"/>
      <c r="H242" s="271"/>
      <c r="I242" s="271"/>
      <c r="J242" s="271"/>
      <c r="K242" s="272"/>
      <c r="L242" s="87"/>
    </row>
    <row r="243" spans="1:19" x14ac:dyDescent="0.2">
      <c r="A243" s="126" t="s">
        <v>42</v>
      </c>
      <c r="B243" s="319">
        <v>37</v>
      </c>
      <c r="C243" s="129">
        <f>'Load Forecast Summary'!E22</f>
        <v>38.166666666666664</v>
      </c>
      <c r="D243" s="129">
        <f>'Load Forecast Summary'!F22</f>
        <v>39.75</v>
      </c>
      <c r="E243" s="129">
        <f>'Load Forecast Summary'!G22</f>
        <v>39.5</v>
      </c>
      <c r="F243" s="129">
        <f>'Load Forecast Summary'!H22</f>
        <v>40.5</v>
      </c>
      <c r="G243" s="129">
        <f>'Load Forecast Summary'!I22</f>
        <v>42.5</v>
      </c>
      <c r="H243" s="129">
        <f>'Load Forecast Summary'!J22</f>
        <v>45.5</v>
      </c>
      <c r="I243" s="257">
        <f>'Load Forecast Summary'!K22</f>
        <v>47</v>
      </c>
      <c r="J243" s="129">
        <f>'Load Forecast Summary'!L22</f>
        <v>47</v>
      </c>
      <c r="K243" s="129">
        <f>'Load Forecast Summary'!M22</f>
        <v>46.119647750507838</v>
      </c>
      <c r="L243" s="87"/>
    </row>
    <row r="244" spans="1:19" x14ac:dyDescent="0.2">
      <c r="A244" s="126" t="s">
        <v>43</v>
      </c>
      <c r="B244" s="319">
        <v>107645160</v>
      </c>
      <c r="C244" s="129">
        <f>'Load Forecast Summary'!E23</f>
        <v>94512142.900000006</v>
      </c>
      <c r="D244" s="129">
        <f>'Load Forecast Summary'!F23</f>
        <v>109385574.42520839</v>
      </c>
      <c r="E244" s="129">
        <f>'Load Forecast Summary'!G23</f>
        <v>115631848.81377667</v>
      </c>
      <c r="F244" s="129">
        <f>'Load Forecast Summary'!H23</f>
        <v>103396925.32089764</v>
      </c>
      <c r="G244" s="129">
        <f>'Load Forecast Summary'!I23</f>
        <v>117544957.4291255</v>
      </c>
      <c r="H244" s="129">
        <f>'Load Forecast Summary'!J23</f>
        <v>120294405.22670604</v>
      </c>
      <c r="I244" s="257">
        <f>'Load Forecast Summary'!K23</f>
        <v>128188723</v>
      </c>
      <c r="J244" s="129">
        <f>'Load Forecast Summary'!L23</f>
        <v>129260118.30292217</v>
      </c>
      <c r="K244" s="129">
        <f>'Load Forecast Summary'!M23</f>
        <v>181489761.91863358</v>
      </c>
      <c r="L244" s="87"/>
      <c r="M244" s="95"/>
      <c r="N244" s="95"/>
      <c r="O244" s="95"/>
      <c r="P244" s="95"/>
      <c r="Q244" s="95"/>
      <c r="R244" s="95"/>
      <c r="S244" s="95"/>
    </row>
    <row r="245" spans="1:19" x14ac:dyDescent="0.2">
      <c r="A245" s="126" t="s">
        <v>44</v>
      </c>
      <c r="B245" s="319">
        <v>248605</v>
      </c>
      <c r="C245" s="129">
        <f>'Load Forecast Summary'!E24</f>
        <v>210836.1</v>
      </c>
      <c r="D245" s="129">
        <f>'Load Forecast Summary'!F24</f>
        <v>234798.30000000002</v>
      </c>
      <c r="E245" s="129">
        <f>'Load Forecast Summary'!G24</f>
        <v>243009.88000000006</v>
      </c>
      <c r="F245" s="129">
        <f>'Load Forecast Summary'!H24</f>
        <v>232896.94000000003</v>
      </c>
      <c r="G245" s="129">
        <f>'Load Forecast Summary'!I24</f>
        <v>251732.03000000003</v>
      </c>
      <c r="H245" s="129">
        <f>'Load Forecast Summary'!J24</f>
        <v>260826.09999999986</v>
      </c>
      <c r="I245" s="257">
        <f>'Load Forecast Summary'!K24</f>
        <v>278055</v>
      </c>
      <c r="J245" s="129">
        <f>'Load Forecast Summary'!L24</f>
        <v>289543.01212369604</v>
      </c>
      <c r="K245" s="257">
        <f>'Load Forecast Summary'!M24</f>
        <v>377162.21757648617</v>
      </c>
      <c r="L245" s="87"/>
    </row>
    <row r="246" spans="1:19" x14ac:dyDescent="0.2">
      <c r="A246" s="189" t="s">
        <v>53</v>
      </c>
      <c r="B246" s="317"/>
      <c r="C246" s="189"/>
      <c r="D246" s="189"/>
      <c r="E246" s="189"/>
      <c r="F246" s="189"/>
      <c r="G246" s="189"/>
      <c r="H246" s="189"/>
      <c r="I246" s="273"/>
      <c r="J246" s="189"/>
      <c r="K246" s="189"/>
      <c r="L246" s="87"/>
    </row>
    <row r="247" spans="1:19" x14ac:dyDescent="0.2">
      <c r="A247" s="126" t="s">
        <v>216</v>
      </c>
      <c r="B247" s="319">
        <v>1128</v>
      </c>
      <c r="C247" s="129">
        <f>'Load Forecast Summary'!E31</f>
        <v>1070</v>
      </c>
      <c r="D247" s="129">
        <f>'Load Forecast Summary'!F31</f>
        <v>1067.0833333333333</v>
      </c>
      <c r="E247" s="129">
        <f>'Load Forecast Summary'!G31</f>
        <v>1074.5</v>
      </c>
      <c r="F247" s="129">
        <f>'Load Forecast Summary'!H31</f>
        <v>1105</v>
      </c>
      <c r="G247" s="129">
        <f>'Load Forecast Summary'!I31</f>
        <v>1141</v>
      </c>
      <c r="H247" s="129">
        <f>'Load Forecast Summary'!J31</f>
        <v>1146</v>
      </c>
      <c r="I247" s="257">
        <f>'Load Forecast Summary'!K31</f>
        <v>1131.5</v>
      </c>
      <c r="J247" s="129">
        <f>'Load Forecast Summary'!L31</f>
        <v>1117</v>
      </c>
      <c r="K247" s="129">
        <f>'Load Forecast Summary'!M31</f>
        <v>1129.0031247807513</v>
      </c>
      <c r="L247" s="87"/>
    </row>
    <row r="248" spans="1:19" x14ac:dyDescent="0.2">
      <c r="A248" s="126" t="s">
        <v>43</v>
      </c>
      <c r="B248" s="319">
        <v>581104</v>
      </c>
      <c r="C248" s="129">
        <f>'Load Forecast Summary'!E32</f>
        <v>582536.69999999995</v>
      </c>
      <c r="D248" s="129">
        <f>'Load Forecast Summary'!F32</f>
        <v>577097.00000000012</v>
      </c>
      <c r="E248" s="129">
        <f>'Load Forecast Summary'!G32</f>
        <v>566130.00000000012</v>
      </c>
      <c r="F248" s="129">
        <f>'Load Forecast Summary'!H32</f>
        <v>592582.10000000009</v>
      </c>
      <c r="G248" s="129">
        <f>'Load Forecast Summary'!I32</f>
        <v>594156.09999999986</v>
      </c>
      <c r="H248" s="129">
        <f>'Load Forecast Summary'!J32</f>
        <v>592974.89999999991</v>
      </c>
      <c r="I248" s="257">
        <f>'Load Forecast Summary'!K32</f>
        <v>537366</v>
      </c>
      <c r="J248" s="129">
        <f>'Load Forecast Summary'!L32</f>
        <v>530479.73663278832</v>
      </c>
      <c r="K248" s="129">
        <f>'Load Forecast Summary'!M32</f>
        <v>536180.1972169095</v>
      </c>
      <c r="L248" s="87"/>
      <c r="M248" s="95"/>
      <c r="N248" s="95"/>
      <c r="O248" s="95"/>
      <c r="P248" s="95"/>
      <c r="Q248" s="95"/>
      <c r="R248" s="95"/>
      <c r="S248" s="95"/>
    </row>
    <row r="249" spans="1:19" x14ac:dyDescent="0.2">
      <c r="A249" s="126" t="s">
        <v>44</v>
      </c>
      <c r="B249" s="319">
        <v>1615</v>
      </c>
      <c r="C249" s="129">
        <f>'Load Forecast Summary'!E33</f>
        <v>1619</v>
      </c>
      <c r="D249" s="129">
        <f>'Load Forecast Summary'!F33</f>
        <v>1580.78</v>
      </c>
      <c r="E249" s="129">
        <f>'Load Forecast Summary'!G33</f>
        <v>1574</v>
      </c>
      <c r="F249" s="129">
        <f>'Load Forecast Summary'!H33</f>
        <v>1635.91</v>
      </c>
      <c r="G249" s="129">
        <f>'Load Forecast Summary'!I33</f>
        <v>1593.23</v>
      </c>
      <c r="H249" s="129">
        <f>'Load Forecast Summary'!J33</f>
        <v>1705.9</v>
      </c>
      <c r="I249" s="257">
        <f>'Load Forecast Summary'!K33</f>
        <v>1505</v>
      </c>
      <c r="J249" s="129">
        <f>'Load Forecast Summary'!L33</f>
        <v>1481.3733740889902</v>
      </c>
      <c r="K249" s="129">
        <f>'Load Forecast Summary'!L33</f>
        <v>1481.3733740889902</v>
      </c>
      <c r="L249" s="87"/>
    </row>
    <row r="250" spans="1:19" x14ac:dyDescent="0.2">
      <c r="A250" s="189" t="s">
        <v>202</v>
      </c>
      <c r="B250" s="317"/>
      <c r="C250" s="189"/>
      <c r="D250" s="189"/>
      <c r="E250" s="189"/>
      <c r="F250" s="189"/>
      <c r="G250" s="189"/>
      <c r="H250" s="189"/>
      <c r="I250" s="273"/>
      <c r="J250" s="189"/>
      <c r="K250" s="189"/>
      <c r="L250" s="87"/>
    </row>
    <row r="251" spans="1:19" x14ac:dyDescent="0.2">
      <c r="A251" s="126" t="s">
        <v>215</v>
      </c>
      <c r="B251" s="319">
        <v>2960</v>
      </c>
      <c r="C251" s="129">
        <f>'Load Forecast Summary'!E27</f>
        <v>3108.0833333333335</v>
      </c>
      <c r="D251" s="129">
        <f>'Load Forecast Summary'!F27</f>
        <v>3076.4166666666665</v>
      </c>
      <c r="E251" s="129">
        <f>'Load Forecast Summary'!G27</f>
        <v>3038.5</v>
      </c>
      <c r="F251" s="129">
        <f>'Load Forecast Summary'!H27</f>
        <v>2989.5</v>
      </c>
      <c r="G251" s="129">
        <f>'Load Forecast Summary'!I27</f>
        <v>2925</v>
      </c>
      <c r="H251" s="129">
        <f>'Load Forecast Summary'!J27</f>
        <v>2848.5</v>
      </c>
      <c r="I251" s="257">
        <f>'Load Forecast Summary'!K27</f>
        <v>2793</v>
      </c>
      <c r="J251" s="129">
        <f>'Load Forecast Summary'!L27</f>
        <v>2756.4148805697369</v>
      </c>
      <c r="K251" s="129">
        <f>'Load Forecast Summary'!M27</f>
        <v>2718.8145082649953</v>
      </c>
      <c r="L251" s="87"/>
    </row>
    <row r="252" spans="1:19" x14ac:dyDescent="0.2">
      <c r="A252" s="126" t="s">
        <v>43</v>
      </c>
      <c r="B252" s="319">
        <v>5874372</v>
      </c>
      <c r="C252" s="129">
        <f>'Load Forecast Summary'!E28</f>
        <v>6042453</v>
      </c>
      <c r="D252" s="129">
        <f>'Load Forecast Summary'!F28</f>
        <v>6046269.2899999535</v>
      </c>
      <c r="E252" s="129">
        <f>'Load Forecast Summary'!G28</f>
        <v>6277417.3699999545</v>
      </c>
      <c r="F252" s="129">
        <f>'Load Forecast Summary'!H28</f>
        <v>6529262.7599999467</v>
      </c>
      <c r="G252" s="129">
        <f>'Load Forecast Summary'!I28</f>
        <v>6424167.5299999965</v>
      </c>
      <c r="H252" s="129">
        <f>'Load Forecast Summary'!J28</f>
        <v>6540797.4400000293</v>
      </c>
      <c r="I252" s="257">
        <f>'Load Forecast Summary'!K28</f>
        <v>6123988</v>
      </c>
      <c r="J252" s="129">
        <f>'Load Forecast Summary'!L28</f>
        <v>6043770.7309812028</v>
      </c>
      <c r="K252" s="129">
        <f>'Load Forecast Summary'!M28</f>
        <v>5961327.3980811778</v>
      </c>
      <c r="L252" s="87"/>
      <c r="M252" s="95"/>
      <c r="N252" s="95"/>
      <c r="O252" s="95"/>
      <c r="P252" s="95"/>
      <c r="Q252" s="95"/>
      <c r="R252" s="95"/>
      <c r="S252" s="95"/>
    </row>
    <row r="253" spans="1:19" x14ac:dyDescent="0.2">
      <c r="A253" s="189" t="s">
        <v>8</v>
      </c>
      <c r="B253" s="317"/>
      <c r="C253" s="189"/>
      <c r="D253" s="189"/>
      <c r="E253" s="189"/>
      <c r="F253" s="189"/>
      <c r="G253" s="189"/>
      <c r="H253" s="189"/>
      <c r="I253" s="273"/>
      <c r="J253" s="189"/>
      <c r="K253" s="189"/>
      <c r="L253" s="87"/>
    </row>
    <row r="254" spans="1:19" x14ac:dyDescent="0.2">
      <c r="A254" s="193" t="s">
        <v>47</v>
      </c>
      <c r="B254" s="319">
        <f t="shared" ref="B254:K254" si="39">B251+B247+B243+B240+B237</f>
        <v>13238</v>
      </c>
      <c r="C254" s="129">
        <f t="shared" si="39"/>
        <v>12773.833333333336</v>
      </c>
      <c r="D254" s="129">
        <f t="shared" si="39"/>
        <v>12783.916666666668</v>
      </c>
      <c r="E254" s="129">
        <f t="shared" si="39"/>
        <v>12801</v>
      </c>
      <c r="F254" s="129">
        <f t="shared" si="39"/>
        <v>13028</v>
      </c>
      <c r="G254" s="129">
        <f t="shared" si="39"/>
        <v>13311.5</v>
      </c>
      <c r="H254" s="129">
        <f t="shared" si="39"/>
        <v>13425.5</v>
      </c>
      <c r="I254" s="129">
        <f t="shared" si="39"/>
        <v>13511.5</v>
      </c>
      <c r="J254" s="129">
        <f t="shared" si="39"/>
        <v>13558.622135142044</v>
      </c>
      <c r="K254" s="129">
        <f t="shared" si="39"/>
        <v>13599.380593560392</v>
      </c>
      <c r="L254" s="87"/>
    </row>
    <row r="255" spans="1:19" x14ac:dyDescent="0.2">
      <c r="A255" s="193" t="s">
        <v>43</v>
      </c>
      <c r="B255" s="319">
        <f>B252+B248+B244+B241+B238</f>
        <v>227437703</v>
      </c>
      <c r="C255" s="129">
        <f t="shared" ref="C255:K255" si="40">C238+C241+C244+C248+C252</f>
        <v>203063777.39999998</v>
      </c>
      <c r="D255" s="129">
        <f t="shared" si="40"/>
        <v>224565775.07520857</v>
      </c>
      <c r="E255" s="129">
        <f t="shared" si="40"/>
        <v>235800480.53377673</v>
      </c>
      <c r="F255" s="129">
        <f t="shared" si="40"/>
        <v>229140219.85089642</v>
      </c>
      <c r="G255" s="129">
        <f t="shared" si="40"/>
        <v>244314343.79167747</v>
      </c>
      <c r="H255" s="129">
        <f t="shared" si="40"/>
        <v>256287580.02670693</v>
      </c>
      <c r="I255" s="129">
        <f t="shared" si="40"/>
        <v>259742424</v>
      </c>
      <c r="J255" s="129">
        <f t="shared" si="40"/>
        <v>263441796.62702096</v>
      </c>
      <c r="K255" s="129">
        <f t="shared" si="40"/>
        <v>319876006.33539742</v>
      </c>
      <c r="L255" s="87"/>
    </row>
    <row r="256" spans="1:19" x14ac:dyDescent="0.2">
      <c r="A256" s="126" t="s">
        <v>44</v>
      </c>
      <c r="B256" s="319">
        <f t="shared" ref="B256:K256" si="41">B245+B249</f>
        <v>250220</v>
      </c>
      <c r="C256" s="129">
        <f t="shared" si="41"/>
        <v>212455.1</v>
      </c>
      <c r="D256" s="129">
        <f t="shared" si="41"/>
        <v>236379.08000000002</v>
      </c>
      <c r="E256" s="129">
        <f t="shared" si="41"/>
        <v>244583.88000000006</v>
      </c>
      <c r="F256" s="129">
        <f t="shared" si="41"/>
        <v>234532.85000000003</v>
      </c>
      <c r="G256" s="129">
        <f t="shared" si="41"/>
        <v>253325.26000000004</v>
      </c>
      <c r="H256" s="129">
        <f t="shared" si="41"/>
        <v>262531.99999999988</v>
      </c>
      <c r="I256" s="129">
        <f t="shared" si="41"/>
        <v>279560</v>
      </c>
      <c r="J256" s="129">
        <f t="shared" si="41"/>
        <v>291024.38549778506</v>
      </c>
      <c r="K256" s="129">
        <f t="shared" si="41"/>
        <v>378643.59095057519</v>
      </c>
    </row>
    <row r="257" spans="1:12" s="84" customFormat="1" x14ac:dyDescent="0.2"/>
    <row r="258" spans="1:12" s="84" customFormat="1" x14ac:dyDescent="0.2"/>
    <row r="259" spans="1:12" s="84" customFormat="1" x14ac:dyDescent="0.2">
      <c r="A259" s="200" t="s">
        <v>205</v>
      </c>
      <c r="B259" s="138"/>
      <c r="C259" s="138"/>
      <c r="D259" s="138"/>
      <c r="E259" s="138"/>
    </row>
    <row r="260" spans="1:12" s="84" customFormat="1" ht="34.5" customHeight="1" x14ac:dyDescent="0.2">
      <c r="A260" s="207" t="s">
        <v>141</v>
      </c>
      <c r="B260" s="207" t="s">
        <v>204</v>
      </c>
      <c r="C260" s="207" t="s">
        <v>68</v>
      </c>
      <c r="D260" s="207" t="s">
        <v>142</v>
      </c>
      <c r="E260" s="207" t="s">
        <v>143</v>
      </c>
    </row>
    <row r="261" spans="1:12" s="84" customFormat="1" x14ac:dyDescent="0.2">
      <c r="A261" s="224" t="s">
        <v>1</v>
      </c>
      <c r="B261" s="303">
        <v>17362031</v>
      </c>
      <c r="C261" s="208">
        <v>17398077.079999998</v>
      </c>
      <c r="D261" s="212">
        <f>C261-B261</f>
        <v>36046.079999998212</v>
      </c>
      <c r="E261" s="197">
        <f>D261/B261</f>
        <v>2.0761442022536542E-3</v>
      </c>
    </row>
    <row r="262" spans="1:12" s="84" customFormat="1" ht="14.25" customHeight="1" x14ac:dyDescent="0.2">
      <c r="A262" s="224" t="s">
        <v>71</v>
      </c>
      <c r="B262" s="303"/>
      <c r="C262" s="208"/>
      <c r="D262" s="212">
        <f t="shared" ref="D262:D263" si="42">C262-B262</f>
        <v>0</v>
      </c>
      <c r="E262" s="197"/>
    </row>
    <row r="263" spans="1:12" s="84" customFormat="1" x14ac:dyDescent="0.2">
      <c r="A263" s="224" t="s">
        <v>122</v>
      </c>
      <c r="B263" s="303">
        <v>4634806</v>
      </c>
      <c r="C263" s="208">
        <v>4567353.83</v>
      </c>
      <c r="D263" s="212">
        <f t="shared" si="42"/>
        <v>-67452.169999999925</v>
      </c>
      <c r="E263" s="197">
        <f t="shared" ref="E263" si="43">D263/B263</f>
        <v>-1.4553396625446658E-2</v>
      </c>
    </row>
    <row r="264" spans="1:12" s="84" customFormat="1" x14ac:dyDescent="0.2">
      <c r="A264" s="224" t="s">
        <v>202</v>
      </c>
      <c r="B264" s="303">
        <v>2825243</v>
      </c>
      <c r="C264" s="208">
        <v>2933766.16</v>
      </c>
      <c r="D264" s="212">
        <f>C264-B264</f>
        <v>108523.16000000015</v>
      </c>
      <c r="E264" s="197">
        <f>D264/B264</f>
        <v>3.8411973766504383E-2</v>
      </c>
    </row>
    <row r="265" spans="1:12" s="84" customFormat="1" x14ac:dyDescent="0.2">
      <c r="A265" s="224" t="s">
        <v>53</v>
      </c>
      <c r="B265" s="303">
        <v>199443</v>
      </c>
      <c r="C265" s="208">
        <v>205248.97000000003</v>
      </c>
      <c r="D265" s="212">
        <f>C265-B265</f>
        <v>5805.9700000000303</v>
      </c>
      <c r="E265" s="197">
        <f>D265/B265</f>
        <v>2.9110923923126059E-2</v>
      </c>
    </row>
    <row r="266" spans="1:12" s="84" customFormat="1" ht="13.5" thickBot="1" x14ac:dyDescent="0.25">
      <c r="A266" s="230"/>
      <c r="B266" s="305"/>
      <c r="C266" s="217"/>
      <c r="D266" s="225"/>
      <c r="E266" s="227"/>
    </row>
    <row r="267" spans="1:12" s="84" customFormat="1" x14ac:dyDescent="0.2">
      <c r="A267" s="226" t="s">
        <v>8</v>
      </c>
      <c r="B267" s="220">
        <f>SUM(B261:B266)</f>
        <v>25021523</v>
      </c>
      <c r="C267" s="220">
        <f>SUM(C261:C266)</f>
        <v>25104446.039999995</v>
      </c>
      <c r="D267" s="206">
        <f t="shared" ref="D267" si="44">C267-B267</f>
        <v>82923.039999995381</v>
      </c>
      <c r="E267" s="203">
        <f t="shared" ref="E267" si="45">D267/B267</f>
        <v>3.3140684521879575E-3</v>
      </c>
    </row>
    <row r="268" spans="1:12" s="84" customFormat="1" x14ac:dyDescent="0.2"/>
    <row r="269" spans="1:12" s="84" customFormat="1" ht="13.5" thickBot="1" x14ac:dyDescent="0.25">
      <c r="A269" s="200" t="s">
        <v>206</v>
      </c>
      <c r="B269" s="138"/>
      <c r="C269" s="138"/>
      <c r="D269" s="138"/>
      <c r="E269" s="138"/>
      <c r="F269" s="138"/>
      <c r="G269" s="138"/>
      <c r="H269" s="138"/>
      <c r="I269" s="138"/>
      <c r="J269" s="138"/>
      <c r="K269" s="138"/>
      <c r="L269" s="138"/>
    </row>
    <row r="270" spans="1:12" s="84" customFormat="1" ht="13.5" thickBot="1" x14ac:dyDescent="0.25">
      <c r="A270" s="200"/>
      <c r="B270" s="138"/>
      <c r="C270" s="138"/>
      <c r="D270" s="138"/>
      <c r="E270" s="138"/>
      <c r="F270" s="138"/>
      <c r="G270" s="138"/>
      <c r="H270" s="138"/>
      <c r="I270" s="138"/>
      <c r="J270" s="138"/>
      <c r="K270" s="205" t="s">
        <v>152</v>
      </c>
      <c r="L270" s="214">
        <f>F122</f>
        <v>0.98897387527451441</v>
      </c>
    </row>
    <row r="271" spans="1:12" s="84" customFormat="1" ht="36.75" customHeight="1" x14ac:dyDescent="0.2">
      <c r="A271" s="393" t="s">
        <v>144</v>
      </c>
      <c r="B271" s="395" t="s">
        <v>146</v>
      </c>
      <c r="C271" s="396"/>
      <c r="D271" s="397" t="s">
        <v>147</v>
      </c>
      <c r="E271" s="399" t="s">
        <v>148</v>
      </c>
      <c r="F271" s="400"/>
      <c r="G271" s="399" t="s">
        <v>151</v>
      </c>
      <c r="H271" s="400"/>
      <c r="I271" s="399" t="s">
        <v>149</v>
      </c>
      <c r="J271" s="400"/>
      <c r="K271" s="399" t="s">
        <v>150</v>
      </c>
      <c r="L271" s="401"/>
    </row>
    <row r="272" spans="1:12" s="84" customFormat="1" ht="25.5" x14ac:dyDescent="0.2">
      <c r="A272" s="394"/>
      <c r="B272" s="323" t="s">
        <v>204</v>
      </c>
      <c r="C272" s="323" t="s">
        <v>207</v>
      </c>
      <c r="D272" s="398"/>
      <c r="E272" s="323" t="s">
        <v>204</v>
      </c>
      <c r="F272" s="323" t="s">
        <v>68</v>
      </c>
      <c r="G272" s="323" t="s">
        <v>204</v>
      </c>
      <c r="H272" s="323" t="s">
        <v>68</v>
      </c>
      <c r="I272" s="323" t="s">
        <v>204</v>
      </c>
      <c r="J272" s="323" t="s">
        <v>68</v>
      </c>
      <c r="K272" s="323" t="s">
        <v>204</v>
      </c>
      <c r="L272" s="330" t="s">
        <v>68</v>
      </c>
    </row>
    <row r="273" spans="1:12" s="84" customFormat="1" x14ac:dyDescent="0.2">
      <c r="A273" s="333" t="s">
        <v>1</v>
      </c>
      <c r="B273" s="212">
        <f>B$55</f>
        <v>8116</v>
      </c>
      <c r="C273" s="212" cm="1">
        <f t="array" ref="C273:C277">TRANSPOSE(B138:F138)</f>
        <v>7924.5</v>
      </c>
      <c r="D273" s="198" t="s">
        <v>55</v>
      </c>
      <c r="E273" s="212">
        <f>B238</f>
        <v>84857056</v>
      </c>
      <c r="F273" s="212">
        <f>$F$238</f>
        <v>91478383.059998766</v>
      </c>
      <c r="G273" s="201">
        <f>E273*$L$270</f>
        <v>83921411.516706482</v>
      </c>
      <c r="H273" s="201">
        <f>F273*$L$270</f>
        <v>90469730.998693466</v>
      </c>
      <c r="I273" s="212">
        <f>E273/B273</f>
        <v>10455.526860522425</v>
      </c>
      <c r="J273" s="212">
        <f>F273/C273</f>
        <v>11543.741947125845</v>
      </c>
      <c r="K273" s="212">
        <f t="shared" ref="K273:L277" si="46">G273/B273</f>
        <v>10340.24291728764</v>
      </c>
      <c r="L273" s="194">
        <f t="shared" si="46"/>
        <v>11416.459208618016</v>
      </c>
    </row>
    <row r="274" spans="1:12" s="84" customFormat="1" ht="25.5" x14ac:dyDescent="0.2">
      <c r="A274" s="333" t="s">
        <v>71</v>
      </c>
      <c r="B274" s="212">
        <f>C$55</f>
        <v>997</v>
      </c>
      <c r="C274" s="212">
        <v>968.5</v>
      </c>
      <c r="D274" s="198" t="s">
        <v>55</v>
      </c>
      <c r="E274" s="212">
        <f>B241</f>
        <v>28480011</v>
      </c>
      <c r="F274" s="212">
        <f>$F$241</f>
        <v>27143066.610000066</v>
      </c>
      <c r="G274" s="201">
        <f>E274*$L$270</f>
        <v>28165986.846530799</v>
      </c>
      <c r="H274" s="201">
        <f>F274*$L$270</f>
        <v>26843783.772126041</v>
      </c>
      <c r="I274" s="212">
        <f t="shared" ref="I274:I276" si="47">E274/B274</f>
        <v>28565.708124373119</v>
      </c>
      <c r="J274" s="212">
        <f>F274/C274</f>
        <v>28025.881889519944</v>
      </c>
      <c r="K274" s="212">
        <f t="shared" si="46"/>
        <v>28250.739063721965</v>
      </c>
      <c r="L274" s="194">
        <f t="shared" si="46"/>
        <v>27716.865020264369</v>
      </c>
    </row>
    <row r="275" spans="1:12" s="84" customFormat="1" ht="25.5" x14ac:dyDescent="0.2">
      <c r="A275" s="333" t="s">
        <v>122</v>
      </c>
      <c r="B275" s="212">
        <f>D$55</f>
        <v>37</v>
      </c>
      <c r="C275" s="212">
        <v>40.5</v>
      </c>
      <c r="D275" s="198" t="s">
        <v>56</v>
      </c>
      <c r="E275" s="213">
        <f>B245</f>
        <v>248605</v>
      </c>
      <c r="F275" s="213">
        <f>$F$245</f>
        <v>232896.94000000003</v>
      </c>
      <c r="G275" s="201">
        <f>E275</f>
        <v>248605</v>
      </c>
      <c r="H275" s="201">
        <f>F275</f>
        <v>232896.94000000003</v>
      </c>
      <c r="I275" s="212">
        <f t="shared" si="47"/>
        <v>6719.0540540540542</v>
      </c>
      <c r="J275" s="212">
        <f>F275/C275</f>
        <v>5750.5417283950628</v>
      </c>
      <c r="K275" s="212">
        <f t="shared" si="46"/>
        <v>6719.0540540540542</v>
      </c>
      <c r="L275" s="194">
        <f t="shared" si="46"/>
        <v>5750.5417283950628</v>
      </c>
    </row>
    <row r="276" spans="1:12" s="84" customFormat="1" x14ac:dyDescent="0.2">
      <c r="A276" s="333" t="s">
        <v>202</v>
      </c>
      <c r="B276" s="212">
        <f>E$55</f>
        <v>2960</v>
      </c>
      <c r="C276" s="212">
        <v>2989.5</v>
      </c>
      <c r="D276" s="198" t="s">
        <v>55</v>
      </c>
      <c r="E276" s="213">
        <f>B252</f>
        <v>5874372</v>
      </c>
      <c r="F276" s="213">
        <f>$F$252</f>
        <v>6529262.7599999467</v>
      </c>
      <c r="G276" s="201">
        <f>E276</f>
        <v>5874372</v>
      </c>
      <c r="H276" s="201">
        <f>F276*$L$270</f>
        <v>6457270.2944427188</v>
      </c>
      <c r="I276" s="212">
        <f t="shared" si="47"/>
        <v>1984.585135135135</v>
      </c>
      <c r="J276" s="212">
        <f>F276/C276</f>
        <v>2184.0651480180454</v>
      </c>
      <c r="K276" s="212">
        <f t="shared" si="46"/>
        <v>1984.585135135135</v>
      </c>
      <c r="L276" s="194">
        <f t="shared" si="46"/>
        <v>2159.9833732874122</v>
      </c>
    </row>
    <row r="277" spans="1:12" s="84" customFormat="1" x14ac:dyDescent="0.2">
      <c r="A277" s="333" t="s">
        <v>53</v>
      </c>
      <c r="B277" s="327">
        <f>F$55</f>
        <v>1128</v>
      </c>
      <c r="C277" s="212">
        <v>1105</v>
      </c>
      <c r="D277" s="198" t="s">
        <v>55</v>
      </c>
      <c r="E277" s="213">
        <f>B248</f>
        <v>581104</v>
      </c>
      <c r="F277" s="213">
        <f>F248</f>
        <v>592582.10000000009</v>
      </c>
      <c r="G277" s="201">
        <f>E277</f>
        <v>581104</v>
      </c>
      <c r="H277" s="201">
        <f>F277*$L$270</f>
        <v>586048.21585530997</v>
      </c>
      <c r="I277" s="212">
        <f>E277/B277</f>
        <v>515.16312056737593</v>
      </c>
      <c r="J277" s="212">
        <f>F277/C277</f>
        <v>536.27339366515844</v>
      </c>
      <c r="K277" s="212">
        <f t="shared" si="46"/>
        <v>515.16312056737593</v>
      </c>
      <c r="L277" s="194">
        <f t="shared" si="46"/>
        <v>530.36037633964702</v>
      </c>
    </row>
    <row r="278" spans="1:12" s="84" customFormat="1" ht="13.5" thickBot="1" x14ac:dyDescent="0.25">
      <c r="A278" s="334"/>
      <c r="B278" s="328"/>
      <c r="C278" s="225"/>
      <c r="D278" s="204"/>
      <c r="E278" s="219"/>
      <c r="F278" s="219"/>
      <c r="G278" s="222"/>
      <c r="H278" s="222"/>
      <c r="I278" s="225"/>
      <c r="J278" s="225"/>
      <c r="K278" s="225"/>
      <c r="L278" s="223"/>
    </row>
    <row r="279" spans="1:12" s="84" customFormat="1" x14ac:dyDescent="0.2">
      <c r="A279" s="335" t="s">
        <v>8</v>
      </c>
      <c r="B279" s="329">
        <f>SUM(B273:B278)</f>
        <v>13238</v>
      </c>
      <c r="C279" s="199">
        <f>SUM(C273:C278)</f>
        <v>13028</v>
      </c>
      <c r="D279" s="209"/>
      <c r="E279" s="209"/>
      <c r="F279" s="209"/>
      <c r="G279" s="209"/>
      <c r="H279" s="209"/>
      <c r="I279" s="209"/>
      <c r="J279" s="209"/>
      <c r="K279" s="209"/>
      <c r="L279" s="209"/>
    </row>
    <row r="280" spans="1:12" s="84" customFormat="1" x14ac:dyDescent="0.2">
      <c r="A280" s="336" t="s">
        <v>145</v>
      </c>
      <c r="B280" s="331" t="s">
        <v>154</v>
      </c>
      <c r="C280" s="331" t="s">
        <v>153</v>
      </c>
      <c r="D280" s="332"/>
      <c r="E280" s="331" t="s">
        <v>148</v>
      </c>
      <c r="F280" s="331" t="s">
        <v>153</v>
      </c>
      <c r="G280" s="331" t="s">
        <v>148</v>
      </c>
      <c r="H280" s="331" t="s">
        <v>153</v>
      </c>
      <c r="I280" s="331" t="s">
        <v>211</v>
      </c>
      <c r="J280" s="331" t="s">
        <v>153</v>
      </c>
      <c r="K280" s="331" t="s">
        <v>148</v>
      </c>
      <c r="L280" s="331" t="s">
        <v>153</v>
      </c>
    </row>
    <row r="281" spans="1:12" s="84" customFormat="1" x14ac:dyDescent="0.2">
      <c r="A281" s="333" t="s">
        <v>1</v>
      </c>
      <c r="B281" s="218">
        <f>C273-B273</f>
        <v>-191.5</v>
      </c>
      <c r="C281" s="215">
        <f>B281/B273</f>
        <v>-2.3595367175948744E-2</v>
      </c>
      <c r="D281" s="198" t="s">
        <v>55</v>
      </c>
      <c r="E281" s="218">
        <f>F273-E273</f>
        <v>6621327.0599987656</v>
      </c>
      <c r="F281" s="215">
        <f>E281/E273</f>
        <v>7.8029186635920594E-2</v>
      </c>
      <c r="G281" s="218">
        <f>H273-G273</f>
        <v>6548319.4819869846</v>
      </c>
      <c r="H281" s="215">
        <f>G281/G273</f>
        <v>7.802918663592058E-2</v>
      </c>
      <c r="I281" s="218">
        <f>J273-I273</f>
        <v>1088.2150866034208</v>
      </c>
      <c r="J281" s="215">
        <f>I281/I273</f>
        <v>0.10408036831814391</v>
      </c>
      <c r="K281" s="218">
        <f>L273-K273</f>
        <v>1076.2162913303764</v>
      </c>
      <c r="L281" s="221">
        <f>K281/K273</f>
        <v>0.10408036831814391</v>
      </c>
    </row>
    <row r="282" spans="1:12" s="84" customFormat="1" ht="25.5" x14ac:dyDescent="0.2">
      <c r="A282" s="333" t="s">
        <v>71</v>
      </c>
      <c r="B282" s="218">
        <f t="shared" ref="B282:B285" si="48">C274-B274</f>
        <v>-28.5</v>
      </c>
      <c r="C282" s="215">
        <f t="shared" ref="C282:C285" si="49">B282/B274</f>
        <v>-2.8585757271815445E-2</v>
      </c>
      <c r="D282" s="198" t="s">
        <v>55</v>
      </c>
      <c r="E282" s="218">
        <f t="shared" ref="E282:E285" si="50">F274-E274</f>
        <v>-1336944.3899999335</v>
      </c>
      <c r="F282" s="215">
        <f t="shared" ref="F282:F285" si="51">E282/E274</f>
        <v>-4.6943253989611647E-2</v>
      </c>
      <c r="G282" s="218">
        <f t="shared" ref="G282:G285" si="52">H274-G274</f>
        <v>-1322203.0744047575</v>
      </c>
      <c r="H282" s="215">
        <f t="shared" ref="H282:H285" si="53">G282/G274</f>
        <v>-4.6943253989611695E-2</v>
      </c>
      <c r="I282" s="218">
        <f t="shared" ref="I282:I285" si="54">J274-I274</f>
        <v>-539.82623485317527</v>
      </c>
      <c r="J282" s="215">
        <f t="shared" ref="J282:J285" si="55">I282/I274</f>
        <v>-1.8897701835459815E-2</v>
      </c>
      <c r="K282" s="218">
        <f t="shared" ref="K282:K285" si="56">L274-K274</f>
        <v>-533.87404345759569</v>
      </c>
      <c r="L282" s="221">
        <f t="shared" ref="L282:L285" si="57">K282/K274</f>
        <v>-1.8897701835459843E-2</v>
      </c>
    </row>
    <row r="283" spans="1:12" s="84" customFormat="1" ht="25.5" x14ac:dyDescent="0.2">
      <c r="A283" s="333" t="s">
        <v>122</v>
      </c>
      <c r="B283" s="218">
        <f t="shared" si="48"/>
        <v>3.5</v>
      </c>
      <c r="C283" s="215">
        <f t="shared" si="49"/>
        <v>9.45945945945946E-2</v>
      </c>
      <c r="D283" s="198" t="s">
        <v>56</v>
      </c>
      <c r="E283" s="218">
        <f t="shared" si="50"/>
        <v>-15708.059999999969</v>
      </c>
      <c r="F283" s="215">
        <f t="shared" si="51"/>
        <v>-6.3184811246756775E-2</v>
      </c>
      <c r="G283" s="218">
        <f t="shared" si="52"/>
        <v>-15708.059999999969</v>
      </c>
      <c r="H283" s="215">
        <f t="shared" si="53"/>
        <v>-6.3184811246756775E-2</v>
      </c>
      <c r="I283" s="218">
        <f t="shared" si="54"/>
        <v>-968.51232565899136</v>
      </c>
      <c r="J283" s="215">
        <f t="shared" si="55"/>
        <v>-0.14414414854641974</v>
      </c>
      <c r="K283" s="218">
        <f t="shared" si="56"/>
        <v>-968.51232565899136</v>
      </c>
      <c r="L283" s="221">
        <f t="shared" si="57"/>
        <v>-0.14414414854641974</v>
      </c>
    </row>
    <row r="284" spans="1:12" s="84" customFormat="1" x14ac:dyDescent="0.2">
      <c r="A284" s="333" t="s">
        <v>202</v>
      </c>
      <c r="B284" s="218">
        <f t="shared" si="48"/>
        <v>29.5</v>
      </c>
      <c r="C284" s="215">
        <f t="shared" si="49"/>
        <v>9.9662162162162168E-3</v>
      </c>
      <c r="D284" s="198" t="s">
        <v>55</v>
      </c>
      <c r="E284" s="218">
        <f t="shared" si="50"/>
        <v>654890.75999994669</v>
      </c>
      <c r="F284" s="215">
        <f t="shared" si="51"/>
        <v>0.11148268444694116</v>
      </c>
      <c r="G284" s="218">
        <f t="shared" si="52"/>
        <v>582898.29444271885</v>
      </c>
      <c r="H284" s="215">
        <f t="shared" si="53"/>
        <v>9.9227337738011623E-2</v>
      </c>
      <c r="I284" s="218">
        <f t="shared" si="54"/>
        <v>199.48001288291039</v>
      </c>
      <c r="J284" s="215">
        <f t="shared" si="55"/>
        <v>0.10051471682988664</v>
      </c>
      <c r="K284" s="218">
        <f t="shared" si="56"/>
        <v>175.39823815227714</v>
      </c>
      <c r="L284" s="221">
        <f t="shared" si="57"/>
        <v>8.8380304299887774E-2</v>
      </c>
    </row>
    <row r="285" spans="1:12" s="84" customFormat="1" x14ac:dyDescent="0.2">
      <c r="A285" s="333" t="s">
        <v>53</v>
      </c>
      <c r="B285" s="218">
        <f t="shared" si="48"/>
        <v>-23</v>
      </c>
      <c r="C285" s="215">
        <f t="shared" si="49"/>
        <v>-2.0390070921985817E-2</v>
      </c>
      <c r="D285" s="198" t="s">
        <v>55</v>
      </c>
      <c r="E285" s="218">
        <f t="shared" si="50"/>
        <v>11478.100000000093</v>
      </c>
      <c r="F285" s="215">
        <f t="shared" si="51"/>
        <v>1.9752230237616835E-2</v>
      </c>
      <c r="G285" s="218">
        <f t="shared" si="52"/>
        <v>4944.2158553099725</v>
      </c>
      <c r="H285" s="215">
        <f t="shared" si="53"/>
        <v>8.5083149579248674E-3</v>
      </c>
      <c r="I285" s="218">
        <f t="shared" si="54"/>
        <v>21.11027309778251</v>
      </c>
      <c r="J285" s="215">
        <f t="shared" si="55"/>
        <v>4.0977842269711913E-2</v>
      </c>
      <c r="K285" s="218">
        <f t="shared" si="56"/>
        <v>15.197255772271092</v>
      </c>
      <c r="L285" s="221">
        <f t="shared" si="57"/>
        <v>2.9499890744379302E-2</v>
      </c>
    </row>
    <row r="286" spans="1:12" s="84" customFormat="1" ht="13.5" thickBot="1" x14ac:dyDescent="0.25">
      <c r="A286" s="334"/>
      <c r="B286" s="202"/>
      <c r="C286" s="211"/>
      <c r="D286" s="204"/>
      <c r="E286" s="202"/>
      <c r="F286" s="211"/>
      <c r="G286" s="202"/>
      <c r="H286" s="211"/>
      <c r="I286" s="202"/>
      <c r="J286" s="211"/>
      <c r="K286" s="202"/>
      <c r="L286" s="229"/>
    </row>
    <row r="287" spans="1:12" s="84" customFormat="1" ht="21.75" customHeight="1" thickBot="1" x14ac:dyDescent="0.25">
      <c r="A287" s="337" t="s">
        <v>8</v>
      </c>
      <c r="B287" s="216">
        <f>SUM(B281:B286)</f>
        <v>-210</v>
      </c>
      <c r="C287" s="228">
        <f>B287/B279</f>
        <v>-1.5863423477866748E-2</v>
      </c>
      <c r="D287" s="138"/>
      <c r="E287" s="138"/>
      <c r="F287" s="138"/>
      <c r="G287" s="138"/>
      <c r="H287" s="138"/>
      <c r="I287" s="138"/>
      <c r="J287" s="138"/>
      <c r="K287" s="138"/>
      <c r="L287" s="138"/>
    </row>
    <row r="288" spans="1:12" s="84" customFormat="1" x14ac:dyDescent="0.2"/>
    <row r="289" spans="1:14" s="84" customFormat="1" x14ac:dyDescent="0.2"/>
    <row r="290" spans="1:14" s="84" customFormat="1" x14ac:dyDescent="0.2">
      <c r="A290" s="200" t="s">
        <v>157</v>
      </c>
      <c r="B290" s="138"/>
      <c r="C290" s="138"/>
      <c r="D290" s="138"/>
      <c r="E290" s="138"/>
    </row>
    <row r="291" spans="1:14" s="84" customFormat="1" ht="38.25" x14ac:dyDescent="0.2">
      <c r="A291" s="323" t="s">
        <v>141</v>
      </c>
      <c r="B291" s="323" t="s">
        <v>68</v>
      </c>
      <c r="C291" s="323" t="s">
        <v>69</v>
      </c>
      <c r="D291" s="323" t="s">
        <v>142</v>
      </c>
      <c r="E291" s="323" t="s">
        <v>143</v>
      </c>
    </row>
    <row r="292" spans="1:14" s="84" customFormat="1" x14ac:dyDescent="0.2">
      <c r="A292" s="195" t="str">
        <f>A261</f>
        <v xml:space="preserve">Residential </v>
      </c>
      <c r="B292" s="208">
        <v>17398077</v>
      </c>
      <c r="C292" s="208">
        <v>17745531</v>
      </c>
      <c r="D292" s="212">
        <f>C292-B292</f>
        <v>347454</v>
      </c>
      <c r="E292" s="197">
        <f>D292/B292</f>
        <v>1.9970827810452844E-2</v>
      </c>
    </row>
    <row r="293" spans="1:14" s="84" customFormat="1" x14ac:dyDescent="0.2">
      <c r="A293" s="195" t="str">
        <f t="shared" ref="A293:A296" si="58">A262</f>
        <v>General Service &lt; 50 kW</v>
      </c>
      <c r="B293" s="208"/>
      <c r="C293" s="208"/>
      <c r="D293" s="212">
        <f t="shared" ref="D293:D298" si="59">C293-B293</f>
        <v>0</v>
      </c>
      <c r="E293" s="197"/>
    </row>
    <row r="294" spans="1:14" s="84" customFormat="1" x14ac:dyDescent="0.2">
      <c r="A294" s="195" t="str">
        <f t="shared" si="58"/>
        <v>General Service 50 to 4,999 kW</v>
      </c>
      <c r="B294" s="208">
        <v>4567354</v>
      </c>
      <c r="C294" s="208">
        <v>4775099</v>
      </c>
      <c r="D294" s="212">
        <f t="shared" si="59"/>
        <v>207745</v>
      </c>
      <c r="E294" s="197">
        <f t="shared" ref="E294" si="60">D294/B294</f>
        <v>4.5484759885045037E-2</v>
      </c>
    </row>
    <row r="295" spans="1:14" s="84" customFormat="1" x14ac:dyDescent="0.2">
      <c r="A295" s="195" t="str">
        <f t="shared" si="58"/>
        <v xml:space="preserve">Seasonal </v>
      </c>
      <c r="B295" s="208">
        <v>2933766</v>
      </c>
      <c r="C295" s="233">
        <v>2887768</v>
      </c>
      <c r="D295" s="212">
        <f>C295-B295</f>
        <v>-45998</v>
      </c>
      <c r="E295" s="197">
        <f>D295/B295</f>
        <v>-1.5678823737135136E-2</v>
      </c>
    </row>
    <row r="296" spans="1:14" s="84" customFormat="1" x14ac:dyDescent="0.2">
      <c r="A296" s="195" t="str">
        <f t="shared" si="58"/>
        <v>Street Lights</v>
      </c>
      <c r="B296" s="208">
        <v>205249</v>
      </c>
      <c r="C296" s="233">
        <v>196630</v>
      </c>
      <c r="D296" s="212">
        <f>C296-B296</f>
        <v>-8619</v>
      </c>
      <c r="E296" s="197">
        <f>D296/B296</f>
        <v>-4.199289643311295E-2</v>
      </c>
    </row>
    <row r="297" spans="1:14" s="84" customFormat="1" ht="13.5" thickBot="1" x14ac:dyDescent="0.25">
      <c r="A297" s="230"/>
      <c r="B297" s="230"/>
      <c r="C297" s="230"/>
      <c r="D297" s="230"/>
      <c r="E297" s="230"/>
    </row>
    <row r="298" spans="1:14" s="84" customFormat="1" x14ac:dyDescent="0.2">
      <c r="A298" s="226" t="s">
        <v>8</v>
      </c>
      <c r="B298" s="220">
        <f>SUM(B292:B296)</f>
        <v>25104446</v>
      </c>
      <c r="C298" s="220">
        <f>SUM(C292:C296)</f>
        <v>25605028</v>
      </c>
      <c r="D298" s="206">
        <f t="shared" si="59"/>
        <v>500582</v>
      </c>
      <c r="E298" s="203">
        <f>D298/B298</f>
        <v>1.9939973979111111E-2</v>
      </c>
    </row>
    <row r="299" spans="1:14" s="84" customFormat="1" ht="13.5" thickBot="1" x14ac:dyDescent="0.25"/>
    <row r="300" spans="1:14" s="84" customFormat="1" ht="13.5" thickBot="1" x14ac:dyDescent="0.25">
      <c r="A300" s="200" t="s">
        <v>158</v>
      </c>
      <c r="B300" s="138"/>
      <c r="C300" s="138"/>
      <c r="D300" s="138"/>
      <c r="E300" s="138"/>
      <c r="F300" s="138"/>
      <c r="G300" s="138"/>
      <c r="H300" s="138"/>
      <c r="I300" s="138"/>
      <c r="J300" s="138"/>
      <c r="K300" s="205" t="s">
        <v>155</v>
      </c>
      <c r="L300" s="214">
        <f>$F$122</f>
        <v>0.98897387527451441</v>
      </c>
    </row>
    <row r="301" spans="1:14" s="84" customFormat="1" ht="13.5" thickBot="1" x14ac:dyDescent="0.25">
      <c r="A301" s="200"/>
      <c r="B301" s="138"/>
      <c r="C301" s="138"/>
      <c r="D301" s="138"/>
      <c r="E301" s="138"/>
      <c r="F301" s="138"/>
      <c r="G301" s="138"/>
      <c r="H301" s="138"/>
      <c r="I301" s="138"/>
      <c r="J301" s="138"/>
      <c r="K301" s="205" t="s">
        <v>156</v>
      </c>
      <c r="L301" s="214">
        <f>$F$123</f>
        <v>1.0044008257090677</v>
      </c>
    </row>
    <row r="302" spans="1:14" s="84" customFormat="1" ht="42" customHeight="1" x14ac:dyDescent="0.2">
      <c r="A302" s="402" t="s">
        <v>144</v>
      </c>
      <c r="B302" s="386" t="s">
        <v>146</v>
      </c>
      <c r="C302" s="387"/>
      <c r="D302" s="388" t="s">
        <v>147</v>
      </c>
      <c r="E302" s="390" t="s">
        <v>148</v>
      </c>
      <c r="F302" s="391"/>
      <c r="G302" s="390" t="s">
        <v>151</v>
      </c>
      <c r="H302" s="391"/>
      <c r="I302" s="390" t="s">
        <v>149</v>
      </c>
      <c r="J302" s="391"/>
      <c r="K302" s="390" t="s">
        <v>150</v>
      </c>
      <c r="L302" s="392"/>
    </row>
    <row r="303" spans="1:14" s="84" customFormat="1" x14ac:dyDescent="0.2">
      <c r="A303" s="403"/>
      <c r="B303" s="366" t="s">
        <v>68</v>
      </c>
      <c r="C303" s="366" t="s">
        <v>69</v>
      </c>
      <c r="D303" s="389"/>
      <c r="E303" s="366" t="s">
        <v>68</v>
      </c>
      <c r="F303" s="366" t="s">
        <v>69</v>
      </c>
      <c r="G303" s="366" t="s">
        <v>68</v>
      </c>
      <c r="H303" s="366" t="s">
        <v>69</v>
      </c>
      <c r="I303" s="366" t="s">
        <v>68</v>
      </c>
      <c r="J303" s="366" t="s">
        <v>69</v>
      </c>
      <c r="K303" s="366" t="s">
        <v>68</v>
      </c>
      <c r="L303" s="374" t="s">
        <v>69</v>
      </c>
    </row>
    <row r="304" spans="1:14" s="84" customFormat="1" x14ac:dyDescent="0.2">
      <c r="A304" s="333" t="s">
        <v>1</v>
      </c>
      <c r="B304" s="212">
        <f>C273</f>
        <v>7924.5</v>
      </c>
      <c r="C304" s="212">
        <f>$G$237</f>
        <v>8204.5</v>
      </c>
      <c r="D304" s="198" t="s">
        <v>55</v>
      </c>
      <c r="E304" s="212">
        <f>F273</f>
        <v>91478383.059998766</v>
      </c>
      <c r="F304" s="212">
        <f>$G$238</f>
        <v>92005689.629998744</v>
      </c>
      <c r="G304" s="201">
        <f>E304*$L$300</f>
        <v>90469730.998693466</v>
      </c>
      <c r="H304" s="201">
        <f>F304*$L$301</f>
        <v>92410590.634302944</v>
      </c>
      <c r="I304" s="212">
        <f>E304/B304</f>
        <v>11543.741947125845</v>
      </c>
      <c r="J304" s="212">
        <f>F304/C304</f>
        <v>11214.05199951231</v>
      </c>
      <c r="K304" s="212">
        <f>G304/B304</f>
        <v>11416.459208618016</v>
      </c>
      <c r="L304" s="194">
        <f>H304/C304</f>
        <v>11263.403087854585</v>
      </c>
      <c r="N304" s="294">
        <f>H304+H305+H307</f>
        <v>126730505.45973897</v>
      </c>
    </row>
    <row r="305" spans="1:12" s="84" customFormat="1" ht="25.5" x14ac:dyDescent="0.2">
      <c r="A305" s="333" t="s">
        <v>71</v>
      </c>
      <c r="B305" s="212">
        <f t="shared" ref="B305:B306" si="61">C274</f>
        <v>968.5</v>
      </c>
      <c r="C305" s="212">
        <f>$G$240</f>
        <v>998.5</v>
      </c>
      <c r="D305" s="198" t="s">
        <v>55</v>
      </c>
      <c r="E305" s="212">
        <f t="shared" ref="E305:E308" si="62">F274</f>
        <v>27143066.610000066</v>
      </c>
      <c r="F305" s="212">
        <f>$G$241</f>
        <v>27745373.102553256</v>
      </c>
      <c r="G305" s="201">
        <f>E305*$L$300</f>
        <v>26843783.772126041</v>
      </c>
      <c r="H305" s="201">
        <f t="shared" ref="H305:H308" si="63">F305*$L$301</f>
        <v>27867475.65381065</v>
      </c>
      <c r="I305" s="212">
        <f t="shared" ref="I305:I308" si="64">E305/B305</f>
        <v>28025.881889519944</v>
      </c>
      <c r="J305" s="212">
        <f t="shared" ref="J305:J308" si="65">F305/C305</f>
        <v>27787.053683077873</v>
      </c>
      <c r="K305" s="212">
        <f t="shared" ref="K305:K308" si="66">G305/B305</f>
        <v>27716.865020264369</v>
      </c>
      <c r="L305" s="194">
        <f t="shared" ref="L305:L308" si="67">H305/C305</f>
        <v>27909.339663305607</v>
      </c>
    </row>
    <row r="306" spans="1:12" s="84" customFormat="1" ht="25.5" x14ac:dyDescent="0.2">
      <c r="A306" s="333" t="s">
        <v>122</v>
      </c>
      <c r="B306" s="212">
        <f t="shared" si="61"/>
        <v>40.5</v>
      </c>
      <c r="C306" s="212">
        <f>$G$243</f>
        <v>42.5</v>
      </c>
      <c r="D306" s="198" t="s">
        <v>56</v>
      </c>
      <c r="E306" s="212">
        <f t="shared" si="62"/>
        <v>232896.94000000003</v>
      </c>
      <c r="F306" s="212">
        <f>$G$245</f>
        <v>251732.03000000003</v>
      </c>
      <c r="G306" s="201">
        <f>E306</f>
        <v>232896.94000000003</v>
      </c>
      <c r="H306" s="201">
        <f>F306</f>
        <v>251732.03000000003</v>
      </c>
      <c r="I306" s="212">
        <f t="shared" si="64"/>
        <v>5750.5417283950628</v>
      </c>
      <c r="J306" s="212">
        <f t="shared" si="65"/>
        <v>5923.106588235295</v>
      </c>
      <c r="K306" s="212">
        <f t="shared" si="66"/>
        <v>5750.5417283950628</v>
      </c>
      <c r="L306" s="194">
        <f t="shared" si="67"/>
        <v>5923.106588235295</v>
      </c>
    </row>
    <row r="307" spans="1:12" s="84" customFormat="1" x14ac:dyDescent="0.2">
      <c r="A307" s="333" t="s">
        <v>202</v>
      </c>
      <c r="B307" s="212">
        <f>C276</f>
        <v>2989.5</v>
      </c>
      <c r="C307" s="212">
        <f>$G$251</f>
        <v>2925</v>
      </c>
      <c r="D307" s="198" t="s">
        <v>55</v>
      </c>
      <c r="E307" s="212">
        <f t="shared" si="62"/>
        <v>6529262.7599999467</v>
      </c>
      <c r="F307" s="212">
        <f>G252</f>
        <v>6424167.5299999965</v>
      </c>
      <c r="G307" s="201">
        <f>E307</f>
        <v>6529262.7599999467</v>
      </c>
      <c r="H307" s="201">
        <f t="shared" si="63"/>
        <v>6452439.1716253785</v>
      </c>
      <c r="I307" s="212">
        <f t="shared" si="64"/>
        <v>2184.0651480180454</v>
      </c>
      <c r="J307" s="212">
        <f t="shared" si="65"/>
        <v>2196.2965914529905</v>
      </c>
      <c r="K307" s="212">
        <f t="shared" si="66"/>
        <v>2184.0651480180454</v>
      </c>
      <c r="L307" s="194">
        <f t="shared" si="67"/>
        <v>2205.9621099573942</v>
      </c>
    </row>
    <row r="308" spans="1:12" s="84" customFormat="1" x14ac:dyDescent="0.2">
      <c r="A308" s="333" t="s">
        <v>53</v>
      </c>
      <c r="B308" s="212">
        <f>C277</f>
        <v>1105</v>
      </c>
      <c r="C308" s="212">
        <f>$G$247</f>
        <v>1141</v>
      </c>
      <c r="D308" s="198" t="s">
        <v>55</v>
      </c>
      <c r="E308" s="212">
        <f t="shared" si="62"/>
        <v>592582.10000000009</v>
      </c>
      <c r="F308" s="212">
        <f>'Load Forecast Summary'!I32</f>
        <v>594156.09999999986</v>
      </c>
      <c r="G308" s="201">
        <f>E308*L300</f>
        <v>586048.21585530997</v>
      </c>
      <c r="H308" s="201">
        <f t="shared" si="63"/>
        <v>596770.87744007923</v>
      </c>
      <c r="I308" s="212">
        <f t="shared" si="64"/>
        <v>536.27339366515844</v>
      </c>
      <c r="J308" s="212">
        <f t="shared" si="65"/>
        <v>520.73277826467995</v>
      </c>
      <c r="K308" s="212">
        <f t="shared" si="66"/>
        <v>530.36037633964702</v>
      </c>
      <c r="L308" s="194">
        <f t="shared" si="67"/>
        <v>523.02443246282144</v>
      </c>
    </row>
    <row r="309" spans="1:12" s="84" customFormat="1" ht="13.5" thickBot="1" x14ac:dyDescent="0.25">
      <c r="A309" s="335" t="s">
        <v>8</v>
      </c>
      <c r="B309" s="199">
        <f>SUM(B304:B308)</f>
        <v>13028</v>
      </c>
      <c r="C309" s="199">
        <f>SUM(C304:C308)</f>
        <v>13311.5</v>
      </c>
      <c r="D309" s="209"/>
      <c r="E309" s="209"/>
      <c r="G309" s="209"/>
      <c r="H309" s="209"/>
      <c r="I309" s="209"/>
      <c r="J309" s="209"/>
      <c r="K309" s="209"/>
      <c r="L309" s="209"/>
    </row>
    <row r="310" spans="1:12" s="84" customFormat="1" x14ac:dyDescent="0.2">
      <c r="A310" s="339" t="s">
        <v>145</v>
      </c>
      <c r="B310" s="340" t="s">
        <v>154</v>
      </c>
      <c r="C310" s="340" t="s">
        <v>153</v>
      </c>
      <c r="D310" s="341"/>
      <c r="E310" s="340" t="s">
        <v>148</v>
      </c>
      <c r="F310" s="340" t="s">
        <v>153</v>
      </c>
      <c r="G310" s="340" t="s">
        <v>148</v>
      </c>
      <c r="H310" s="340" t="s">
        <v>153</v>
      </c>
      <c r="I310" s="340" t="s">
        <v>148</v>
      </c>
      <c r="J310" s="340" t="s">
        <v>153</v>
      </c>
      <c r="K310" s="340" t="s">
        <v>148</v>
      </c>
      <c r="L310" s="342" t="s">
        <v>153</v>
      </c>
    </row>
    <row r="311" spans="1:12" s="84" customFormat="1" x14ac:dyDescent="0.2">
      <c r="A311" s="333" t="s">
        <v>1</v>
      </c>
      <c r="B311" s="218">
        <f>C304-B304</f>
        <v>280</v>
      </c>
      <c r="C311" s="215">
        <f>B311/B304</f>
        <v>3.5333459524260202E-2</v>
      </c>
      <c r="D311" s="198" t="s">
        <v>55</v>
      </c>
      <c r="E311" s="218">
        <f>F304-E304</f>
        <v>527306.56999997795</v>
      </c>
      <c r="F311" s="215">
        <f>E311/E304</f>
        <v>5.7642751474315914E-3</v>
      </c>
      <c r="G311" s="218">
        <f>H304-G304</f>
        <v>1940859.6356094778</v>
      </c>
      <c r="H311" s="215">
        <f>G311/G304</f>
        <v>2.1453138129011427E-2</v>
      </c>
      <c r="I311" s="218">
        <f>J304-I304</f>
        <v>-329.68994761353497</v>
      </c>
      <c r="J311" s="215">
        <f>I311/I304</f>
        <v>-2.8560058698784495E-2</v>
      </c>
      <c r="K311" s="218">
        <f>L304-K304</f>
        <v>-153.05612076343095</v>
      </c>
      <c r="L311" s="221">
        <f>K311/K304</f>
        <v>-1.3406619159808541E-2</v>
      </c>
    </row>
    <row r="312" spans="1:12" s="84" customFormat="1" ht="25.5" x14ac:dyDescent="0.2">
      <c r="A312" s="333" t="s">
        <v>71</v>
      </c>
      <c r="B312" s="218">
        <f t="shared" ref="B312:B315" si="68">C305-B305</f>
        <v>30</v>
      </c>
      <c r="C312" s="215">
        <f t="shared" ref="C312:C315" si="69">B312/B305</f>
        <v>3.0975735673722252E-2</v>
      </c>
      <c r="D312" s="198" t="s">
        <v>55</v>
      </c>
      <c r="E312" s="218">
        <f t="shared" ref="E312:E315" si="70">F305-E305</f>
        <v>602306.4925531894</v>
      </c>
      <c r="F312" s="215">
        <f t="shared" ref="F312:F315" si="71">E312/E305</f>
        <v>2.2190067953901983E-2</v>
      </c>
      <c r="G312" s="218">
        <f t="shared" ref="G312:G315" si="72">H305-G305</f>
        <v>1023691.8816846088</v>
      </c>
      <c r="H312" s="215">
        <f t="shared" ref="H312:H315" si="73">G312/G305</f>
        <v>3.8135155996435438E-2</v>
      </c>
      <c r="I312" s="218">
        <f t="shared" ref="I312:I315" si="74">J305-I305</f>
        <v>-238.82820644207095</v>
      </c>
      <c r="J312" s="215">
        <f t="shared" ref="J312:J315" si="75">I312/I305</f>
        <v>-8.5217017392547733E-3</v>
      </c>
      <c r="K312" s="218">
        <f t="shared" ref="K312:K315" si="76">L305-K305</f>
        <v>192.47464304123787</v>
      </c>
      <c r="L312" s="221">
        <f t="shared" ref="L312:L315" si="77">K312/K305</f>
        <v>6.9443150551303581E-3</v>
      </c>
    </row>
    <row r="313" spans="1:12" s="84" customFormat="1" ht="25.5" x14ac:dyDescent="0.2">
      <c r="A313" s="333" t="s">
        <v>122</v>
      </c>
      <c r="B313" s="218">
        <f t="shared" si="68"/>
        <v>2</v>
      </c>
      <c r="C313" s="215">
        <f t="shared" si="69"/>
        <v>4.9382716049382713E-2</v>
      </c>
      <c r="D313" s="198" t="s">
        <v>56</v>
      </c>
      <c r="E313" s="218">
        <f t="shared" si="70"/>
        <v>18835.089999999997</v>
      </c>
      <c r="F313" s="215">
        <f t="shared" si="71"/>
        <v>8.0873067718279137E-2</v>
      </c>
      <c r="G313" s="218">
        <f t="shared" si="72"/>
        <v>18835.089999999997</v>
      </c>
      <c r="H313" s="215">
        <f t="shared" si="73"/>
        <v>8.0873067718279137E-2</v>
      </c>
      <c r="I313" s="218">
        <f t="shared" si="74"/>
        <v>172.5648598402322</v>
      </c>
      <c r="J313" s="215">
        <f t="shared" si="75"/>
        <v>3.0008452766830698E-2</v>
      </c>
      <c r="K313" s="218">
        <f t="shared" si="76"/>
        <v>172.5648598402322</v>
      </c>
      <c r="L313" s="221">
        <f t="shared" si="77"/>
        <v>3.0008452766830698E-2</v>
      </c>
    </row>
    <row r="314" spans="1:12" s="84" customFormat="1" x14ac:dyDescent="0.2">
      <c r="A314" s="333" t="s">
        <v>202</v>
      </c>
      <c r="B314" s="218">
        <f t="shared" si="68"/>
        <v>-64.5</v>
      </c>
      <c r="C314" s="215">
        <f t="shared" si="69"/>
        <v>-2.1575514300050176E-2</v>
      </c>
      <c r="D314" s="198" t="s">
        <v>55</v>
      </c>
      <c r="E314" s="218">
        <f t="shared" si="70"/>
        <v>-105095.22999995016</v>
      </c>
      <c r="F314" s="215">
        <f t="shared" si="71"/>
        <v>-1.6096033176025988E-2</v>
      </c>
      <c r="G314" s="218">
        <f t="shared" si="72"/>
        <v>-76823.588374568149</v>
      </c>
      <c r="H314" s="215">
        <f t="shared" si="73"/>
        <v>-1.1766043303573339E-2</v>
      </c>
      <c r="I314" s="218">
        <f t="shared" si="74"/>
        <v>12.231443434945049</v>
      </c>
      <c r="J314" s="215">
        <f t="shared" si="75"/>
        <v>5.6003107077847976E-3</v>
      </c>
      <c r="K314" s="218">
        <f t="shared" si="76"/>
        <v>21.896961939348785</v>
      </c>
      <c r="L314" s="221">
        <f t="shared" si="77"/>
        <v>1.0025782408193927E-2</v>
      </c>
    </row>
    <row r="315" spans="1:12" s="84" customFormat="1" x14ac:dyDescent="0.2">
      <c r="A315" s="333" t="s">
        <v>53</v>
      </c>
      <c r="B315" s="218">
        <f t="shared" si="68"/>
        <v>36</v>
      </c>
      <c r="C315" s="215">
        <f t="shared" si="69"/>
        <v>3.2579185520361993E-2</v>
      </c>
      <c r="D315" s="198" t="s">
        <v>55</v>
      </c>
      <c r="E315" s="218">
        <f t="shared" si="70"/>
        <v>1573.9999999997672</v>
      </c>
      <c r="F315" s="215">
        <f t="shared" si="71"/>
        <v>2.6561720308456277E-3</v>
      </c>
      <c r="G315" s="218">
        <f t="shared" si="72"/>
        <v>10722.661584769259</v>
      </c>
      <c r="H315" s="215">
        <f t="shared" si="73"/>
        <v>1.829655187861981E-2</v>
      </c>
      <c r="I315" s="218">
        <f t="shared" si="74"/>
        <v>-15.540615400478487</v>
      </c>
      <c r="J315" s="215">
        <f t="shared" si="75"/>
        <v>-2.8978904387305531E-2</v>
      </c>
      <c r="K315" s="218">
        <f t="shared" si="76"/>
        <v>-7.3359438768255814</v>
      </c>
      <c r="L315" s="221">
        <f t="shared" si="77"/>
        <v>-1.3831998399759005E-2</v>
      </c>
    </row>
    <row r="316" spans="1:12" s="84" customFormat="1" ht="13.5" thickBot="1" x14ac:dyDescent="0.25">
      <c r="A316" s="338" t="s">
        <v>8</v>
      </c>
      <c r="B316" s="196">
        <f>SUM(B311:B315)</f>
        <v>283.5</v>
      </c>
      <c r="C316" s="232">
        <f>B316/B309</f>
        <v>2.1760822843107153E-2</v>
      </c>
      <c r="D316" s="138"/>
      <c r="E316" s="138"/>
      <c r="F316" s="138"/>
      <c r="G316" s="138"/>
      <c r="H316" s="138"/>
      <c r="I316" s="138"/>
      <c r="J316" s="138"/>
      <c r="K316" s="138"/>
      <c r="L316" s="138"/>
    </row>
    <row r="317" spans="1:12" s="84" customFormat="1" x14ac:dyDescent="0.2"/>
    <row r="318" spans="1:12" s="84" customFormat="1" x14ac:dyDescent="0.2">
      <c r="A318" s="200" t="s">
        <v>159</v>
      </c>
      <c r="B318" s="138"/>
      <c r="C318" s="138"/>
      <c r="D318" s="138"/>
      <c r="E318" s="138"/>
    </row>
    <row r="319" spans="1:12" s="84" customFormat="1" ht="38.25" x14ac:dyDescent="0.2">
      <c r="A319" s="207" t="s">
        <v>141</v>
      </c>
      <c r="B319" s="207" t="s">
        <v>69</v>
      </c>
      <c r="C319" s="207" t="s">
        <v>70</v>
      </c>
      <c r="D319" s="207" t="s">
        <v>142</v>
      </c>
      <c r="E319" s="207" t="s">
        <v>143</v>
      </c>
    </row>
    <row r="320" spans="1:12" s="84" customFormat="1" x14ac:dyDescent="0.2">
      <c r="A320" s="224" t="s">
        <v>1</v>
      </c>
      <c r="B320" s="303">
        <f>C292</f>
        <v>17745531</v>
      </c>
      <c r="C320" s="303">
        <v>18394877</v>
      </c>
      <c r="D320" s="212">
        <f>C320-B320</f>
        <v>649346</v>
      </c>
      <c r="E320" s="197">
        <f>D320/B320</f>
        <v>3.6592086199054852E-2</v>
      </c>
    </row>
    <row r="321" spans="1:14" s="84" customFormat="1" x14ac:dyDescent="0.2">
      <c r="A321" s="224" t="s">
        <v>71</v>
      </c>
      <c r="B321" s="303"/>
      <c r="C321" s="303"/>
      <c r="D321" s="212"/>
      <c r="E321" s="197"/>
    </row>
    <row r="322" spans="1:14" s="84" customFormat="1" x14ac:dyDescent="0.2">
      <c r="A322" s="224" t="s">
        <v>122</v>
      </c>
      <c r="B322" s="303">
        <f>C294</f>
        <v>4775099</v>
      </c>
      <c r="C322" s="303">
        <v>4899398</v>
      </c>
      <c r="D322" s="212">
        <f t="shared" ref="D322:D325" si="78">C322-B322</f>
        <v>124299</v>
      </c>
      <c r="E322" s="197">
        <f t="shared" ref="E322" si="79">D322/B322</f>
        <v>2.6030664495123555E-2</v>
      </c>
    </row>
    <row r="323" spans="1:14" s="84" customFormat="1" x14ac:dyDescent="0.2">
      <c r="A323" s="224" t="s">
        <v>202</v>
      </c>
      <c r="B323" s="303">
        <f>C295</f>
        <v>2887768</v>
      </c>
      <c r="C323" s="304">
        <v>2886133</v>
      </c>
      <c r="D323" s="212">
        <f>C323-B323</f>
        <v>-1635</v>
      </c>
      <c r="E323" s="197">
        <f>D323/B323</f>
        <v>-5.6618121677364669E-4</v>
      </c>
    </row>
    <row r="324" spans="1:14" s="84" customFormat="1" x14ac:dyDescent="0.2">
      <c r="A324" s="224" t="s">
        <v>53</v>
      </c>
      <c r="B324" s="303">
        <f>C296</f>
        <v>196630</v>
      </c>
      <c r="C324" s="304">
        <v>283139</v>
      </c>
      <c r="D324" s="212">
        <f>C324-B324</f>
        <v>86509</v>
      </c>
      <c r="E324" s="197">
        <f>D324/B324</f>
        <v>0.4399582973096679</v>
      </c>
    </row>
    <row r="325" spans="1:14" s="84" customFormat="1" x14ac:dyDescent="0.2">
      <c r="A325" s="226" t="s">
        <v>8</v>
      </c>
      <c r="B325" s="306">
        <f>SUM(B320:B324)</f>
        <v>25605028</v>
      </c>
      <c r="C325" s="306">
        <f>SUM(C320:C324)</f>
        <v>26463547</v>
      </c>
      <c r="D325" s="206">
        <f t="shared" si="78"/>
        <v>858519</v>
      </c>
      <c r="E325" s="203">
        <f>D325/B325</f>
        <v>3.3529313070854674E-2</v>
      </c>
    </row>
    <row r="326" spans="1:14" s="84" customFormat="1" ht="13.5" thickBot="1" x14ac:dyDescent="0.25"/>
    <row r="327" spans="1:14" s="84" customFormat="1" ht="13.5" thickBot="1" x14ac:dyDescent="0.25">
      <c r="A327" s="200" t="s">
        <v>160</v>
      </c>
      <c r="B327" s="138"/>
      <c r="C327" s="138"/>
      <c r="D327" s="138"/>
      <c r="E327" s="138"/>
      <c r="F327" s="138"/>
      <c r="G327" s="138"/>
      <c r="H327" s="138"/>
      <c r="I327" s="138"/>
      <c r="J327" s="138"/>
      <c r="K327" s="205" t="s">
        <v>156</v>
      </c>
      <c r="L327" s="214">
        <f>$F$123</f>
        <v>1.0044008257090677</v>
      </c>
    </row>
    <row r="328" spans="1:14" s="84" customFormat="1" ht="13.5" thickBot="1" x14ac:dyDescent="0.25">
      <c r="A328" s="200"/>
      <c r="B328" s="138"/>
      <c r="C328" s="138"/>
      <c r="D328" s="138"/>
      <c r="E328" s="138"/>
      <c r="F328" s="138"/>
      <c r="G328" s="138"/>
      <c r="H328" s="138"/>
      <c r="I328" s="138"/>
      <c r="J328" s="138"/>
      <c r="K328" s="205" t="s">
        <v>161</v>
      </c>
      <c r="L328" s="214">
        <f>$F$124</f>
        <v>0.98296432483545892</v>
      </c>
    </row>
    <row r="329" spans="1:14" s="84" customFormat="1" ht="42" customHeight="1" x14ac:dyDescent="0.2">
      <c r="A329" s="384" t="s">
        <v>144</v>
      </c>
      <c r="B329" s="386" t="s">
        <v>146</v>
      </c>
      <c r="C329" s="387"/>
      <c r="D329" s="388" t="s">
        <v>147</v>
      </c>
      <c r="E329" s="390" t="s">
        <v>148</v>
      </c>
      <c r="F329" s="391"/>
      <c r="G329" s="390" t="s">
        <v>151</v>
      </c>
      <c r="H329" s="391"/>
      <c r="I329" s="390" t="s">
        <v>149</v>
      </c>
      <c r="J329" s="391"/>
      <c r="K329" s="390" t="s">
        <v>150</v>
      </c>
      <c r="L329" s="392"/>
    </row>
    <row r="330" spans="1:14" s="84" customFormat="1" x14ac:dyDescent="0.2">
      <c r="A330" s="385"/>
      <c r="B330" s="366" t="s">
        <v>69</v>
      </c>
      <c r="C330" s="366" t="s">
        <v>70</v>
      </c>
      <c r="D330" s="389"/>
      <c r="E330" s="366" t="s">
        <v>69</v>
      </c>
      <c r="F330" s="366" t="s">
        <v>70</v>
      </c>
      <c r="G330" s="366" t="s">
        <v>69</v>
      </c>
      <c r="H330" s="366" t="s">
        <v>70</v>
      </c>
      <c r="I330" s="366" t="s">
        <v>69</v>
      </c>
      <c r="J330" s="366" t="s">
        <v>70</v>
      </c>
      <c r="K330" s="366" t="s">
        <v>69</v>
      </c>
      <c r="L330" s="374" t="s">
        <v>70</v>
      </c>
      <c r="N330" s="294">
        <f>H331+H332+H334</f>
        <v>133093566.07729052</v>
      </c>
    </row>
    <row r="331" spans="1:14" s="84" customFormat="1" x14ac:dyDescent="0.2">
      <c r="A331" s="224" t="s">
        <v>1</v>
      </c>
      <c r="B331" s="212">
        <f>C304</f>
        <v>8204.5</v>
      </c>
      <c r="C331" s="212">
        <f>$H$237</f>
        <v>8360.5</v>
      </c>
      <c r="D331" s="198" t="s">
        <v>55</v>
      </c>
      <c r="E331" s="212">
        <f>F304</f>
        <v>92005689.629998744</v>
      </c>
      <c r="F331" s="212">
        <f>$H$238</f>
        <v>99292265.290000916</v>
      </c>
      <c r="G331" s="201">
        <f>E331*$L$327</f>
        <v>92410590.634302944</v>
      </c>
      <c r="H331" s="201">
        <f>F331*$L$328</f>
        <v>97600754.512169018</v>
      </c>
      <c r="I331" s="212">
        <f>E331/B331</f>
        <v>11214.05199951231</v>
      </c>
      <c r="J331" s="212">
        <f>F331/C331</f>
        <v>11876.354917768185</v>
      </c>
      <c r="K331" s="212">
        <f>G331/B331</f>
        <v>11263.403087854585</v>
      </c>
      <c r="L331" s="194">
        <f>H331/C331</f>
        <v>11674.033193250287</v>
      </c>
    </row>
    <row r="332" spans="1:14" s="84" customFormat="1" ht="25.5" x14ac:dyDescent="0.2">
      <c r="A332" s="333" t="s">
        <v>71</v>
      </c>
      <c r="B332" s="212">
        <f>C305</f>
        <v>998.5</v>
      </c>
      <c r="C332" s="212">
        <f>$H$240</f>
        <v>1025</v>
      </c>
      <c r="D332" s="198" t="s">
        <v>55</v>
      </c>
      <c r="E332" s="212">
        <f t="shared" ref="E332:E335" si="80">F305</f>
        <v>27745373.102553256</v>
      </c>
      <c r="F332" s="212">
        <f>$H$241</f>
        <v>29567137.169999924</v>
      </c>
      <c r="G332" s="201">
        <f t="shared" ref="G332:G335" si="81">E332*$L$327</f>
        <v>27867475.65381065</v>
      </c>
      <c r="H332" s="201">
        <f t="shared" ref="H332:H335" si="82">F332*$L$328</f>
        <v>29063441.025626376</v>
      </c>
      <c r="I332" s="212">
        <f t="shared" ref="I332:I335" si="83">E332/B332</f>
        <v>27787.053683077873</v>
      </c>
      <c r="J332" s="212">
        <f t="shared" ref="J332:J335" si="84">F332/C332</f>
        <v>28845.987482926754</v>
      </c>
      <c r="K332" s="212">
        <f t="shared" ref="K332:K335" si="85">G332/B332</f>
        <v>27909.339663305607</v>
      </c>
      <c r="L332" s="194">
        <f t="shared" ref="L332:L335" si="86">H332/C332</f>
        <v>28354.576610367196</v>
      </c>
    </row>
    <row r="333" spans="1:14" s="84" customFormat="1" ht="25.5" x14ac:dyDescent="0.2">
      <c r="A333" s="333" t="s">
        <v>122</v>
      </c>
      <c r="B333" s="212">
        <f>C306</f>
        <v>42.5</v>
      </c>
      <c r="C333" s="212">
        <f>$H$243</f>
        <v>45.5</v>
      </c>
      <c r="D333" s="198" t="s">
        <v>56</v>
      </c>
      <c r="E333" s="212">
        <f t="shared" si="80"/>
        <v>251732.03000000003</v>
      </c>
      <c r="F333" s="213">
        <f>$H$245</f>
        <v>260826.09999999986</v>
      </c>
      <c r="G333" s="201">
        <f>E333</f>
        <v>251732.03000000003</v>
      </c>
      <c r="H333" s="201">
        <f>F333</f>
        <v>260826.09999999986</v>
      </c>
      <c r="I333" s="212">
        <f t="shared" si="83"/>
        <v>5923.106588235295</v>
      </c>
      <c r="J333" s="212">
        <f t="shared" si="84"/>
        <v>5732.4417582417555</v>
      </c>
      <c r="K333" s="212">
        <f t="shared" si="85"/>
        <v>5923.106588235295</v>
      </c>
      <c r="L333" s="194">
        <f t="shared" si="86"/>
        <v>5732.4417582417555</v>
      </c>
    </row>
    <row r="334" spans="1:14" s="84" customFormat="1" x14ac:dyDescent="0.2">
      <c r="A334" s="224" t="s">
        <v>202</v>
      </c>
      <c r="B334" s="212">
        <f>C307</f>
        <v>2925</v>
      </c>
      <c r="C334" s="212">
        <f>$H$251</f>
        <v>2848.5</v>
      </c>
      <c r="D334" s="198" t="s">
        <v>55</v>
      </c>
      <c r="E334" s="212">
        <f t="shared" si="80"/>
        <v>6424167.5299999965</v>
      </c>
      <c r="F334" s="213">
        <f>'Load Forecast Summary'!J28</f>
        <v>6540797.4400000293</v>
      </c>
      <c r="G334" s="201">
        <f t="shared" si="81"/>
        <v>6452439.1716253785</v>
      </c>
      <c r="H334" s="201">
        <f t="shared" si="82"/>
        <v>6429370.5394951273</v>
      </c>
      <c r="I334" s="212">
        <f t="shared" si="83"/>
        <v>2196.2965914529905</v>
      </c>
      <c r="J334" s="212">
        <f t="shared" si="84"/>
        <v>2296.2251851851956</v>
      </c>
      <c r="K334" s="212">
        <f t="shared" si="85"/>
        <v>2205.9621099573942</v>
      </c>
      <c r="L334" s="194">
        <f t="shared" si="86"/>
        <v>2257.1074388257425</v>
      </c>
    </row>
    <row r="335" spans="1:14" s="84" customFormat="1" x14ac:dyDescent="0.2">
      <c r="A335" s="224" t="s">
        <v>53</v>
      </c>
      <c r="B335" s="212">
        <f>C308</f>
        <v>1141</v>
      </c>
      <c r="C335" s="212">
        <f>$H$247</f>
        <v>1146</v>
      </c>
      <c r="D335" s="198" t="s">
        <v>55</v>
      </c>
      <c r="E335" s="212">
        <f t="shared" si="80"/>
        <v>594156.09999999986</v>
      </c>
      <c r="F335" s="213">
        <f>'Load Forecast Summary'!J32</f>
        <v>592974.89999999991</v>
      </c>
      <c r="G335" s="201">
        <f t="shared" si="81"/>
        <v>596770.87744007923</v>
      </c>
      <c r="H335" s="201">
        <f t="shared" si="82"/>
        <v>582873.17222287366</v>
      </c>
      <c r="I335" s="212">
        <f t="shared" si="83"/>
        <v>520.73277826467995</v>
      </c>
      <c r="J335" s="212">
        <f t="shared" si="84"/>
        <v>517.43010471204184</v>
      </c>
      <c r="K335" s="212">
        <f t="shared" si="85"/>
        <v>523.02443246282144</v>
      </c>
      <c r="L335" s="194">
        <f t="shared" si="86"/>
        <v>508.61533352781299</v>
      </c>
    </row>
    <row r="336" spans="1:14" s="84" customFormat="1" ht="13.5" thickBot="1" x14ac:dyDescent="0.25">
      <c r="A336" s="210" t="s">
        <v>8</v>
      </c>
      <c r="B336" s="199">
        <f>SUM(B331:B335)</f>
        <v>13311.5</v>
      </c>
      <c r="C336" s="199">
        <f>SUM(C331:C335)</f>
        <v>13425.5</v>
      </c>
      <c r="D336" s="209"/>
      <c r="E336" s="209"/>
      <c r="F336" s="209"/>
      <c r="G336" s="209"/>
      <c r="H336" s="209"/>
      <c r="I336" s="209"/>
      <c r="J336" s="209"/>
      <c r="K336" s="209"/>
      <c r="L336" s="209"/>
    </row>
    <row r="337" spans="1:12" s="84" customFormat="1" x14ac:dyDescent="0.2">
      <c r="A337" s="343" t="s">
        <v>145</v>
      </c>
      <c r="B337" s="340" t="s">
        <v>154</v>
      </c>
      <c r="C337" s="340" t="s">
        <v>153</v>
      </c>
      <c r="D337" s="341"/>
      <c r="E337" s="340" t="s">
        <v>148</v>
      </c>
      <c r="F337" s="340" t="s">
        <v>153</v>
      </c>
      <c r="G337" s="340" t="s">
        <v>148</v>
      </c>
      <c r="H337" s="340" t="s">
        <v>153</v>
      </c>
      <c r="I337" s="340" t="s">
        <v>148</v>
      </c>
      <c r="J337" s="340" t="s">
        <v>153</v>
      </c>
      <c r="K337" s="340" t="s">
        <v>148</v>
      </c>
      <c r="L337" s="342" t="s">
        <v>153</v>
      </c>
    </row>
    <row r="338" spans="1:12" s="84" customFormat="1" x14ac:dyDescent="0.2">
      <c r="A338" s="224" t="s">
        <v>1</v>
      </c>
      <c r="B338" s="218">
        <f>C331-B331</f>
        <v>156</v>
      </c>
      <c r="C338" s="215">
        <f>B338/B331</f>
        <v>1.9013955755987567E-2</v>
      </c>
      <c r="D338" s="198" t="s">
        <v>55</v>
      </c>
      <c r="E338" s="218">
        <f>F331-E331</f>
        <v>7286575.660002172</v>
      </c>
      <c r="F338" s="215">
        <f>E338/E331</f>
        <v>7.919701150336643E-2</v>
      </c>
      <c r="G338" s="218">
        <f>H331-G331</f>
        <v>5190163.8778660744</v>
      </c>
      <c r="H338" s="215">
        <f>G338/G331</f>
        <v>5.6164167356154503E-2</v>
      </c>
      <c r="I338" s="218">
        <f>J331-I331</f>
        <v>662.30291825587483</v>
      </c>
      <c r="J338" s="215">
        <f>I338/I331</f>
        <v>5.9060089812734758E-2</v>
      </c>
      <c r="K338" s="218">
        <f>L331-K331</f>
        <v>410.63010539570132</v>
      </c>
      <c r="L338" s="221">
        <f>K338/K331</f>
        <v>3.6457019445436251E-2</v>
      </c>
    </row>
    <row r="339" spans="1:12" s="84" customFormat="1" ht="25.5" x14ac:dyDescent="0.2">
      <c r="A339" s="333" t="s">
        <v>71</v>
      </c>
      <c r="B339" s="218">
        <f t="shared" ref="B339:B342" si="87">C332-B332</f>
        <v>26.5</v>
      </c>
      <c r="C339" s="215">
        <f t="shared" ref="C339:C342" si="88">B339/B332</f>
        <v>2.6539809714571858E-2</v>
      </c>
      <c r="D339" s="198" t="s">
        <v>55</v>
      </c>
      <c r="E339" s="218">
        <f t="shared" ref="E339:E342" si="89">F332-E332</f>
        <v>1821764.0674466677</v>
      </c>
      <c r="F339" s="215">
        <f t="shared" ref="F339:F342" si="90">E339/E332</f>
        <v>6.5660103423839725E-2</v>
      </c>
      <c r="G339" s="218">
        <f t="shared" ref="G339:G342" si="91">H332-G332</f>
        <v>1195965.3718157262</v>
      </c>
      <c r="H339" s="215">
        <f t="shared" ref="H339:H342" si="92">G339/G332</f>
        <v>4.2916171764993995E-2</v>
      </c>
      <c r="I339" s="218">
        <f t="shared" ref="I339:I342" si="93">J332-I332</f>
        <v>1058.9337998488809</v>
      </c>
      <c r="J339" s="215">
        <f t="shared" ref="J339:J342" si="94">I339/I332</f>
        <v>3.8108890993857489E-2</v>
      </c>
      <c r="K339" s="218">
        <f t="shared" ref="K339:K342" si="95">L332-K332</f>
        <v>445.23694706158858</v>
      </c>
      <c r="L339" s="221">
        <f t="shared" ref="L339:L342" si="96">K339/K332</f>
        <v>1.5952973177899055E-2</v>
      </c>
    </row>
    <row r="340" spans="1:12" s="84" customFormat="1" ht="25.5" x14ac:dyDescent="0.2">
      <c r="A340" s="333" t="s">
        <v>122</v>
      </c>
      <c r="B340" s="218">
        <f t="shared" si="87"/>
        <v>3</v>
      </c>
      <c r="C340" s="215">
        <f t="shared" si="88"/>
        <v>7.0588235294117646E-2</v>
      </c>
      <c r="D340" s="198" t="s">
        <v>56</v>
      </c>
      <c r="E340" s="218">
        <f t="shared" si="89"/>
        <v>9094.0699999998324</v>
      </c>
      <c r="F340" s="215">
        <f t="shared" si="90"/>
        <v>3.6125994773091974E-2</v>
      </c>
      <c r="G340" s="218">
        <f t="shared" si="91"/>
        <v>9094.0699999998324</v>
      </c>
      <c r="H340" s="215">
        <f t="shared" si="92"/>
        <v>3.6125994773091974E-2</v>
      </c>
      <c r="I340" s="218">
        <f t="shared" si="93"/>
        <v>-190.66482999353957</v>
      </c>
      <c r="J340" s="215">
        <f t="shared" si="94"/>
        <v>-3.2190004882276725E-2</v>
      </c>
      <c r="K340" s="218">
        <f t="shared" si="95"/>
        <v>-190.66482999353957</v>
      </c>
      <c r="L340" s="221">
        <f t="shared" si="96"/>
        <v>-3.2190004882276725E-2</v>
      </c>
    </row>
    <row r="341" spans="1:12" s="84" customFormat="1" x14ac:dyDescent="0.2">
      <c r="A341" s="224" t="s">
        <v>202</v>
      </c>
      <c r="B341" s="218">
        <f t="shared" si="87"/>
        <v>-76.5</v>
      </c>
      <c r="C341" s="215">
        <f t="shared" si="88"/>
        <v>-2.6153846153846153E-2</v>
      </c>
      <c r="D341" s="198" t="s">
        <v>55</v>
      </c>
      <c r="E341" s="218">
        <f t="shared" si="89"/>
        <v>116629.91000003275</v>
      </c>
      <c r="F341" s="215">
        <f t="shared" si="90"/>
        <v>1.8154867452535566E-2</v>
      </c>
      <c r="G341" s="218">
        <f t="shared" si="91"/>
        <v>-23068.632130251266</v>
      </c>
      <c r="H341" s="215">
        <f t="shared" si="92"/>
        <v>-3.5751801011461911E-3</v>
      </c>
      <c r="I341" s="218">
        <f t="shared" si="93"/>
        <v>99.928593732205172</v>
      </c>
      <c r="J341" s="215">
        <f t="shared" si="94"/>
        <v>4.5498679058685799E-2</v>
      </c>
      <c r="K341" s="218">
        <f t="shared" si="95"/>
        <v>51.145328868348315</v>
      </c>
      <c r="L341" s="221">
        <f t="shared" si="96"/>
        <v>2.3185044129944793E-2</v>
      </c>
    </row>
    <row r="342" spans="1:12" s="84" customFormat="1" x14ac:dyDescent="0.2">
      <c r="A342" s="224" t="s">
        <v>53</v>
      </c>
      <c r="B342" s="218">
        <f t="shared" si="87"/>
        <v>5</v>
      </c>
      <c r="C342" s="215">
        <f t="shared" si="88"/>
        <v>4.3821209465381246E-3</v>
      </c>
      <c r="D342" s="198" t="s">
        <v>55</v>
      </c>
      <c r="E342" s="218">
        <f t="shared" si="89"/>
        <v>-1181.1999999999534</v>
      </c>
      <c r="F342" s="215">
        <f t="shared" si="90"/>
        <v>-1.9880297450450375E-3</v>
      </c>
      <c r="G342" s="218">
        <f t="shared" si="91"/>
        <v>-13897.70521720557</v>
      </c>
      <c r="H342" s="215">
        <f t="shared" si="92"/>
        <v>-2.3288175986102833E-2</v>
      </c>
      <c r="I342" s="218">
        <f t="shared" si="93"/>
        <v>-3.3026735526381117</v>
      </c>
      <c r="J342" s="215">
        <f t="shared" si="94"/>
        <v>-6.3423577129984639E-3</v>
      </c>
      <c r="K342" s="218">
        <f t="shared" si="95"/>
        <v>-14.409098935008444</v>
      </c>
      <c r="L342" s="221">
        <f t="shared" si="96"/>
        <v>-2.7549571378833623E-2</v>
      </c>
    </row>
    <row r="343" spans="1:12" s="84" customFormat="1" ht="13.5" thickBot="1" x14ac:dyDescent="0.25">
      <c r="A343" s="231" t="s">
        <v>8</v>
      </c>
      <c r="B343" s="196">
        <f>SUM(B338:B342)</f>
        <v>114</v>
      </c>
      <c r="C343" s="232">
        <f>B343/B336</f>
        <v>8.5640235886263755E-3</v>
      </c>
      <c r="D343" s="138"/>
      <c r="E343" s="138"/>
      <c r="F343" s="138"/>
      <c r="G343" s="138"/>
      <c r="H343" s="138"/>
      <c r="I343" s="138"/>
      <c r="J343" s="138"/>
      <c r="K343" s="138"/>
      <c r="L343" s="138"/>
    </row>
    <row r="344" spans="1:12" s="84" customFormat="1" ht="14.45" customHeight="1" x14ac:dyDescent="0.2">
      <c r="D344" s="344">
        <f>+(B341+B338)/SUM(B331,B334)</f>
        <v>7.1431780403432323E-3</v>
      </c>
    </row>
    <row r="345" spans="1:12" s="84" customFormat="1" x14ac:dyDescent="0.2">
      <c r="A345" s="200" t="s">
        <v>210</v>
      </c>
      <c r="B345" s="138"/>
      <c r="C345" s="138"/>
      <c r="D345" s="138"/>
      <c r="E345" s="138"/>
    </row>
    <row r="346" spans="1:12" s="84" customFormat="1" ht="38.25" x14ac:dyDescent="0.2">
      <c r="A346" s="323" t="s">
        <v>141</v>
      </c>
      <c r="B346" s="323" t="s">
        <v>70</v>
      </c>
      <c r="C346" s="323" t="s">
        <v>198</v>
      </c>
      <c r="D346" s="323" t="s">
        <v>142</v>
      </c>
      <c r="E346" s="323" t="s">
        <v>143</v>
      </c>
    </row>
    <row r="347" spans="1:12" s="84" customFormat="1" x14ac:dyDescent="0.2">
      <c r="A347" s="224" t="s">
        <v>1</v>
      </c>
      <c r="B347" s="303">
        <f>C320</f>
        <v>18394877</v>
      </c>
      <c r="C347" s="303">
        <v>18980854.59</v>
      </c>
      <c r="D347" s="212">
        <f>C347-B347</f>
        <v>585977.58999999985</v>
      </c>
      <c r="E347" s="197">
        <f>D347/B347</f>
        <v>3.185547747886544E-2</v>
      </c>
    </row>
    <row r="348" spans="1:12" s="84" customFormat="1" x14ac:dyDescent="0.2">
      <c r="A348" s="224" t="s">
        <v>71</v>
      </c>
      <c r="B348" s="303">
        <f t="shared" ref="B348:B351" si="97">C321</f>
        <v>0</v>
      </c>
      <c r="C348" s="303">
        <v>0</v>
      </c>
      <c r="D348" s="212">
        <f t="shared" ref="D348:D352" si="98">C348-B348</f>
        <v>0</v>
      </c>
      <c r="E348" s="197"/>
    </row>
    <row r="349" spans="1:12" s="84" customFormat="1" x14ac:dyDescent="0.2">
      <c r="A349" s="224" t="s">
        <v>122</v>
      </c>
      <c r="B349" s="303">
        <f t="shared" si="97"/>
        <v>4899398</v>
      </c>
      <c r="C349" s="303">
        <v>5146239.3600000003</v>
      </c>
      <c r="D349" s="212">
        <f t="shared" si="98"/>
        <v>246841.36000000034</v>
      </c>
      <c r="E349" s="197">
        <f t="shared" ref="E349:E351" si="99">D349/B349</f>
        <v>5.038197754091428E-2</v>
      </c>
    </row>
    <row r="350" spans="1:12" s="84" customFormat="1" x14ac:dyDescent="0.2">
      <c r="A350" s="224" t="s">
        <v>202</v>
      </c>
      <c r="B350" s="303">
        <f t="shared" si="97"/>
        <v>2886133</v>
      </c>
      <c r="C350" s="303">
        <v>2898795.73</v>
      </c>
      <c r="D350" s="212">
        <f t="shared" si="98"/>
        <v>12662.729999999981</v>
      </c>
      <c r="E350" s="197">
        <f t="shared" si="99"/>
        <v>4.387438139545191E-3</v>
      </c>
    </row>
    <row r="351" spans="1:12" s="84" customFormat="1" x14ac:dyDescent="0.2">
      <c r="A351" s="224" t="s">
        <v>53</v>
      </c>
      <c r="B351" s="303">
        <f t="shared" si="97"/>
        <v>283139</v>
      </c>
      <c r="C351" s="303">
        <v>198420.15000000002</v>
      </c>
      <c r="D351" s="212">
        <f t="shared" si="98"/>
        <v>-84718.849999999977</v>
      </c>
      <c r="E351" s="197">
        <f t="shared" si="99"/>
        <v>-0.29921293075132699</v>
      </c>
    </row>
    <row r="352" spans="1:12" s="84" customFormat="1" x14ac:dyDescent="0.2">
      <c r="A352" s="226" t="s">
        <v>8</v>
      </c>
      <c r="B352" s="306">
        <f>SUM(B347:B351)</f>
        <v>26463547</v>
      </c>
      <c r="C352" s="306">
        <f>SUM(C347:C351)</f>
        <v>27224309.829999998</v>
      </c>
      <c r="D352" s="206">
        <f t="shared" si="98"/>
        <v>760762.82999999821</v>
      </c>
      <c r="E352" s="203">
        <f>D352/B352</f>
        <v>2.8747576052446717E-2</v>
      </c>
    </row>
    <row r="353" spans="1:14" s="84" customFormat="1" x14ac:dyDescent="0.2"/>
    <row r="354" spans="1:14" s="84" customFormat="1" ht="13.5" thickBot="1" x14ac:dyDescent="0.25">
      <c r="A354" s="200" t="s">
        <v>196</v>
      </c>
      <c r="B354" s="138"/>
      <c r="C354" s="138"/>
      <c r="D354" s="138"/>
      <c r="E354" s="138"/>
      <c r="F354" s="138"/>
      <c r="G354" s="138"/>
      <c r="H354" s="237"/>
      <c r="I354" s="237"/>
      <c r="J354" s="237"/>
      <c r="K354" s="237"/>
      <c r="L354" s="237"/>
    </row>
    <row r="355" spans="1:14" s="84" customFormat="1" ht="13.5" thickBot="1" x14ac:dyDescent="0.25">
      <c r="A355" s="200"/>
      <c r="B355" s="138"/>
      <c r="C355" s="138"/>
      <c r="D355" s="138"/>
      <c r="E355" s="138"/>
      <c r="F355" s="138"/>
      <c r="G355" s="138"/>
      <c r="H355" s="237"/>
      <c r="I355" s="138"/>
      <c r="J355" s="138"/>
      <c r="K355" s="205" t="s">
        <v>161</v>
      </c>
      <c r="L355" s="214">
        <f>$F$124</f>
        <v>0.98296432483545892</v>
      </c>
    </row>
    <row r="356" spans="1:14" s="84" customFormat="1" ht="13.5" thickBot="1" x14ac:dyDescent="0.25">
      <c r="A356" s="200"/>
      <c r="B356" s="138"/>
      <c r="C356" s="138"/>
      <c r="D356" s="138"/>
      <c r="E356" s="138"/>
      <c r="F356" s="138"/>
      <c r="G356" s="138"/>
      <c r="H356" s="138"/>
      <c r="I356" s="138"/>
      <c r="J356" s="138"/>
      <c r="K356" s="205" t="s">
        <v>197</v>
      </c>
      <c r="L356" s="214">
        <f>$F$125</f>
        <v>1.0059657255362637</v>
      </c>
    </row>
    <row r="357" spans="1:14" s="84" customFormat="1" ht="42.75" customHeight="1" x14ac:dyDescent="0.2">
      <c r="A357" s="393" t="s">
        <v>144</v>
      </c>
      <c r="B357" s="395" t="s">
        <v>146</v>
      </c>
      <c r="C357" s="396"/>
      <c r="D357" s="397" t="s">
        <v>147</v>
      </c>
      <c r="E357" s="399" t="s">
        <v>148</v>
      </c>
      <c r="F357" s="400"/>
      <c r="G357" s="399" t="s">
        <v>151</v>
      </c>
      <c r="H357" s="400"/>
      <c r="I357" s="399" t="s">
        <v>149</v>
      </c>
      <c r="J357" s="400"/>
      <c r="K357" s="399" t="s">
        <v>150</v>
      </c>
      <c r="L357" s="401"/>
    </row>
    <row r="358" spans="1:14" s="84" customFormat="1" x14ac:dyDescent="0.2">
      <c r="A358" s="394"/>
      <c r="B358" s="323" t="s">
        <v>70</v>
      </c>
      <c r="C358" s="323" t="s">
        <v>198</v>
      </c>
      <c r="D358" s="398"/>
      <c r="E358" s="323" t="s">
        <v>70</v>
      </c>
      <c r="F358" s="323" t="s">
        <v>198</v>
      </c>
      <c r="G358" s="323" t="s">
        <v>70</v>
      </c>
      <c r="H358" s="323" t="s">
        <v>198</v>
      </c>
      <c r="I358" s="323" t="s">
        <v>70</v>
      </c>
      <c r="J358" s="323" t="s">
        <v>198</v>
      </c>
      <c r="K358" s="323" t="s">
        <v>70</v>
      </c>
      <c r="L358" s="323" t="s">
        <v>198</v>
      </c>
    </row>
    <row r="359" spans="1:14" s="84" customFormat="1" x14ac:dyDescent="0.2">
      <c r="A359" s="224" t="s">
        <v>1</v>
      </c>
      <c r="B359" s="212">
        <f>C331</f>
        <v>8360.5</v>
      </c>
      <c r="C359" s="212">
        <f>$I$237</f>
        <v>8485</v>
      </c>
      <c r="D359" s="198" t="s">
        <v>55</v>
      </c>
      <c r="E359" s="212">
        <f>F331</f>
        <v>99292265.290000916</v>
      </c>
      <c r="F359" s="212">
        <f>$I$238</f>
        <v>96395846</v>
      </c>
      <c r="G359" s="201">
        <f>E359*$L$355</f>
        <v>97600754.512169018</v>
      </c>
      <c r="H359" s="201">
        <f>F359*$L$356</f>
        <v>96970917.160071939</v>
      </c>
      <c r="I359" s="212">
        <f>E359/B359</f>
        <v>11876.354917768185</v>
      </c>
      <c r="J359" s="212">
        <f>F359/C359</f>
        <v>11360.73612256924</v>
      </c>
      <c r="K359" s="212">
        <f>G359/B359</f>
        <v>11674.033193250287</v>
      </c>
      <c r="L359" s="194">
        <f>H359/C359</f>
        <v>11428.511156166403</v>
      </c>
      <c r="N359" s="294">
        <f>H359+H360+H363</f>
        <v>126177992.24185032</v>
      </c>
    </row>
    <row r="360" spans="1:14" s="84" customFormat="1" x14ac:dyDescent="0.2">
      <c r="A360" s="224" t="s">
        <v>71</v>
      </c>
      <c r="B360" s="212">
        <f>C332</f>
        <v>1025</v>
      </c>
      <c r="C360" s="212">
        <f>$I$240</f>
        <v>1055</v>
      </c>
      <c r="D360" s="198" t="s">
        <v>55</v>
      </c>
      <c r="E360" s="212">
        <f>F332</f>
        <v>29567137.169999924</v>
      </c>
      <c r="F360" s="212">
        <f>$I$241</f>
        <v>28496501</v>
      </c>
      <c r="G360" s="201">
        <f t="shared" ref="G360:G363" si="100">E360*$L$355</f>
        <v>29063441.025626376</v>
      </c>
      <c r="H360" s="201">
        <f t="shared" ref="H360:H363" si="101">F360*$L$356</f>
        <v>28666503.303709865</v>
      </c>
      <c r="I360" s="212">
        <f t="shared" ref="I360:I363" si="102">E360/B360</f>
        <v>28845.987482926754</v>
      </c>
      <c r="J360" s="212">
        <f t="shared" ref="J360:J363" si="103">F360/C360</f>
        <v>27010.901421800947</v>
      </c>
      <c r="K360" s="212">
        <f t="shared" ref="K360:K363" si="104">G360/B360</f>
        <v>28354.576610367196</v>
      </c>
      <c r="L360" s="194">
        <f t="shared" ref="L360:L363" si="105">H360/C360</f>
        <v>27172.041046170489</v>
      </c>
    </row>
    <row r="361" spans="1:14" s="84" customFormat="1" x14ac:dyDescent="0.2">
      <c r="A361" s="224" t="s">
        <v>122</v>
      </c>
      <c r="B361" s="212">
        <f>C333</f>
        <v>45.5</v>
      </c>
      <c r="C361" s="212">
        <f>$I$243</f>
        <v>47</v>
      </c>
      <c r="D361" s="198" t="s">
        <v>56</v>
      </c>
      <c r="E361" s="212">
        <f>F333</f>
        <v>260826.09999999986</v>
      </c>
      <c r="F361" s="213">
        <f>$I$245</f>
        <v>278055</v>
      </c>
      <c r="G361" s="201">
        <f>E361</f>
        <v>260826.09999999986</v>
      </c>
      <c r="H361" s="201">
        <f>F361</f>
        <v>278055</v>
      </c>
      <c r="I361" s="212">
        <f t="shared" si="102"/>
        <v>5732.4417582417555</v>
      </c>
      <c r="J361" s="212">
        <f t="shared" si="103"/>
        <v>5916.0638297872338</v>
      </c>
      <c r="K361" s="212">
        <f t="shared" si="104"/>
        <v>5732.4417582417555</v>
      </c>
      <c r="L361" s="194">
        <f t="shared" si="105"/>
        <v>5916.0638297872338</v>
      </c>
    </row>
    <row r="362" spans="1:14" s="84" customFormat="1" x14ac:dyDescent="0.2">
      <c r="A362" s="224" t="s">
        <v>202</v>
      </c>
      <c r="B362" s="212">
        <f>C334</f>
        <v>2848.5</v>
      </c>
      <c r="C362" s="212">
        <f>$I$251</f>
        <v>2793</v>
      </c>
      <c r="D362" s="198" t="s">
        <v>55</v>
      </c>
      <c r="E362" s="212">
        <f>F334</f>
        <v>6540797.4400000293</v>
      </c>
      <c r="F362" s="213">
        <f>I252</f>
        <v>6123988</v>
      </c>
      <c r="G362" s="201">
        <f t="shared" si="100"/>
        <v>6429370.5394951273</v>
      </c>
      <c r="H362" s="201">
        <f t="shared" si="101"/>
        <v>6160522.0315953726</v>
      </c>
      <c r="I362" s="212">
        <f t="shared" si="102"/>
        <v>2296.2251851851956</v>
      </c>
      <c r="J362" s="212">
        <f t="shared" si="103"/>
        <v>2192.6201217329035</v>
      </c>
      <c r="K362" s="212">
        <f t="shared" si="104"/>
        <v>2257.1074388257425</v>
      </c>
      <c r="L362" s="194">
        <f t="shared" si="105"/>
        <v>2205.7006915844513</v>
      </c>
    </row>
    <row r="363" spans="1:14" s="84" customFormat="1" x14ac:dyDescent="0.2">
      <c r="A363" s="224" t="s">
        <v>53</v>
      </c>
      <c r="B363" s="212">
        <f>C335</f>
        <v>1146</v>
      </c>
      <c r="C363" s="212">
        <f>$I$247</f>
        <v>1131.5</v>
      </c>
      <c r="D363" s="198" t="s">
        <v>55</v>
      </c>
      <c r="E363" s="212">
        <f>F335</f>
        <v>592974.89999999991</v>
      </c>
      <c r="F363" s="213">
        <f>'Load Forecast Summary'!K32</f>
        <v>537366</v>
      </c>
      <c r="G363" s="201">
        <f t="shared" si="100"/>
        <v>582873.17222287366</v>
      </c>
      <c r="H363" s="201">
        <f t="shared" si="101"/>
        <v>540571.7780685199</v>
      </c>
      <c r="I363" s="212">
        <f t="shared" si="102"/>
        <v>517.43010471204184</v>
      </c>
      <c r="J363" s="212">
        <f t="shared" si="103"/>
        <v>474.91471498011487</v>
      </c>
      <c r="K363" s="212">
        <f t="shared" si="104"/>
        <v>508.61533352781299</v>
      </c>
      <c r="L363" s="194">
        <f t="shared" si="105"/>
        <v>477.74792582281918</v>
      </c>
    </row>
    <row r="364" spans="1:14" s="84" customFormat="1" ht="13.5" thickBot="1" x14ac:dyDescent="0.25">
      <c r="A364" s="210" t="s">
        <v>8</v>
      </c>
      <c r="B364" s="199">
        <f>SUM(B359:B363)</f>
        <v>13425.5</v>
      </c>
      <c r="C364" s="199">
        <f>SUM(C359:C363)</f>
        <v>13511.5</v>
      </c>
      <c r="D364" s="209"/>
      <c r="E364" s="209"/>
      <c r="G364" s="209"/>
      <c r="H364" s="209"/>
      <c r="I364" s="209"/>
      <c r="J364" s="209"/>
      <c r="K364" s="209"/>
      <c r="L364" s="209"/>
    </row>
    <row r="365" spans="1:14" s="84" customFormat="1" x14ac:dyDescent="0.2">
      <c r="A365" s="343" t="s">
        <v>145</v>
      </c>
      <c r="B365" s="340" t="s">
        <v>154</v>
      </c>
      <c r="C365" s="340" t="s">
        <v>153</v>
      </c>
      <c r="D365" s="341"/>
      <c r="E365" s="340" t="s">
        <v>148</v>
      </c>
      <c r="F365" s="340" t="s">
        <v>153</v>
      </c>
      <c r="G365" s="340" t="s">
        <v>148</v>
      </c>
      <c r="H365" s="340" t="s">
        <v>153</v>
      </c>
      <c r="I365" s="340" t="s">
        <v>148</v>
      </c>
      <c r="J365" s="340" t="s">
        <v>153</v>
      </c>
      <c r="K365" s="340" t="s">
        <v>148</v>
      </c>
      <c r="L365" s="342" t="s">
        <v>153</v>
      </c>
    </row>
    <row r="366" spans="1:14" s="84" customFormat="1" x14ac:dyDescent="0.2">
      <c r="A366" s="224" t="s">
        <v>1</v>
      </c>
      <c r="B366" s="218">
        <f>C359-B359</f>
        <v>124.5</v>
      </c>
      <c r="C366" s="215">
        <f>B366/B359</f>
        <v>1.4891453860415047E-2</v>
      </c>
      <c r="D366" s="198" t="s">
        <v>55</v>
      </c>
      <c r="E366" s="218">
        <f>F359-E359</f>
        <v>-2896419.2900009155</v>
      </c>
      <c r="F366" s="215">
        <f>E366/E359</f>
        <v>-2.9170643670394691E-2</v>
      </c>
      <c r="G366" s="218">
        <f>H359-G359</f>
        <v>-629837.35209707916</v>
      </c>
      <c r="H366" s="215">
        <f>G366/G359</f>
        <v>-6.4532016708800134E-3</v>
      </c>
      <c r="I366" s="218">
        <f>J359-I359</f>
        <v>-515.61879519894501</v>
      </c>
      <c r="J366" s="215">
        <f>I366/I359</f>
        <v>-4.3415576476880879E-2</v>
      </c>
      <c r="K366" s="218">
        <f>L359-K359</f>
        <v>-245.52203708388333</v>
      </c>
      <c r="L366" s="221">
        <f>K366/K359</f>
        <v>-2.1031466419492426E-2</v>
      </c>
    </row>
    <row r="367" spans="1:14" s="84" customFormat="1" x14ac:dyDescent="0.2">
      <c r="A367" s="224" t="s">
        <v>71</v>
      </c>
      <c r="B367" s="218">
        <f t="shared" ref="B367:B370" si="106">C360-B360</f>
        <v>30</v>
      </c>
      <c r="C367" s="215">
        <f t="shared" ref="C367:C370" si="107">B367/B360</f>
        <v>2.9268292682926831E-2</v>
      </c>
      <c r="D367" s="198" t="s">
        <v>55</v>
      </c>
      <c r="E367" s="218">
        <f t="shared" ref="E367:E370" si="108">F360-E360</f>
        <v>-1070636.1699999236</v>
      </c>
      <c r="F367" s="215">
        <f t="shared" ref="F367:F370" si="109">E367/E360</f>
        <v>-3.6210342714080433E-2</v>
      </c>
      <c r="G367" s="218">
        <f t="shared" ref="G367:G370" si="110">H360-G360</f>
        <v>-396937.72191651165</v>
      </c>
      <c r="H367" s="215">
        <f t="shared" ref="H367:H370" si="111">G367/G360</f>
        <v>-1.3657629926425989E-2</v>
      </c>
      <c r="I367" s="218">
        <f t="shared" ref="I367:I370" si="112">J360-I360</f>
        <v>-1835.0860611258067</v>
      </c>
      <c r="J367" s="215">
        <f t="shared" ref="J367:J370" si="113">I367/I360</f>
        <v>-6.3616683679556821E-2</v>
      </c>
      <c r="K367" s="218">
        <f t="shared" ref="K367:K370" si="114">L360-K360</f>
        <v>-1182.5355641967071</v>
      </c>
      <c r="L367" s="221">
        <f t="shared" ref="L367:L370" si="115">K367/K360</f>
        <v>-4.1705280260271649E-2</v>
      </c>
    </row>
    <row r="368" spans="1:14" s="84" customFormat="1" x14ac:dyDescent="0.2">
      <c r="A368" s="224" t="s">
        <v>122</v>
      </c>
      <c r="B368" s="218">
        <f t="shared" si="106"/>
        <v>1.5</v>
      </c>
      <c r="C368" s="215">
        <f t="shared" si="107"/>
        <v>3.2967032967032968E-2</v>
      </c>
      <c r="D368" s="198" t="s">
        <v>56</v>
      </c>
      <c r="E368" s="218">
        <f t="shared" si="108"/>
        <v>17228.90000000014</v>
      </c>
      <c r="F368" s="215">
        <f t="shared" si="109"/>
        <v>6.6055122551002945E-2</v>
      </c>
      <c r="G368" s="218">
        <f t="shared" si="110"/>
        <v>17228.90000000014</v>
      </c>
      <c r="H368" s="215">
        <f t="shared" si="111"/>
        <v>6.6055122551002945E-2</v>
      </c>
      <c r="I368" s="218">
        <f t="shared" si="112"/>
        <v>183.62207154547832</v>
      </c>
      <c r="J368" s="215">
        <f t="shared" si="113"/>
        <v>3.2032086724907011E-2</v>
      </c>
      <c r="K368" s="218">
        <f t="shared" si="114"/>
        <v>183.62207154547832</v>
      </c>
      <c r="L368" s="221">
        <f t="shared" si="115"/>
        <v>3.2032086724907011E-2</v>
      </c>
    </row>
    <row r="369" spans="1:12" s="84" customFormat="1" x14ac:dyDescent="0.2">
      <c r="A369" s="224" t="s">
        <v>202</v>
      </c>
      <c r="B369" s="218">
        <f t="shared" si="106"/>
        <v>-55.5</v>
      </c>
      <c r="C369" s="215">
        <f t="shared" si="107"/>
        <v>-1.9483938915218536E-2</v>
      </c>
      <c r="D369" s="198" t="s">
        <v>55</v>
      </c>
      <c r="E369" s="218">
        <f t="shared" si="108"/>
        <v>-416809.44000002928</v>
      </c>
      <c r="F369" s="215">
        <f t="shared" si="109"/>
        <v>-6.3724560166172547E-2</v>
      </c>
      <c r="G369" s="218">
        <f t="shared" si="110"/>
        <v>-268848.50789975468</v>
      </c>
      <c r="H369" s="215">
        <f t="shared" si="111"/>
        <v>-4.1815681060570244E-2</v>
      </c>
      <c r="I369" s="218">
        <f t="shared" si="112"/>
        <v>-103.60506345229214</v>
      </c>
      <c r="J369" s="215">
        <f t="shared" si="113"/>
        <v>-4.5119731340258845E-2</v>
      </c>
      <c r="K369" s="218">
        <f t="shared" si="114"/>
        <v>-51.406747241291214</v>
      </c>
      <c r="L369" s="221">
        <f t="shared" si="115"/>
        <v>-2.2775498568218585E-2</v>
      </c>
    </row>
    <row r="370" spans="1:12" s="84" customFormat="1" x14ac:dyDescent="0.2">
      <c r="A370" s="224" t="s">
        <v>53</v>
      </c>
      <c r="B370" s="218">
        <f t="shared" si="106"/>
        <v>-14.5</v>
      </c>
      <c r="C370" s="215">
        <f t="shared" si="107"/>
        <v>-1.2652705061082025E-2</v>
      </c>
      <c r="D370" s="198" t="s">
        <v>55</v>
      </c>
      <c r="E370" s="218">
        <f t="shared" si="108"/>
        <v>-55608.899999999907</v>
      </c>
      <c r="F370" s="215">
        <f t="shared" si="109"/>
        <v>-9.377951748041935E-2</v>
      </c>
      <c r="G370" s="218">
        <f t="shared" si="110"/>
        <v>-42301.394154353766</v>
      </c>
      <c r="H370" s="215">
        <f t="shared" si="111"/>
        <v>-7.2573925461401997E-2</v>
      </c>
      <c r="I370" s="218">
        <f t="shared" si="112"/>
        <v>-42.515389731926973</v>
      </c>
      <c r="J370" s="215">
        <f t="shared" si="113"/>
        <v>-8.216644015250614E-2</v>
      </c>
      <c r="K370" s="218">
        <f t="shared" si="114"/>
        <v>-30.867407704993809</v>
      </c>
      <c r="L370" s="221">
        <f t="shared" si="115"/>
        <v>-6.0689101704610456E-2</v>
      </c>
    </row>
    <row r="371" spans="1:12" s="87" customFormat="1" ht="13.5" thickBot="1" x14ac:dyDescent="0.25">
      <c r="A371" s="231" t="s">
        <v>8</v>
      </c>
      <c r="B371" s="196">
        <f>SUM(B366:B370)</f>
        <v>86</v>
      </c>
      <c r="C371" s="345">
        <f>B371/B364</f>
        <v>6.4057204573386463E-3</v>
      </c>
      <c r="D371" s="138"/>
      <c r="E371" s="138"/>
      <c r="F371" s="138"/>
      <c r="G371" s="138"/>
      <c r="H371" s="138"/>
      <c r="I371" s="138"/>
      <c r="J371" s="138"/>
      <c r="K371" s="138"/>
      <c r="L371" s="138"/>
    </row>
    <row r="372" spans="1:12" s="87" customFormat="1" x14ac:dyDescent="0.2">
      <c r="A372" s="205"/>
      <c r="B372" s="286"/>
      <c r="C372" s="287"/>
      <c r="D372" s="138"/>
      <c r="E372" s="138"/>
      <c r="F372" s="138"/>
      <c r="G372" s="138"/>
      <c r="H372" s="138"/>
      <c r="I372" s="138"/>
      <c r="J372" s="138"/>
      <c r="K372" s="138"/>
      <c r="L372" s="138"/>
    </row>
    <row r="373" spans="1:12" s="84" customFormat="1" ht="14.45" customHeight="1" x14ac:dyDescent="0.2"/>
    <row r="374" spans="1:12" s="84" customFormat="1" x14ac:dyDescent="0.2">
      <c r="A374" s="200" t="s">
        <v>201</v>
      </c>
      <c r="B374" s="138"/>
      <c r="C374" s="138"/>
      <c r="D374" s="138"/>
      <c r="E374" s="138"/>
    </row>
    <row r="375" spans="1:12" s="84" customFormat="1" ht="38.25" x14ac:dyDescent="0.2">
      <c r="A375" s="207" t="s">
        <v>141</v>
      </c>
      <c r="B375" s="207" t="s">
        <v>190</v>
      </c>
      <c r="C375" s="207" t="s">
        <v>168</v>
      </c>
      <c r="D375" s="207" t="s">
        <v>142</v>
      </c>
      <c r="E375" s="207" t="s">
        <v>143</v>
      </c>
    </row>
    <row r="376" spans="1:12" s="84" customFormat="1" x14ac:dyDescent="0.2">
      <c r="A376" s="224" t="s">
        <v>1</v>
      </c>
      <c r="B376" s="234">
        <v>18980855</v>
      </c>
      <c r="C376" s="234">
        <v>19869248.33422114</v>
      </c>
      <c r="D376" s="212">
        <f>C376-B376</f>
        <v>888393.33422113955</v>
      </c>
      <c r="E376" s="197">
        <f>D376/B376</f>
        <v>4.6804705805989222E-2</v>
      </c>
    </row>
    <row r="377" spans="1:12" s="84" customFormat="1" x14ac:dyDescent="0.2">
      <c r="A377" s="224" t="s">
        <v>71</v>
      </c>
      <c r="B377" s="234"/>
      <c r="C377" s="234"/>
      <c r="D377" s="212">
        <f t="shared" ref="D377:D381" si="116">C377-B377</f>
        <v>0</v>
      </c>
      <c r="E377" s="197"/>
    </row>
    <row r="378" spans="1:12" s="84" customFormat="1" x14ac:dyDescent="0.2">
      <c r="A378" s="224" t="s">
        <v>122</v>
      </c>
      <c r="B378" s="234">
        <v>5146239</v>
      </c>
      <c r="C378" s="234">
        <v>5546093.3037315598</v>
      </c>
      <c r="D378" s="212">
        <f t="shared" si="116"/>
        <v>399854.30373155978</v>
      </c>
      <c r="E378" s="197">
        <f t="shared" ref="E378:E380" si="117">D378/B378</f>
        <v>7.7698354804656325E-2</v>
      </c>
    </row>
    <row r="379" spans="1:12" s="84" customFormat="1" x14ac:dyDescent="0.2">
      <c r="A379" s="224" t="s">
        <v>202</v>
      </c>
      <c r="B379" s="234">
        <v>198420</v>
      </c>
      <c r="C379" s="235">
        <v>211095.2355405878</v>
      </c>
      <c r="D379" s="212">
        <f t="shared" si="116"/>
        <v>12675.235540587804</v>
      </c>
      <c r="E379" s="197">
        <f t="shared" si="117"/>
        <v>6.3880836309786332E-2</v>
      </c>
    </row>
    <row r="380" spans="1:12" s="84" customFormat="1" x14ac:dyDescent="0.2">
      <c r="A380" s="224" t="s">
        <v>53</v>
      </c>
      <c r="B380" s="234">
        <v>2898796</v>
      </c>
      <c r="C380" s="235">
        <v>2968891.9129478075</v>
      </c>
      <c r="D380" s="212">
        <f t="shared" si="116"/>
        <v>70095.912947807461</v>
      </c>
      <c r="E380" s="197">
        <f t="shared" si="117"/>
        <v>2.4181043767070004E-2</v>
      </c>
    </row>
    <row r="381" spans="1:12" s="84" customFormat="1" x14ac:dyDescent="0.2">
      <c r="A381" s="226" t="s">
        <v>8</v>
      </c>
      <c r="B381" s="236">
        <f>SUM(B376:B380)</f>
        <v>27224310</v>
      </c>
      <c r="C381" s="236">
        <f>SUM(C376:C380)</f>
        <v>28595328.786441095</v>
      </c>
      <c r="D381" s="206">
        <f t="shared" si="116"/>
        <v>1371018.7864410952</v>
      </c>
      <c r="E381" s="203">
        <f>D381/B381</f>
        <v>5.0360093109470733E-2</v>
      </c>
    </row>
    <row r="382" spans="1:12" s="84" customFormat="1" x14ac:dyDescent="0.2"/>
    <row r="383" spans="1:12" s="87" customFormat="1" ht="13.5" thickBot="1" x14ac:dyDescent="0.25">
      <c r="A383" s="200" t="s">
        <v>195</v>
      </c>
      <c r="B383" s="138"/>
      <c r="C383" s="138"/>
      <c r="D383" s="138"/>
      <c r="E383" s="138"/>
      <c r="F383" s="138"/>
      <c r="G383" s="138"/>
      <c r="H383" s="237"/>
      <c r="I383" s="237"/>
      <c r="J383" s="237"/>
      <c r="K383" s="237"/>
      <c r="L383" s="237"/>
    </row>
    <row r="384" spans="1:12" s="87" customFormat="1" ht="13.5" thickBot="1" x14ac:dyDescent="0.25">
      <c r="A384" s="200"/>
      <c r="B384" s="138"/>
      <c r="C384" s="138"/>
      <c r="D384" s="138"/>
      <c r="E384" s="138"/>
      <c r="F384" s="138"/>
      <c r="G384" s="138"/>
      <c r="H384" s="138"/>
      <c r="I384" s="138"/>
      <c r="J384" s="138"/>
      <c r="K384" s="205" t="s">
        <v>197</v>
      </c>
      <c r="L384" s="214">
        <f>F125</f>
        <v>1.0059657255362637</v>
      </c>
    </row>
    <row r="385" spans="1:14" s="87" customFormat="1" ht="41.25" customHeight="1" x14ac:dyDescent="0.2">
      <c r="A385" s="384" t="s">
        <v>144</v>
      </c>
      <c r="B385" s="386" t="s">
        <v>146</v>
      </c>
      <c r="C385" s="387"/>
      <c r="D385" s="388" t="s">
        <v>147</v>
      </c>
      <c r="E385" s="390" t="s">
        <v>148</v>
      </c>
      <c r="F385" s="391"/>
      <c r="G385" s="390" t="s">
        <v>151</v>
      </c>
      <c r="H385" s="391"/>
      <c r="I385" s="390" t="s">
        <v>149</v>
      </c>
      <c r="J385" s="391"/>
      <c r="K385" s="390" t="s">
        <v>150</v>
      </c>
      <c r="L385" s="392"/>
    </row>
    <row r="386" spans="1:14" s="87" customFormat="1" x14ac:dyDescent="0.2">
      <c r="A386" s="385"/>
      <c r="B386" s="366" t="s">
        <v>190</v>
      </c>
      <c r="C386" s="366" t="s">
        <v>168</v>
      </c>
      <c r="D386" s="389"/>
      <c r="E386" s="366" t="s">
        <v>190</v>
      </c>
      <c r="F386" s="366" t="s">
        <v>168</v>
      </c>
      <c r="G386" s="366" t="s">
        <v>190</v>
      </c>
      <c r="H386" s="366" t="s">
        <v>168</v>
      </c>
      <c r="I386" s="366" t="s">
        <v>190</v>
      </c>
      <c r="J386" s="366" t="s">
        <v>168</v>
      </c>
      <c r="K386" s="366" t="s">
        <v>190</v>
      </c>
      <c r="L386" s="366" t="s">
        <v>168</v>
      </c>
      <c r="N386" s="295">
        <f>H387+H388+H391</f>
        <v>128137907.59311759</v>
      </c>
    </row>
    <row r="387" spans="1:14" s="87" customFormat="1" x14ac:dyDescent="0.2">
      <c r="A387" s="333" t="s">
        <v>1</v>
      </c>
      <c r="B387" s="212">
        <f>C359</f>
        <v>8485</v>
      </c>
      <c r="C387" s="212">
        <f>$J$237</f>
        <v>8566.6002674063275</v>
      </c>
      <c r="D387" s="198" t="s">
        <v>55</v>
      </c>
      <c r="E387" s="212">
        <f>I238</f>
        <v>96395846</v>
      </c>
      <c r="F387" s="212">
        <f>J238</f>
        <v>98355302.905827716</v>
      </c>
      <c r="G387" s="201">
        <f>E387*$L$356</f>
        <v>96970917.160071939</v>
      </c>
      <c r="H387" s="201">
        <f>F387</f>
        <v>98355302.905827716</v>
      </c>
      <c r="I387" s="212">
        <f>E387/B387</f>
        <v>11360.73612256924</v>
      </c>
      <c r="J387" s="212">
        <f>F387/C387</f>
        <v>11481.252753212253</v>
      </c>
      <c r="K387" s="212">
        <f>G387/B387</f>
        <v>11428.511156166403</v>
      </c>
      <c r="L387" s="194">
        <f>H387/C387</f>
        <v>11481.252753212253</v>
      </c>
    </row>
    <row r="388" spans="1:14" s="87" customFormat="1" ht="25.5" x14ac:dyDescent="0.2">
      <c r="A388" s="333" t="s">
        <v>71</v>
      </c>
      <c r="B388" s="212">
        <f>C360</f>
        <v>1055</v>
      </c>
      <c r="C388" s="212">
        <f>$J$240</f>
        <v>1071.6069871659804</v>
      </c>
      <c r="D388" s="198" t="s">
        <v>55</v>
      </c>
      <c r="E388" s="212">
        <f>I241</f>
        <v>28496501</v>
      </c>
      <c r="F388" s="212">
        <f>$J$241</f>
        <v>29252124.950657092</v>
      </c>
      <c r="G388" s="201">
        <f t="shared" ref="G388:G391" si="118">E388*$L$356</f>
        <v>28666503.303709865</v>
      </c>
      <c r="H388" s="201">
        <f t="shared" ref="H388:H391" si="119">F388</f>
        <v>29252124.950657092</v>
      </c>
      <c r="I388" s="212">
        <f t="shared" ref="I388:I391" si="120">E388/B388</f>
        <v>27010.901421800947</v>
      </c>
      <c r="J388" s="212">
        <f t="shared" ref="J388:J391" si="121">F388/C388</f>
        <v>27297.437680971609</v>
      </c>
      <c r="K388" s="212">
        <f t="shared" ref="K388:K391" si="122">G388/B388</f>
        <v>27172.041046170489</v>
      </c>
      <c r="L388" s="194">
        <f t="shared" ref="L388:L391" si="123">H388/C388</f>
        <v>27297.437680971609</v>
      </c>
    </row>
    <row r="389" spans="1:14" s="87" customFormat="1" ht="25.5" x14ac:dyDescent="0.2">
      <c r="A389" s="333" t="s">
        <v>122</v>
      </c>
      <c r="B389" s="212">
        <f>C361</f>
        <v>47</v>
      </c>
      <c r="C389" s="212">
        <f>$J$243</f>
        <v>47</v>
      </c>
      <c r="D389" s="198" t="s">
        <v>56</v>
      </c>
      <c r="E389" s="212">
        <f>I245</f>
        <v>278055</v>
      </c>
      <c r="F389" s="213">
        <f>$J$245</f>
        <v>289543.01212369604</v>
      </c>
      <c r="G389" s="201">
        <f>E389</f>
        <v>278055</v>
      </c>
      <c r="H389" s="201">
        <f>F389</f>
        <v>289543.01212369604</v>
      </c>
      <c r="I389" s="212">
        <f t="shared" si="120"/>
        <v>5916.0638297872338</v>
      </c>
      <c r="J389" s="212">
        <f t="shared" si="121"/>
        <v>6160.4896196531072</v>
      </c>
      <c r="K389" s="212">
        <f t="shared" si="122"/>
        <v>5916.0638297872338</v>
      </c>
      <c r="L389" s="194">
        <f t="shared" si="123"/>
        <v>6160.4896196531072</v>
      </c>
      <c r="M389" s="295">
        <f>H389+H390</f>
        <v>6333313.7431048993</v>
      </c>
    </row>
    <row r="390" spans="1:14" s="87" customFormat="1" x14ac:dyDescent="0.2">
      <c r="A390" s="333" t="s">
        <v>202</v>
      </c>
      <c r="B390" s="212">
        <f>C362</f>
        <v>2793</v>
      </c>
      <c r="C390" s="212">
        <f>$J$251</f>
        <v>2756.4148805697369</v>
      </c>
      <c r="D390" s="198" t="s">
        <v>55</v>
      </c>
      <c r="E390" s="212">
        <f>F362</f>
        <v>6123988</v>
      </c>
      <c r="F390" s="213">
        <f>J252</f>
        <v>6043770.7309812028</v>
      </c>
      <c r="G390" s="201">
        <f t="shared" si="118"/>
        <v>6160522.0315953726</v>
      </c>
      <c r="H390" s="201">
        <f t="shared" si="119"/>
        <v>6043770.7309812028</v>
      </c>
      <c r="I390" s="212">
        <f t="shared" si="120"/>
        <v>2192.6201217329035</v>
      </c>
      <c r="J390" s="212">
        <f t="shared" si="121"/>
        <v>2192.6201217329035</v>
      </c>
      <c r="K390" s="212">
        <f t="shared" si="122"/>
        <v>2205.7006915844513</v>
      </c>
      <c r="L390" s="194">
        <f t="shared" si="123"/>
        <v>2192.6201217329035</v>
      </c>
    </row>
    <row r="391" spans="1:14" s="87" customFormat="1" x14ac:dyDescent="0.2">
      <c r="A391" s="333" t="s">
        <v>53</v>
      </c>
      <c r="B391" s="212">
        <f>C363</f>
        <v>1131.5</v>
      </c>
      <c r="C391" s="212">
        <f>$J$247</f>
        <v>1117</v>
      </c>
      <c r="D391" s="198" t="s">
        <v>55</v>
      </c>
      <c r="E391" s="212">
        <f>F363</f>
        <v>537366</v>
      </c>
      <c r="F391" s="213">
        <f>'Load Forecast Summary'!L32</f>
        <v>530479.73663278832</v>
      </c>
      <c r="G391" s="201">
        <f t="shared" si="118"/>
        <v>540571.7780685199</v>
      </c>
      <c r="H391" s="201">
        <f t="shared" si="119"/>
        <v>530479.73663278832</v>
      </c>
      <c r="I391" s="212">
        <f t="shared" si="120"/>
        <v>474.91471498011487</v>
      </c>
      <c r="J391" s="212">
        <f t="shared" si="121"/>
        <v>474.91471498011487</v>
      </c>
      <c r="K391" s="212">
        <f t="shared" si="122"/>
        <v>477.74792582281918</v>
      </c>
      <c r="L391" s="194">
        <f t="shared" si="123"/>
        <v>474.91471498011487</v>
      </c>
      <c r="M391" s="295">
        <f>G389+G390</f>
        <v>6438577.0315953726</v>
      </c>
    </row>
    <row r="392" spans="1:14" s="87" customFormat="1" ht="13.5" thickBot="1" x14ac:dyDescent="0.25">
      <c r="A392" s="335" t="s">
        <v>8</v>
      </c>
      <c r="B392" s="199">
        <f>SUM(B387:B391)</f>
        <v>13511.5</v>
      </c>
      <c r="C392" s="199">
        <f>SUM(C387:C391)</f>
        <v>13558.622135142044</v>
      </c>
      <c r="D392" s="209"/>
      <c r="E392" s="209"/>
      <c r="F392" s="209"/>
      <c r="G392" s="209"/>
      <c r="H392" s="209"/>
      <c r="I392" s="209"/>
      <c r="J392" s="209"/>
      <c r="K392" s="209"/>
      <c r="L392" s="209"/>
    </row>
    <row r="393" spans="1:14" s="87" customFormat="1" x14ac:dyDescent="0.2">
      <c r="A393" s="343" t="s">
        <v>145</v>
      </c>
      <c r="B393" s="340" t="s">
        <v>154</v>
      </c>
      <c r="C393" s="340" t="s">
        <v>153</v>
      </c>
      <c r="D393" s="341"/>
      <c r="E393" s="340" t="s">
        <v>148</v>
      </c>
      <c r="F393" s="340" t="s">
        <v>153</v>
      </c>
      <c r="G393" s="340" t="s">
        <v>148</v>
      </c>
      <c r="H393" s="340" t="s">
        <v>153</v>
      </c>
      <c r="I393" s="340" t="s">
        <v>148</v>
      </c>
      <c r="J393" s="340" t="s">
        <v>153</v>
      </c>
      <c r="K393" s="340" t="s">
        <v>148</v>
      </c>
      <c r="L393" s="342" t="s">
        <v>153</v>
      </c>
    </row>
    <row r="394" spans="1:14" s="87" customFormat="1" ht="42.75" customHeight="1" x14ac:dyDescent="0.2">
      <c r="A394" s="224" t="s">
        <v>1</v>
      </c>
      <c r="B394" s="218">
        <f>C387-B387</f>
        <v>81.600267406327475</v>
      </c>
      <c r="C394" s="215">
        <f>B394/B387</f>
        <v>9.6170026406985822E-3</v>
      </c>
      <c r="D394" s="198" t="s">
        <v>55</v>
      </c>
      <c r="E394" s="218">
        <f>F387-E387</f>
        <v>1959456.905827716</v>
      </c>
      <c r="F394" s="215">
        <f>E394/E387</f>
        <v>2.0327192375361444E-2</v>
      </c>
      <c r="G394" s="218">
        <f>H387-G387</f>
        <v>1384385.7457557768</v>
      </c>
      <c r="H394" s="215">
        <f>G394/G387</f>
        <v>1.4276298361399861E-2</v>
      </c>
      <c r="I394" s="218">
        <f>J387-I387</f>
        <v>120.51663064301283</v>
      </c>
      <c r="J394" s="215">
        <f>I394/I387</f>
        <v>1.060817092684641E-2</v>
      </c>
      <c r="K394" s="218">
        <f>L387-K387</f>
        <v>52.74159704584963</v>
      </c>
      <c r="L394" s="221">
        <f>K394/K387</f>
        <v>4.614914079809268E-3</v>
      </c>
    </row>
    <row r="395" spans="1:14" s="87" customFormat="1" ht="25.5" x14ac:dyDescent="0.2">
      <c r="A395" s="333" t="s">
        <v>71</v>
      </c>
      <c r="B395" s="218">
        <f t="shared" ref="B395:B398" si="124">C388-B388</f>
        <v>16.606987165980399</v>
      </c>
      <c r="C395" s="215">
        <f t="shared" ref="C395:C398" si="125">B395/B388</f>
        <v>1.5741220062540664E-2</v>
      </c>
      <c r="D395" s="198" t="s">
        <v>55</v>
      </c>
      <c r="E395" s="218">
        <f t="shared" ref="E395:E398" si="126">F388-E388</f>
        <v>755623.95065709203</v>
      </c>
      <c r="F395" s="215">
        <f t="shared" ref="F395:F398" si="127">E395/E388</f>
        <v>2.6516376542407506E-2</v>
      </c>
      <c r="G395" s="218">
        <f t="shared" ref="G395:G398" si="128">H388-G388</f>
        <v>585621.64694722742</v>
      </c>
      <c r="H395" s="215">
        <f t="shared" ref="H395:H398" si="129">G395/G388</f>
        <v>2.0428778520449664E-2</v>
      </c>
      <c r="I395" s="218">
        <f t="shared" ref="I395:I398" si="130">J388-I388</f>
        <v>286.53625917066165</v>
      </c>
      <c r="J395" s="215">
        <f t="shared" ref="J395:J398" si="131">I395/I388</f>
        <v>1.0608170926846353E-2</v>
      </c>
      <c r="K395" s="218">
        <f t="shared" ref="K395:K398" si="132">L388-K388</f>
        <v>125.39663480111994</v>
      </c>
      <c r="L395" s="221">
        <f t="shared" ref="L395:L398" si="133">K395/K388</f>
        <v>4.6149140798089888E-3</v>
      </c>
    </row>
    <row r="396" spans="1:14" s="87" customFormat="1" ht="25.5" x14ac:dyDescent="0.2">
      <c r="A396" s="333" t="s">
        <v>122</v>
      </c>
      <c r="B396" s="218">
        <f t="shared" si="124"/>
        <v>0</v>
      </c>
      <c r="C396" s="215">
        <f t="shared" si="125"/>
        <v>0</v>
      </c>
      <c r="D396" s="198" t="s">
        <v>56</v>
      </c>
      <c r="E396" s="218">
        <f t="shared" si="126"/>
        <v>11488.01212369604</v>
      </c>
      <c r="F396" s="215">
        <f t="shared" si="127"/>
        <v>4.1315610665861216E-2</v>
      </c>
      <c r="G396" s="218">
        <f t="shared" si="128"/>
        <v>11488.01212369604</v>
      </c>
      <c r="H396" s="215">
        <f t="shared" si="129"/>
        <v>4.1315610665861216E-2</v>
      </c>
      <c r="I396" s="218">
        <f t="shared" si="130"/>
        <v>244.42578986587341</v>
      </c>
      <c r="J396" s="215">
        <f t="shared" si="131"/>
        <v>4.1315610665861251E-2</v>
      </c>
      <c r="K396" s="218">
        <f t="shared" si="132"/>
        <v>244.42578986587341</v>
      </c>
      <c r="L396" s="221">
        <f t="shared" si="133"/>
        <v>4.1315610665861251E-2</v>
      </c>
    </row>
    <row r="397" spans="1:14" s="87" customFormat="1" x14ac:dyDescent="0.2">
      <c r="A397" s="224" t="s">
        <v>202</v>
      </c>
      <c r="B397" s="218">
        <f t="shared" si="124"/>
        <v>-36.585119430263148</v>
      </c>
      <c r="C397" s="215">
        <f t="shared" si="125"/>
        <v>-1.3098861235325152E-2</v>
      </c>
      <c r="D397" s="198" t="s">
        <v>55</v>
      </c>
      <c r="E397" s="218">
        <f t="shared" si="126"/>
        <v>-80217.269018797204</v>
      </c>
      <c r="F397" s="215">
        <f t="shared" si="127"/>
        <v>-1.3098861235325282E-2</v>
      </c>
      <c r="G397" s="218">
        <f t="shared" si="128"/>
        <v>-116751.3006141698</v>
      </c>
      <c r="H397" s="215">
        <f t="shared" si="129"/>
        <v>-1.8951527162047184E-2</v>
      </c>
      <c r="I397" s="218">
        <f t="shared" si="130"/>
        <v>0</v>
      </c>
      <c r="J397" s="215">
        <f t="shared" si="131"/>
        <v>0</v>
      </c>
      <c r="K397" s="218">
        <f t="shared" si="132"/>
        <v>-13.080569851547807</v>
      </c>
      <c r="L397" s="221">
        <f t="shared" si="133"/>
        <v>-5.9303467154246852E-3</v>
      </c>
    </row>
    <row r="398" spans="1:14" s="87" customFormat="1" x14ac:dyDescent="0.2">
      <c r="A398" s="224" t="s">
        <v>53</v>
      </c>
      <c r="B398" s="218">
        <f t="shared" si="124"/>
        <v>-14.5</v>
      </c>
      <c r="C398" s="215">
        <f t="shared" si="125"/>
        <v>-1.2814847547503314E-2</v>
      </c>
      <c r="D398" s="198" t="s">
        <v>55</v>
      </c>
      <c r="E398" s="218">
        <f t="shared" si="126"/>
        <v>-6886.263367211679</v>
      </c>
      <c r="F398" s="215">
        <f t="shared" si="127"/>
        <v>-1.2814847547503339E-2</v>
      </c>
      <c r="G398" s="218">
        <f t="shared" si="128"/>
        <v>-10092.041435731575</v>
      </c>
      <c r="H398" s="215">
        <f t="shared" si="129"/>
        <v>-1.8669197773865959E-2</v>
      </c>
      <c r="I398" s="218">
        <f t="shared" si="130"/>
        <v>0</v>
      </c>
      <c r="J398" s="215">
        <f t="shared" si="131"/>
        <v>0</v>
      </c>
      <c r="K398" s="218">
        <f t="shared" si="132"/>
        <v>-2.8332108427043181</v>
      </c>
      <c r="L398" s="221">
        <f t="shared" si="133"/>
        <v>-5.9303467154246982E-3</v>
      </c>
    </row>
    <row r="399" spans="1:14" s="87" customFormat="1" ht="13.5" thickBot="1" x14ac:dyDescent="0.25">
      <c r="A399" s="231" t="s">
        <v>8</v>
      </c>
      <c r="B399" s="196">
        <f>SUM(B394:B398)</f>
        <v>47.122135142044726</v>
      </c>
      <c r="C399" s="345">
        <f>B399/B392</f>
        <v>3.4875576466006533E-3</v>
      </c>
      <c r="D399" s="346"/>
      <c r="E399" s="286"/>
      <c r="F399" s="287"/>
      <c r="G399" s="286"/>
      <c r="H399" s="287"/>
      <c r="I399" s="286"/>
      <c r="J399" s="287"/>
      <c r="K399" s="286"/>
      <c r="L399" s="287"/>
    </row>
    <row r="400" spans="1:14" s="87" customFormat="1" x14ac:dyDescent="0.2"/>
    <row r="401" spans="1:12" s="87" customFormat="1" x14ac:dyDescent="0.2">
      <c r="A401" s="93" t="s">
        <v>199</v>
      </c>
      <c r="B401" s="84"/>
      <c r="C401" s="84"/>
      <c r="D401" s="84"/>
      <c r="E401" s="84"/>
      <c r="F401" s="84"/>
      <c r="G401" s="84"/>
      <c r="H401" s="84"/>
      <c r="I401" s="84"/>
      <c r="J401" s="84"/>
      <c r="K401" s="84"/>
      <c r="L401" s="84"/>
    </row>
    <row r="402" spans="1:12" s="87" customFormat="1" ht="38.25" x14ac:dyDescent="0.2">
      <c r="A402" s="207" t="s">
        <v>141</v>
      </c>
      <c r="B402" s="207" t="s">
        <v>168</v>
      </c>
      <c r="C402" s="207" t="s">
        <v>169</v>
      </c>
      <c r="D402" s="207" t="s">
        <v>142</v>
      </c>
      <c r="E402" s="207" t="s">
        <v>143</v>
      </c>
      <c r="F402" s="84"/>
      <c r="G402" s="84"/>
      <c r="H402" s="84"/>
      <c r="I402" s="84"/>
      <c r="J402" s="84"/>
      <c r="K402" s="84"/>
      <c r="L402" s="84"/>
    </row>
    <row r="403" spans="1:12" s="87" customFormat="1" x14ac:dyDescent="0.2">
      <c r="A403" s="224" t="s">
        <v>1</v>
      </c>
      <c r="B403" s="234">
        <f>C347</f>
        <v>18980854.59</v>
      </c>
      <c r="C403" s="234">
        <v>23451919.769609947</v>
      </c>
      <c r="D403" s="212">
        <f>C403-B403</f>
        <v>4471065.1796099469</v>
      </c>
      <c r="E403" s="197">
        <f>D403/B403</f>
        <v>0.23555657931047597</v>
      </c>
      <c r="F403" s="84"/>
      <c r="G403" s="84"/>
      <c r="H403" s="84"/>
      <c r="I403" s="84"/>
      <c r="J403" s="84"/>
      <c r="K403" s="84"/>
      <c r="L403" s="84"/>
    </row>
    <row r="404" spans="1:12" s="87" customFormat="1" x14ac:dyDescent="0.2">
      <c r="A404" s="224" t="s">
        <v>71</v>
      </c>
      <c r="B404" s="234"/>
      <c r="C404" s="234"/>
      <c r="D404" s="212"/>
      <c r="E404" s="197"/>
      <c r="F404" s="84"/>
      <c r="G404" s="84"/>
      <c r="H404" s="84"/>
      <c r="I404" s="84"/>
      <c r="J404" s="84"/>
      <c r="K404" s="84"/>
      <c r="L404" s="84"/>
    </row>
    <row r="405" spans="1:12" s="87" customFormat="1" x14ac:dyDescent="0.2">
      <c r="A405" s="224" t="s">
        <v>122</v>
      </c>
      <c r="B405" s="234">
        <f>C349</f>
        <v>5146239.3600000003</v>
      </c>
      <c r="C405" s="234">
        <v>7643829.2276852289</v>
      </c>
      <c r="D405" s="212">
        <f t="shared" ref="D405:D408" si="134">C405-B405</f>
        <v>2497589.8676852286</v>
      </c>
      <c r="E405" s="197">
        <f t="shared" ref="E405:E407" si="135">D405/B405</f>
        <v>0.48532329978627897</v>
      </c>
      <c r="F405" s="84"/>
      <c r="I405" s="84"/>
      <c r="J405" s="84"/>
      <c r="K405" s="84"/>
      <c r="L405" s="84"/>
    </row>
    <row r="406" spans="1:12" s="87" customFormat="1" x14ac:dyDescent="0.2">
      <c r="A406" s="224" t="s">
        <v>202</v>
      </c>
      <c r="B406" s="234">
        <f>C350</f>
        <v>2898795.73</v>
      </c>
      <c r="C406" s="234">
        <v>3692082.6056507146</v>
      </c>
      <c r="D406" s="212">
        <f t="shared" si="134"/>
        <v>793286.87565071462</v>
      </c>
      <c r="E406" s="197">
        <f t="shared" si="135"/>
        <v>0.27366084041068828</v>
      </c>
      <c r="F406" s="84"/>
      <c r="G406" s="84"/>
      <c r="H406" s="84"/>
      <c r="I406" s="84"/>
      <c r="J406" s="84"/>
      <c r="K406" s="84"/>
      <c r="L406" s="84"/>
    </row>
    <row r="407" spans="1:12" s="87" customFormat="1" x14ac:dyDescent="0.2">
      <c r="A407" s="224" t="s">
        <v>53</v>
      </c>
      <c r="B407" s="234">
        <f>C351</f>
        <v>198420.15000000002</v>
      </c>
      <c r="C407" s="234">
        <v>323083.0418855098</v>
      </c>
      <c r="D407" s="212">
        <f t="shared" si="134"/>
        <v>124662.89188550977</v>
      </c>
      <c r="E407" s="197">
        <f t="shared" si="135"/>
        <v>0.62827737951770402</v>
      </c>
      <c r="F407" s="84"/>
      <c r="I407" s="84"/>
      <c r="J407" s="84"/>
      <c r="K407" s="84"/>
      <c r="L407" s="84"/>
    </row>
    <row r="408" spans="1:12" s="87" customFormat="1" x14ac:dyDescent="0.2">
      <c r="A408" s="226" t="s">
        <v>8</v>
      </c>
      <c r="B408" s="236">
        <f>SUM(B403:B407)</f>
        <v>27224309.829999998</v>
      </c>
      <c r="C408" s="236">
        <f>SUM(C403:C407)</f>
        <v>35110914.644831397</v>
      </c>
      <c r="D408" s="206">
        <f t="shared" si="134"/>
        <v>7886604.8148313984</v>
      </c>
      <c r="E408" s="203">
        <f>D408/B408</f>
        <v>0.28968979798124045</v>
      </c>
      <c r="F408" s="84"/>
      <c r="G408" s="84"/>
      <c r="H408" s="84"/>
      <c r="I408" s="84"/>
      <c r="J408" s="84"/>
      <c r="K408" s="84"/>
      <c r="L408" s="84"/>
    </row>
    <row r="409" spans="1:12" s="87" customFormat="1" x14ac:dyDescent="0.2">
      <c r="A409" s="84"/>
      <c r="B409" s="84"/>
      <c r="C409" s="84"/>
      <c r="D409" s="84"/>
      <c r="E409" s="84"/>
      <c r="F409" s="84"/>
      <c r="G409" s="84"/>
      <c r="H409" s="84"/>
      <c r="I409" s="84"/>
      <c r="J409" s="84"/>
      <c r="K409" s="84"/>
      <c r="L409" s="84"/>
    </row>
    <row r="410" spans="1:12" s="87" customFormat="1" x14ac:dyDescent="0.2">
      <c r="A410" s="200" t="s">
        <v>200</v>
      </c>
      <c r="B410" s="138"/>
      <c r="C410" s="138"/>
      <c r="D410" s="138"/>
      <c r="E410" s="138"/>
      <c r="F410" s="138"/>
      <c r="G410" s="138"/>
      <c r="H410" s="237"/>
      <c r="I410"/>
      <c r="J410"/>
      <c r="K410"/>
      <c r="L410"/>
    </row>
    <row r="411" spans="1:12" s="87" customFormat="1" ht="13.5" thickBot="1" x14ac:dyDescent="0.25">
      <c r="A411" s="200"/>
      <c r="B411" s="138"/>
      <c r="C411" s="138"/>
      <c r="D411" s="138"/>
      <c r="E411" s="138"/>
      <c r="F411" s="138"/>
      <c r="G411" s="138"/>
      <c r="H411" s="138"/>
      <c r="I411"/>
      <c r="J411"/>
      <c r="K411"/>
      <c r="L411"/>
    </row>
    <row r="412" spans="1:12" s="87" customFormat="1" ht="30" customHeight="1" x14ac:dyDescent="0.2">
      <c r="A412" s="384" t="s">
        <v>144</v>
      </c>
      <c r="B412" s="386" t="s">
        <v>146</v>
      </c>
      <c r="C412" s="387"/>
      <c r="D412" s="388" t="s">
        <v>147</v>
      </c>
      <c r="E412" s="390" t="s">
        <v>151</v>
      </c>
      <c r="F412" s="391"/>
      <c r="G412" s="390" t="s">
        <v>150</v>
      </c>
      <c r="H412" s="391"/>
      <c r="I412"/>
      <c r="J412"/>
    </row>
    <row r="413" spans="1:12" s="87" customFormat="1" x14ac:dyDescent="0.2">
      <c r="A413" s="385"/>
      <c r="B413" s="366" t="s">
        <v>168</v>
      </c>
      <c r="C413" s="366" t="s">
        <v>169</v>
      </c>
      <c r="D413" s="389"/>
      <c r="E413" s="366" t="s">
        <v>168</v>
      </c>
      <c r="F413" s="366" t="s">
        <v>169</v>
      </c>
      <c r="G413" s="366" t="s">
        <v>168</v>
      </c>
      <c r="H413" s="366" t="s">
        <v>169</v>
      </c>
      <c r="I413"/>
      <c r="J413"/>
    </row>
    <row r="414" spans="1:12" s="87" customFormat="1" x14ac:dyDescent="0.2">
      <c r="A414" s="224" t="s">
        <v>1</v>
      </c>
      <c r="B414" s="212">
        <f>J237</f>
        <v>8566.6002674063275</v>
      </c>
      <c r="C414" s="212">
        <f>$K$237</f>
        <v>8634.8849400222571</v>
      </c>
      <c r="D414" s="198" t="s">
        <v>55</v>
      </c>
      <c r="E414" s="212">
        <f>J238</f>
        <v>98355302.905827716</v>
      </c>
      <c r="F414" s="212">
        <f>K238</f>
        <v>101862509.1831217</v>
      </c>
      <c r="G414" s="212">
        <f t="shared" ref="G414:H414" si="136">E414/B414</f>
        <v>11481.252753212253</v>
      </c>
      <c r="H414" s="212">
        <f t="shared" si="136"/>
        <v>11796.626114957722</v>
      </c>
      <c r="I414"/>
      <c r="J414"/>
      <c r="K414" s="296">
        <f>F414+F415+F417</f>
        <v>137850064.21954694</v>
      </c>
    </row>
    <row r="415" spans="1:12" s="87" customFormat="1" ht="25.5" x14ac:dyDescent="0.2">
      <c r="A415" s="333" t="s">
        <v>71</v>
      </c>
      <c r="B415" s="212">
        <f>J240</f>
        <v>1071.6069871659804</v>
      </c>
      <c r="C415" s="212">
        <f>$K$240</f>
        <v>1070.55837274188</v>
      </c>
      <c r="D415" s="198" t="s">
        <v>55</v>
      </c>
      <c r="E415" s="212">
        <f>J241</f>
        <v>29252124.950657092</v>
      </c>
      <c r="F415" s="212">
        <f>K241</f>
        <v>30026227.638344064</v>
      </c>
      <c r="G415" s="212">
        <f t="shared" ref="G415:G418" si="137">E415/B415</f>
        <v>27297.437680971609</v>
      </c>
      <c r="H415" s="212">
        <f t="shared" ref="H415:H418" si="138">F415/C415</f>
        <v>28047.258704298249</v>
      </c>
      <c r="I415"/>
      <c r="J415"/>
    </row>
    <row r="416" spans="1:12" s="87" customFormat="1" ht="25.5" x14ac:dyDescent="0.2">
      <c r="A416" s="333" t="s">
        <v>122</v>
      </c>
      <c r="B416" s="212">
        <f>J243</f>
        <v>47</v>
      </c>
      <c r="C416" s="212">
        <f>$K$243</f>
        <v>46.119647750507838</v>
      </c>
      <c r="D416" s="198" t="s">
        <v>56</v>
      </c>
      <c r="E416" s="212">
        <f>'Load Forecast Summary'!L24</f>
        <v>289543.01212369604</v>
      </c>
      <c r="F416" s="212">
        <f>'Load Forecast Summary'!M24</f>
        <v>377162.21757648617</v>
      </c>
      <c r="G416" s="212">
        <f t="shared" si="137"/>
        <v>6160.4896196531072</v>
      </c>
      <c r="H416" s="212">
        <f t="shared" si="138"/>
        <v>8177.9075941084811</v>
      </c>
      <c r="I416"/>
      <c r="J416"/>
    </row>
    <row r="417" spans="1:12" s="87" customFormat="1" x14ac:dyDescent="0.2">
      <c r="A417" s="224" t="s">
        <v>202</v>
      </c>
      <c r="B417" s="212">
        <f>C390</f>
        <v>2756.4148805697369</v>
      </c>
      <c r="C417" s="212">
        <f>$K$251</f>
        <v>2718.8145082649953</v>
      </c>
      <c r="D417" s="198" t="s">
        <v>55</v>
      </c>
      <c r="E417" s="212">
        <f>J252</f>
        <v>6043770.7309812028</v>
      </c>
      <c r="F417" s="212">
        <f>K252</f>
        <v>5961327.3980811778</v>
      </c>
      <c r="G417" s="212">
        <f t="shared" si="137"/>
        <v>2192.6201217329035</v>
      </c>
      <c r="H417" s="212">
        <f t="shared" si="138"/>
        <v>2192.6201217329035</v>
      </c>
      <c r="I417"/>
      <c r="J417"/>
    </row>
    <row r="418" spans="1:12" s="87" customFormat="1" x14ac:dyDescent="0.2">
      <c r="A418" s="224" t="s">
        <v>53</v>
      </c>
      <c r="B418" s="212">
        <f>J247</f>
        <v>1117</v>
      </c>
      <c r="C418" s="212">
        <f>$K$247</f>
        <v>1129.0031247807513</v>
      </c>
      <c r="D418" s="198" t="s">
        <v>55</v>
      </c>
      <c r="E418" s="212">
        <f>'Load Forecast Summary'!L32</f>
        <v>530479.73663278832</v>
      </c>
      <c r="F418" s="212">
        <f>'Load Forecast Summary'!M32</f>
        <v>536180.1972169095</v>
      </c>
      <c r="G418" s="212">
        <f t="shared" si="137"/>
        <v>474.91471498011487</v>
      </c>
      <c r="H418" s="212">
        <f t="shared" si="138"/>
        <v>474.91471498011481</v>
      </c>
      <c r="I418" s="309">
        <f>F416+F418</f>
        <v>913342.41479339567</v>
      </c>
      <c r="J418"/>
    </row>
    <row r="419" spans="1:12" s="87" customFormat="1" ht="13.5" thickBot="1" x14ac:dyDescent="0.25">
      <c r="A419" s="210" t="s">
        <v>8</v>
      </c>
      <c r="B419" s="199">
        <f>SUM(B414:B418)</f>
        <v>13558.622135142044</v>
      </c>
      <c r="C419" s="199">
        <f>SUM(C414:C418)</f>
        <v>13599.38059356039</v>
      </c>
      <c r="D419" s="209"/>
      <c r="E419" s="209"/>
      <c r="F419" s="209"/>
      <c r="G419" s="209"/>
      <c r="H419" s="209"/>
      <c r="I419"/>
      <c r="J419"/>
    </row>
    <row r="420" spans="1:12" s="87" customFormat="1" x14ac:dyDescent="0.2">
      <c r="A420" s="343" t="s">
        <v>145</v>
      </c>
      <c r="B420" s="340" t="s">
        <v>154</v>
      </c>
      <c r="C420" s="340" t="s">
        <v>153</v>
      </c>
      <c r="D420" s="341"/>
      <c r="E420" s="340" t="s">
        <v>148</v>
      </c>
      <c r="F420" s="340" t="s">
        <v>153</v>
      </c>
      <c r="G420" s="340" t="s">
        <v>148</v>
      </c>
      <c r="H420" s="340" t="s">
        <v>153</v>
      </c>
      <c r="I420"/>
      <c r="J420"/>
    </row>
    <row r="421" spans="1:12" s="87" customFormat="1" x14ac:dyDescent="0.2">
      <c r="A421" s="224" t="s">
        <v>1</v>
      </c>
      <c r="B421" s="218">
        <f>C414-B414</f>
        <v>68.284672615929594</v>
      </c>
      <c r="C421" s="215">
        <f>B421/B414</f>
        <v>7.9710352397012046E-3</v>
      </c>
      <c r="D421" s="198" t="s">
        <v>55</v>
      </c>
      <c r="E421" s="218">
        <f>F414-E414</f>
        <v>3507206.2772939801</v>
      </c>
      <c r="F421" s="215">
        <f>E421/E414</f>
        <v>3.5658537706421647E-2</v>
      </c>
      <c r="G421" s="218">
        <f>H414-G414</f>
        <v>315.37336174546908</v>
      </c>
      <c r="H421" s="215">
        <f>G421/G414</f>
        <v>2.7468549689164637E-2</v>
      </c>
      <c r="I421"/>
      <c r="J421"/>
    </row>
    <row r="422" spans="1:12" s="87" customFormat="1" ht="25.5" x14ac:dyDescent="0.2">
      <c r="A422" s="333" t="s">
        <v>71</v>
      </c>
      <c r="B422" s="218">
        <f t="shared" ref="B422:B425" si="139">C415-B415</f>
        <v>-1.0486144241003785</v>
      </c>
      <c r="C422" s="215">
        <f t="shared" ref="C422:C425" si="140">B422/B415</f>
        <v>-9.7854384737971058E-4</v>
      </c>
      <c r="D422" s="198" t="s">
        <v>55</v>
      </c>
      <c r="E422" s="218">
        <f t="shared" ref="E422:E425" si="141">F415-E415</f>
        <v>774102.68768697232</v>
      </c>
      <c r="F422" s="215">
        <f t="shared" ref="F422:F425" si="142">E422/E415</f>
        <v>2.6463126661490061E-2</v>
      </c>
      <c r="G422" s="218">
        <f t="shared" ref="G422:G425" si="143">H415-G415</f>
        <v>749.82102332663999</v>
      </c>
      <c r="H422" s="215">
        <f t="shared" ref="H422:H424" si="144">G422/G415</f>
        <v>2.7468549689164502E-2</v>
      </c>
      <c r="I422"/>
      <c r="J422"/>
    </row>
    <row r="423" spans="1:12" s="87" customFormat="1" ht="25.5" x14ac:dyDescent="0.2">
      <c r="A423" s="333" t="s">
        <v>122</v>
      </c>
      <c r="B423" s="218">
        <f t="shared" si="139"/>
        <v>-0.88035224949216229</v>
      </c>
      <c r="C423" s="215">
        <f t="shared" si="140"/>
        <v>-1.8730898925365155E-2</v>
      </c>
      <c r="D423" s="198" t="s">
        <v>56</v>
      </c>
      <c r="E423" s="218">
        <f t="shared" si="141"/>
        <v>87619.205452790135</v>
      </c>
      <c r="F423" s="215">
        <f t="shared" si="142"/>
        <v>0.30261205342216385</v>
      </c>
      <c r="G423" s="218">
        <f t="shared" si="143"/>
        <v>2017.417974455374</v>
      </c>
      <c r="H423" s="215">
        <f t="shared" si="144"/>
        <v>0.32747688885302811</v>
      </c>
      <c r="I423"/>
      <c r="J423"/>
    </row>
    <row r="424" spans="1:12" s="87" customFormat="1" x14ac:dyDescent="0.2">
      <c r="A424" s="224" t="s">
        <v>202</v>
      </c>
      <c r="B424" s="218">
        <f t="shared" si="139"/>
        <v>-37.600372304741541</v>
      </c>
      <c r="C424" s="215">
        <f t="shared" si="140"/>
        <v>-1.3641042417014429E-2</v>
      </c>
      <c r="D424" s="198" t="s">
        <v>55</v>
      </c>
      <c r="E424" s="218">
        <f t="shared" si="141"/>
        <v>-82443.332900024951</v>
      </c>
      <c r="F424" s="215">
        <f t="shared" si="142"/>
        <v>-1.3641042417014439E-2</v>
      </c>
      <c r="G424" s="218">
        <f t="shared" si="143"/>
        <v>0</v>
      </c>
      <c r="H424" s="215">
        <f t="shared" si="144"/>
        <v>0</v>
      </c>
      <c r="I424"/>
      <c r="J424"/>
    </row>
    <row r="425" spans="1:12" s="87" customFormat="1" x14ac:dyDescent="0.2">
      <c r="A425" s="224" t="s">
        <v>53</v>
      </c>
      <c r="B425" s="218">
        <f t="shared" si="139"/>
        <v>12.00312478075125</v>
      </c>
      <c r="C425" s="215">
        <f t="shared" si="140"/>
        <v>1.0745859248658236E-2</v>
      </c>
      <c r="D425" s="198" t="s">
        <v>55</v>
      </c>
      <c r="E425" s="218">
        <f t="shared" si="141"/>
        <v>5700.4605841211742</v>
      </c>
      <c r="F425" s="215">
        <f t="shared" si="142"/>
        <v>1.0745859248658124E-2</v>
      </c>
      <c r="G425" s="218">
        <f t="shared" si="143"/>
        <v>0</v>
      </c>
      <c r="H425" s="215">
        <f>G425/G418</f>
        <v>0</v>
      </c>
      <c r="I425"/>
      <c r="J425"/>
    </row>
    <row r="426" spans="1:12" s="87" customFormat="1" ht="13.5" thickBot="1" x14ac:dyDescent="0.25">
      <c r="A426" s="231" t="s">
        <v>8</v>
      </c>
      <c r="B426" s="196">
        <f>SUM(B421:B425)</f>
        <v>40.758458418346763</v>
      </c>
      <c r="C426" s="232">
        <f>B426/B419</f>
        <v>3.0060914753798295E-3</v>
      </c>
      <c r="D426" s="138"/>
      <c r="E426" s="138"/>
      <c r="F426" s="138"/>
      <c r="G426" s="138"/>
      <c r="H426" s="138"/>
      <c r="I426" s="84"/>
      <c r="J426" s="84"/>
      <c r="K426" s="84"/>
      <c r="L426" s="84"/>
    </row>
    <row r="427" spans="1:12" s="87" customFormat="1" x14ac:dyDescent="0.2"/>
    <row r="428" spans="1:12" s="87" customFormat="1" x14ac:dyDescent="0.2"/>
    <row r="429" spans="1:12" s="87" customFormat="1" x14ac:dyDescent="0.2"/>
    <row r="430" spans="1:12" s="87" customFormat="1" x14ac:dyDescent="0.2"/>
    <row r="431" spans="1:12" s="87" customFormat="1" x14ac:dyDescent="0.2"/>
    <row r="432" spans="1:12" s="87" customFormat="1" x14ac:dyDescent="0.2"/>
    <row r="433" s="87" customFormat="1" x14ac:dyDescent="0.2"/>
    <row r="434" s="87" customFormat="1" x14ac:dyDescent="0.2"/>
    <row r="435" s="87" customFormat="1" x14ac:dyDescent="0.2"/>
    <row r="436" s="87" customFormat="1" x14ac:dyDescent="0.2"/>
    <row r="437" s="87" customFormat="1" x14ac:dyDescent="0.2"/>
    <row r="438" s="87" customFormat="1" x14ac:dyDescent="0.2"/>
    <row r="439" s="87" customFormat="1" x14ac:dyDescent="0.2"/>
    <row r="440" s="87" customFormat="1" x14ac:dyDescent="0.2"/>
    <row r="441" s="87" customFormat="1" x14ac:dyDescent="0.2"/>
    <row r="442" s="87" customFormat="1" x14ac:dyDescent="0.2"/>
    <row r="443" s="87" customFormat="1" x14ac:dyDescent="0.2"/>
    <row r="444" s="87" customFormat="1" x14ac:dyDescent="0.2"/>
    <row r="445" s="87" customFormat="1" x14ac:dyDescent="0.2"/>
    <row r="446" s="87" customFormat="1" x14ac:dyDescent="0.2"/>
    <row r="447" s="87" customFormat="1" x14ac:dyDescent="0.2"/>
    <row r="448" s="87" customFormat="1" x14ac:dyDescent="0.2"/>
    <row r="449" s="87" customFormat="1" x14ac:dyDescent="0.2"/>
    <row r="450" s="87" customFormat="1" x14ac:dyDescent="0.2"/>
    <row r="451" s="87" customFormat="1" x14ac:dyDescent="0.2"/>
    <row r="452" s="87" customFormat="1" x14ac:dyDescent="0.2"/>
    <row r="453" s="87" customFormat="1" x14ac:dyDescent="0.2"/>
    <row r="454" s="87" customFormat="1" x14ac:dyDescent="0.2"/>
    <row r="455" s="87" customFormat="1" x14ac:dyDescent="0.2"/>
    <row r="456" s="87" customFormat="1" x14ac:dyDescent="0.2"/>
    <row r="457" s="87" customFormat="1" x14ac:dyDescent="0.2"/>
    <row r="458" s="87" customFormat="1" x14ac:dyDescent="0.2"/>
    <row r="459" s="87" customFormat="1" x14ac:dyDescent="0.2"/>
    <row r="460" s="87" customFormat="1" x14ac:dyDescent="0.2"/>
    <row r="461" s="87" customFormat="1" x14ac:dyDescent="0.2"/>
    <row r="462" s="87" customFormat="1" x14ac:dyDescent="0.2"/>
    <row r="463" s="87" customFormat="1" x14ac:dyDescent="0.2"/>
    <row r="464" s="87" customFormat="1" x14ac:dyDescent="0.2"/>
    <row r="465" s="87" customFormat="1" x14ac:dyDescent="0.2"/>
    <row r="466" s="87" customFormat="1" x14ac:dyDescent="0.2"/>
    <row r="467" s="87" customFormat="1" x14ac:dyDescent="0.2"/>
    <row r="468" s="87" customFormat="1" x14ac:dyDescent="0.2"/>
    <row r="469" s="87" customFormat="1" x14ac:dyDescent="0.2"/>
    <row r="470" s="87" customFormat="1" x14ac:dyDescent="0.2"/>
    <row r="471" s="87" customFormat="1" x14ac:dyDescent="0.2"/>
    <row r="472" s="87" customFormat="1" x14ac:dyDescent="0.2"/>
    <row r="473" s="87" customFormat="1" x14ac:dyDescent="0.2"/>
    <row r="474" s="87" customFormat="1" x14ac:dyDescent="0.2"/>
    <row r="475" s="87" customFormat="1" x14ac:dyDescent="0.2"/>
    <row r="476" s="87" customFormat="1" x14ac:dyDescent="0.2"/>
    <row r="477" s="87" customFormat="1" x14ac:dyDescent="0.2"/>
    <row r="478" s="87" customFormat="1" x14ac:dyDescent="0.2"/>
    <row r="479" s="87" customFormat="1" x14ac:dyDescent="0.2"/>
    <row r="480" s="87" customFormat="1" x14ac:dyDescent="0.2"/>
    <row r="481" s="87" customFormat="1" x14ac:dyDescent="0.2"/>
    <row r="482" s="87" customFormat="1" x14ac:dyDescent="0.2"/>
    <row r="483" s="87" customFormat="1" x14ac:dyDescent="0.2"/>
    <row r="484" s="87" customFormat="1" x14ac:dyDescent="0.2"/>
    <row r="485" s="87" customFormat="1" x14ac:dyDescent="0.2"/>
    <row r="486" s="87" customFormat="1" x14ac:dyDescent="0.2"/>
    <row r="487" s="87" customFormat="1" x14ac:dyDescent="0.2"/>
    <row r="488" s="87" customFormat="1" x14ac:dyDescent="0.2"/>
    <row r="489" s="87" customFormat="1" x14ac:dyDescent="0.2"/>
    <row r="490" s="87" customFormat="1" x14ac:dyDescent="0.2"/>
    <row r="491" s="87" customFormat="1" x14ac:dyDescent="0.2"/>
    <row r="492" s="87" customFormat="1" x14ac:dyDescent="0.2"/>
    <row r="493" s="87" customFormat="1" x14ac:dyDescent="0.2"/>
    <row r="494" s="87" customFormat="1" x14ac:dyDescent="0.2"/>
    <row r="495" s="87" customFormat="1" x14ac:dyDescent="0.2"/>
    <row r="496" s="87" customFormat="1" x14ac:dyDescent="0.2"/>
    <row r="497" s="87" customFormat="1" x14ac:dyDescent="0.2"/>
    <row r="498" s="87" customFormat="1" x14ac:dyDescent="0.2"/>
    <row r="499" s="87" customFormat="1" x14ac:dyDescent="0.2"/>
    <row r="500" s="87" customFormat="1" x14ac:dyDescent="0.2"/>
    <row r="501" s="87" customFormat="1" x14ac:dyDescent="0.2"/>
    <row r="502" s="87" customFormat="1" x14ac:dyDescent="0.2"/>
    <row r="503" s="87" customFormat="1" x14ac:dyDescent="0.2"/>
    <row r="504" s="87" customFormat="1" x14ac:dyDescent="0.2"/>
    <row r="505" s="87" customFormat="1" x14ac:dyDescent="0.2"/>
    <row r="506" s="87" customFormat="1" x14ac:dyDescent="0.2"/>
    <row r="507" s="87" customFormat="1" x14ac:dyDescent="0.2"/>
    <row r="508" s="87" customFormat="1" x14ac:dyDescent="0.2"/>
    <row r="509" s="87" customFormat="1" x14ac:dyDescent="0.2"/>
    <row r="510" s="87" customFormat="1" x14ac:dyDescent="0.2"/>
    <row r="511" s="87" customFormat="1" x14ac:dyDescent="0.2"/>
    <row r="512" s="87" customFormat="1" x14ac:dyDescent="0.2"/>
    <row r="513" spans="1:12" s="87" customFormat="1" x14ac:dyDescent="0.2"/>
    <row r="514" spans="1:12" s="87" customFormat="1" x14ac:dyDescent="0.2"/>
    <row r="515" spans="1:12" s="87" customFormat="1" x14ac:dyDescent="0.2"/>
    <row r="516" spans="1:12" s="87" customFormat="1" x14ac:dyDescent="0.2"/>
    <row r="517" spans="1:12" s="87" customFormat="1" x14ac:dyDescent="0.2"/>
    <row r="518" spans="1:12" s="87" customFormat="1" x14ac:dyDescent="0.2"/>
    <row r="519" spans="1:12" s="87" customFormat="1" x14ac:dyDescent="0.2"/>
    <row r="520" spans="1:12" s="87" customFormat="1" x14ac:dyDescent="0.2"/>
    <row r="521" spans="1:12" x14ac:dyDescent="0.2">
      <c r="A521" s="87"/>
      <c r="B521" s="87"/>
      <c r="C521" s="87"/>
      <c r="D521" s="87"/>
      <c r="E521" s="87"/>
      <c r="F521" s="87"/>
      <c r="G521" s="87"/>
      <c r="H521" s="87"/>
      <c r="I521" s="87"/>
      <c r="J521" s="87"/>
      <c r="K521" s="87"/>
      <c r="L521" s="87"/>
    </row>
    <row r="522" spans="1:12" x14ac:dyDescent="0.2">
      <c r="A522" s="87"/>
      <c r="B522" s="87"/>
      <c r="C522" s="87"/>
      <c r="D522" s="87"/>
      <c r="E522" s="87"/>
      <c r="F522" s="87"/>
      <c r="G522" s="87"/>
      <c r="H522" s="87"/>
      <c r="I522" s="87"/>
      <c r="J522" s="87"/>
      <c r="K522" s="87"/>
      <c r="L522" s="87"/>
    </row>
    <row r="523" spans="1:12" x14ac:dyDescent="0.2">
      <c r="A523" s="87"/>
      <c r="B523" s="87"/>
      <c r="C523" s="87"/>
      <c r="D523" s="87"/>
      <c r="E523" s="87"/>
      <c r="F523" s="87"/>
      <c r="G523" s="87"/>
      <c r="H523" s="87"/>
      <c r="I523" s="87"/>
      <c r="J523" s="87"/>
      <c r="K523" s="87"/>
      <c r="L523" s="87"/>
    </row>
    <row r="524" spans="1:12" x14ac:dyDescent="0.2">
      <c r="A524" s="87"/>
      <c r="B524" s="87"/>
      <c r="C524" s="87"/>
      <c r="D524" s="87"/>
      <c r="E524" s="87"/>
      <c r="F524" s="87"/>
      <c r="G524" s="87"/>
      <c r="H524" s="87"/>
      <c r="I524" s="87"/>
      <c r="J524" s="87"/>
      <c r="K524" s="87"/>
      <c r="L524" s="87"/>
    </row>
    <row r="525" spans="1:12" x14ac:dyDescent="0.2">
      <c r="A525" s="87"/>
      <c r="B525" s="87"/>
      <c r="C525" s="87"/>
      <c r="D525" s="87"/>
      <c r="E525" s="87"/>
      <c r="F525" s="87"/>
      <c r="G525" s="87"/>
      <c r="H525" s="87"/>
      <c r="I525" s="87"/>
      <c r="J525" s="87"/>
      <c r="K525" s="87"/>
      <c r="L525" s="87"/>
    </row>
    <row r="526" spans="1:12" x14ac:dyDescent="0.2">
      <c r="A526" s="87"/>
      <c r="B526" s="87"/>
      <c r="C526" s="87"/>
      <c r="D526" s="87"/>
      <c r="E526" s="87"/>
      <c r="F526" s="87"/>
      <c r="G526" s="87"/>
      <c r="H526" s="87"/>
      <c r="I526" s="87"/>
      <c r="J526" s="87"/>
      <c r="K526" s="87"/>
      <c r="L526" s="87"/>
    </row>
    <row r="527" spans="1:12" x14ac:dyDescent="0.2">
      <c r="A527" s="87"/>
      <c r="B527" s="87"/>
      <c r="C527" s="87"/>
      <c r="D527" s="87"/>
      <c r="E527" s="87"/>
      <c r="F527" s="87"/>
      <c r="G527" s="87"/>
      <c r="H527" s="87"/>
      <c r="I527" s="87"/>
      <c r="J527" s="87"/>
      <c r="K527" s="87"/>
      <c r="L527" s="87"/>
    </row>
    <row r="528" spans="1:12" x14ac:dyDescent="0.2">
      <c r="A528" s="87"/>
      <c r="B528" s="87"/>
      <c r="C528" s="87"/>
      <c r="D528" s="87"/>
      <c r="E528" s="87"/>
      <c r="F528" s="87"/>
      <c r="G528" s="87"/>
      <c r="H528" s="87"/>
      <c r="I528" s="87"/>
      <c r="J528" s="87"/>
      <c r="K528" s="87"/>
      <c r="L528" s="87"/>
    </row>
    <row r="529" spans="1:12" x14ac:dyDescent="0.2">
      <c r="A529" s="87"/>
      <c r="B529" s="87"/>
      <c r="C529" s="87"/>
      <c r="D529" s="87"/>
      <c r="E529" s="87"/>
      <c r="F529" s="87"/>
      <c r="G529" s="87"/>
      <c r="H529" s="87"/>
      <c r="I529" s="87"/>
      <c r="J529" s="87"/>
      <c r="K529" s="87"/>
      <c r="L529" s="87"/>
    </row>
    <row r="530" spans="1:12" x14ac:dyDescent="0.2">
      <c r="A530" s="87"/>
      <c r="B530" s="87"/>
      <c r="C530" s="87"/>
      <c r="D530" s="87"/>
      <c r="E530" s="87"/>
      <c r="F530" s="87"/>
      <c r="G530" s="87"/>
      <c r="H530" s="87"/>
      <c r="I530" s="87"/>
      <c r="J530" s="87"/>
      <c r="K530" s="87"/>
      <c r="L530" s="87"/>
    </row>
    <row r="531" spans="1:12" x14ac:dyDescent="0.2">
      <c r="A531" s="87"/>
      <c r="B531" s="87"/>
      <c r="C531" s="87"/>
      <c r="D531" s="87"/>
      <c r="E531" s="87"/>
      <c r="F531" s="87"/>
      <c r="G531" s="87"/>
      <c r="H531" s="87"/>
      <c r="I531" s="87"/>
      <c r="J531" s="87"/>
      <c r="K531" s="87"/>
      <c r="L531" s="87"/>
    </row>
    <row r="532" spans="1:12" x14ac:dyDescent="0.2">
      <c r="A532" s="87"/>
      <c r="B532" s="87"/>
      <c r="C532" s="87"/>
      <c r="D532" s="87"/>
      <c r="E532" s="87"/>
      <c r="F532" s="87"/>
      <c r="G532" s="87"/>
      <c r="H532" s="87"/>
      <c r="I532" s="87"/>
      <c r="J532" s="87"/>
      <c r="K532" s="87"/>
      <c r="L532" s="87"/>
    </row>
    <row r="533" spans="1:12" x14ac:dyDescent="0.2">
      <c r="A533" s="87"/>
      <c r="B533" s="87"/>
      <c r="C533" s="87"/>
      <c r="D533" s="87"/>
      <c r="E533" s="87"/>
      <c r="F533" s="87"/>
      <c r="G533" s="87"/>
      <c r="H533" s="87"/>
      <c r="I533" s="87"/>
      <c r="J533" s="87"/>
      <c r="K533" s="87"/>
      <c r="L533" s="87"/>
    </row>
    <row r="534" spans="1:12" x14ac:dyDescent="0.2">
      <c r="A534" s="87"/>
      <c r="B534" s="87"/>
      <c r="C534" s="87"/>
      <c r="D534" s="87"/>
      <c r="E534" s="87"/>
      <c r="F534" s="87"/>
      <c r="G534" s="87"/>
      <c r="H534" s="87"/>
      <c r="I534" s="87"/>
      <c r="J534" s="87"/>
      <c r="K534" s="87"/>
      <c r="L534" s="87"/>
    </row>
    <row r="535" spans="1:12" x14ac:dyDescent="0.2">
      <c r="A535" s="87"/>
      <c r="B535" s="87"/>
      <c r="C535" s="87"/>
      <c r="D535" s="87"/>
      <c r="E535" s="87"/>
      <c r="F535" s="87"/>
      <c r="G535" s="87"/>
      <c r="H535" s="87"/>
      <c r="I535" s="87"/>
      <c r="J535" s="87"/>
      <c r="K535" s="87"/>
      <c r="L535" s="87"/>
    </row>
    <row r="536" spans="1:12" x14ac:dyDescent="0.2">
      <c r="A536" s="87"/>
      <c r="B536" s="87"/>
      <c r="C536" s="87"/>
      <c r="D536" s="87"/>
      <c r="E536" s="87"/>
      <c r="F536" s="87"/>
      <c r="G536" s="87"/>
      <c r="H536" s="87"/>
      <c r="I536" s="87"/>
      <c r="J536" s="87"/>
      <c r="K536" s="87"/>
      <c r="L536" s="87"/>
    </row>
    <row r="537" spans="1:12" x14ac:dyDescent="0.2">
      <c r="A537" s="87"/>
      <c r="B537" s="87"/>
      <c r="C537" s="87"/>
      <c r="D537" s="87"/>
      <c r="E537" s="87"/>
      <c r="F537" s="87"/>
      <c r="G537" s="87"/>
      <c r="H537" s="87"/>
      <c r="I537" s="87"/>
      <c r="J537" s="87"/>
      <c r="K537" s="87"/>
      <c r="L537" s="87"/>
    </row>
    <row r="538" spans="1:12" x14ac:dyDescent="0.2">
      <c r="A538" s="87"/>
      <c r="B538" s="87"/>
      <c r="C538" s="87"/>
      <c r="D538" s="87"/>
      <c r="E538" s="87"/>
      <c r="F538" s="87"/>
      <c r="G538" s="87"/>
      <c r="H538" s="87"/>
      <c r="I538" s="87"/>
      <c r="J538" s="87"/>
      <c r="K538" s="87"/>
      <c r="L538" s="87"/>
    </row>
    <row r="539" spans="1:12" x14ac:dyDescent="0.2">
      <c r="A539" s="87"/>
      <c r="B539" s="87"/>
      <c r="C539" s="87"/>
      <c r="D539" s="87"/>
      <c r="E539" s="87"/>
      <c r="F539" s="87"/>
      <c r="G539" s="87"/>
      <c r="H539" s="87"/>
      <c r="I539" s="87"/>
      <c r="J539" s="87"/>
      <c r="K539" s="87"/>
      <c r="L539" s="87"/>
    </row>
    <row r="540" spans="1:12" x14ac:dyDescent="0.2">
      <c r="A540" s="87"/>
      <c r="B540" s="87"/>
      <c r="C540" s="87"/>
      <c r="D540" s="87"/>
      <c r="E540" s="87"/>
      <c r="F540" s="87"/>
      <c r="G540" s="87"/>
      <c r="H540" s="87"/>
      <c r="I540" s="87"/>
      <c r="J540" s="87"/>
      <c r="K540" s="87"/>
      <c r="L540" s="87"/>
    </row>
  </sheetData>
  <mergeCells count="2774">
    <mergeCell ref="BZ159:CE159"/>
    <mergeCell ref="CF159:CK159"/>
    <mergeCell ref="A159:I159"/>
    <mergeCell ref="AA159:AC159"/>
    <mergeCell ref="AD159:AI159"/>
    <mergeCell ref="AJ159:AO159"/>
    <mergeCell ref="AP159:AU159"/>
    <mergeCell ref="AV159:BA159"/>
    <mergeCell ref="A113:H113"/>
    <mergeCell ref="A129:H129"/>
    <mergeCell ref="A143:F143"/>
    <mergeCell ref="A98:B98"/>
    <mergeCell ref="BB159:BG159"/>
    <mergeCell ref="BH159:BM159"/>
    <mergeCell ref="BN159:BS159"/>
    <mergeCell ref="BT159:BY159"/>
    <mergeCell ref="FF159:FK159"/>
    <mergeCell ref="FL159:FQ159"/>
    <mergeCell ref="FR159:FW159"/>
    <mergeCell ref="FX159:GC159"/>
    <mergeCell ref="GD159:GI159"/>
    <mergeCell ref="GJ159:GO159"/>
    <mergeCell ref="DV159:EA159"/>
    <mergeCell ref="EB159:EG159"/>
    <mergeCell ref="EH159:EM159"/>
    <mergeCell ref="EN159:ES159"/>
    <mergeCell ref="ET159:EY159"/>
    <mergeCell ref="EZ159:FE159"/>
    <mergeCell ref="CL159:CQ159"/>
    <mergeCell ref="CR159:CW159"/>
    <mergeCell ref="CX159:DC159"/>
    <mergeCell ref="DD159:DI159"/>
    <mergeCell ref="DJ159:DO159"/>
    <mergeCell ref="DP159:DU159"/>
    <mergeCell ref="JJ159:JO159"/>
    <mergeCell ref="JP159:JU159"/>
    <mergeCell ref="JV159:KA159"/>
    <mergeCell ref="KB159:KG159"/>
    <mergeCell ref="KH159:KM159"/>
    <mergeCell ref="KN159:KS159"/>
    <mergeCell ref="HZ159:IE159"/>
    <mergeCell ref="IF159:IK159"/>
    <mergeCell ref="IL159:IQ159"/>
    <mergeCell ref="IR159:IW159"/>
    <mergeCell ref="IX159:JC159"/>
    <mergeCell ref="JD159:JI159"/>
    <mergeCell ref="GP159:GU159"/>
    <mergeCell ref="GV159:HA159"/>
    <mergeCell ref="HB159:HG159"/>
    <mergeCell ref="HH159:HM159"/>
    <mergeCell ref="HN159:HS159"/>
    <mergeCell ref="HT159:HY159"/>
    <mergeCell ref="NN159:NS159"/>
    <mergeCell ref="NT159:NY159"/>
    <mergeCell ref="NZ159:OE159"/>
    <mergeCell ref="OF159:OK159"/>
    <mergeCell ref="OL159:OQ159"/>
    <mergeCell ref="OR159:OW159"/>
    <mergeCell ref="MD159:MI159"/>
    <mergeCell ref="MJ159:MO159"/>
    <mergeCell ref="MP159:MU159"/>
    <mergeCell ref="MV159:NA159"/>
    <mergeCell ref="NB159:NG159"/>
    <mergeCell ref="NH159:NM159"/>
    <mergeCell ref="KT159:KY159"/>
    <mergeCell ref="KZ159:LE159"/>
    <mergeCell ref="LF159:LK159"/>
    <mergeCell ref="LL159:LQ159"/>
    <mergeCell ref="LR159:LW159"/>
    <mergeCell ref="LX159:MC159"/>
    <mergeCell ref="RR159:RW159"/>
    <mergeCell ref="RX159:SC159"/>
    <mergeCell ref="SD159:SI159"/>
    <mergeCell ref="SJ159:SO159"/>
    <mergeCell ref="SP159:SU159"/>
    <mergeCell ref="SV159:TA159"/>
    <mergeCell ref="QH159:QM159"/>
    <mergeCell ref="QN159:QS159"/>
    <mergeCell ref="QT159:QY159"/>
    <mergeCell ref="QZ159:RE159"/>
    <mergeCell ref="RF159:RK159"/>
    <mergeCell ref="RL159:RQ159"/>
    <mergeCell ref="OX159:PC159"/>
    <mergeCell ref="PD159:PI159"/>
    <mergeCell ref="PJ159:PO159"/>
    <mergeCell ref="PP159:PU159"/>
    <mergeCell ref="PV159:QA159"/>
    <mergeCell ref="QB159:QG159"/>
    <mergeCell ref="VV159:WA159"/>
    <mergeCell ref="WB159:WG159"/>
    <mergeCell ref="WH159:WM159"/>
    <mergeCell ref="WN159:WS159"/>
    <mergeCell ref="WT159:WY159"/>
    <mergeCell ref="WZ159:XE159"/>
    <mergeCell ref="UL159:UQ159"/>
    <mergeCell ref="UR159:UW159"/>
    <mergeCell ref="UX159:VC159"/>
    <mergeCell ref="VD159:VI159"/>
    <mergeCell ref="VJ159:VO159"/>
    <mergeCell ref="VP159:VU159"/>
    <mergeCell ref="TB159:TG159"/>
    <mergeCell ref="TH159:TM159"/>
    <mergeCell ref="TN159:TS159"/>
    <mergeCell ref="TT159:TY159"/>
    <mergeCell ref="TZ159:UE159"/>
    <mergeCell ref="UF159:UK159"/>
    <mergeCell ref="ZZ159:AAE159"/>
    <mergeCell ref="AAF159:AAK159"/>
    <mergeCell ref="AAL159:AAQ159"/>
    <mergeCell ref="AAR159:AAW159"/>
    <mergeCell ref="AAX159:ABC159"/>
    <mergeCell ref="ABD159:ABI159"/>
    <mergeCell ref="YP159:YU159"/>
    <mergeCell ref="YV159:ZA159"/>
    <mergeCell ref="ZB159:ZG159"/>
    <mergeCell ref="ZH159:ZM159"/>
    <mergeCell ref="ZN159:ZS159"/>
    <mergeCell ref="ZT159:ZY159"/>
    <mergeCell ref="XF159:XK159"/>
    <mergeCell ref="XL159:XQ159"/>
    <mergeCell ref="XR159:XW159"/>
    <mergeCell ref="XX159:YC159"/>
    <mergeCell ref="YD159:YI159"/>
    <mergeCell ref="YJ159:YO159"/>
    <mergeCell ref="AED159:AEI159"/>
    <mergeCell ref="AEJ159:AEO159"/>
    <mergeCell ref="AEP159:AEU159"/>
    <mergeCell ref="AEV159:AFA159"/>
    <mergeCell ref="AFB159:AFG159"/>
    <mergeCell ref="AFH159:AFM159"/>
    <mergeCell ref="ACT159:ACY159"/>
    <mergeCell ref="ACZ159:ADE159"/>
    <mergeCell ref="ADF159:ADK159"/>
    <mergeCell ref="ADL159:ADQ159"/>
    <mergeCell ref="ADR159:ADW159"/>
    <mergeCell ref="ADX159:AEC159"/>
    <mergeCell ref="ABJ159:ABO159"/>
    <mergeCell ref="ABP159:ABU159"/>
    <mergeCell ref="ABV159:ACA159"/>
    <mergeCell ref="ACB159:ACG159"/>
    <mergeCell ref="ACH159:ACM159"/>
    <mergeCell ref="ACN159:ACS159"/>
    <mergeCell ref="AIH159:AIM159"/>
    <mergeCell ref="AIN159:AIS159"/>
    <mergeCell ref="AIT159:AIY159"/>
    <mergeCell ref="AIZ159:AJE159"/>
    <mergeCell ref="AJF159:AJK159"/>
    <mergeCell ref="AJL159:AJQ159"/>
    <mergeCell ref="AGX159:AHC159"/>
    <mergeCell ref="AHD159:AHI159"/>
    <mergeCell ref="AHJ159:AHO159"/>
    <mergeCell ref="AHP159:AHU159"/>
    <mergeCell ref="AHV159:AIA159"/>
    <mergeCell ref="AIB159:AIG159"/>
    <mergeCell ref="AFN159:AFS159"/>
    <mergeCell ref="AFT159:AFY159"/>
    <mergeCell ref="AFZ159:AGE159"/>
    <mergeCell ref="AGF159:AGK159"/>
    <mergeCell ref="AGL159:AGQ159"/>
    <mergeCell ref="AGR159:AGW159"/>
    <mergeCell ref="AML159:AMQ159"/>
    <mergeCell ref="AMR159:AMW159"/>
    <mergeCell ref="AMX159:ANC159"/>
    <mergeCell ref="AND159:ANI159"/>
    <mergeCell ref="ANJ159:ANO159"/>
    <mergeCell ref="ANP159:ANU159"/>
    <mergeCell ref="ALB159:ALG159"/>
    <mergeCell ref="ALH159:ALM159"/>
    <mergeCell ref="ALN159:ALS159"/>
    <mergeCell ref="ALT159:ALY159"/>
    <mergeCell ref="ALZ159:AME159"/>
    <mergeCell ref="AMF159:AMK159"/>
    <mergeCell ref="AJR159:AJW159"/>
    <mergeCell ref="AJX159:AKC159"/>
    <mergeCell ref="AKD159:AKI159"/>
    <mergeCell ref="AKJ159:AKO159"/>
    <mergeCell ref="AKP159:AKU159"/>
    <mergeCell ref="AKV159:ALA159"/>
    <mergeCell ref="AQP159:AQU159"/>
    <mergeCell ref="AQV159:ARA159"/>
    <mergeCell ref="ARB159:ARG159"/>
    <mergeCell ref="ARH159:ARM159"/>
    <mergeCell ref="ARN159:ARS159"/>
    <mergeCell ref="ART159:ARY159"/>
    <mergeCell ref="APF159:APK159"/>
    <mergeCell ref="APL159:APQ159"/>
    <mergeCell ref="APR159:APW159"/>
    <mergeCell ref="APX159:AQC159"/>
    <mergeCell ref="AQD159:AQI159"/>
    <mergeCell ref="AQJ159:AQO159"/>
    <mergeCell ref="ANV159:AOA159"/>
    <mergeCell ref="AOB159:AOG159"/>
    <mergeCell ref="AOH159:AOM159"/>
    <mergeCell ref="AON159:AOS159"/>
    <mergeCell ref="AOT159:AOY159"/>
    <mergeCell ref="AOZ159:APE159"/>
    <mergeCell ref="AUT159:AUY159"/>
    <mergeCell ref="AUZ159:AVE159"/>
    <mergeCell ref="AVF159:AVK159"/>
    <mergeCell ref="AVL159:AVQ159"/>
    <mergeCell ref="AVR159:AVW159"/>
    <mergeCell ref="AVX159:AWC159"/>
    <mergeCell ref="ATJ159:ATO159"/>
    <mergeCell ref="ATP159:ATU159"/>
    <mergeCell ref="ATV159:AUA159"/>
    <mergeCell ref="AUB159:AUG159"/>
    <mergeCell ref="AUH159:AUM159"/>
    <mergeCell ref="AUN159:AUS159"/>
    <mergeCell ref="ARZ159:ASE159"/>
    <mergeCell ref="ASF159:ASK159"/>
    <mergeCell ref="ASL159:ASQ159"/>
    <mergeCell ref="ASR159:ASW159"/>
    <mergeCell ref="ASX159:ATC159"/>
    <mergeCell ref="ATD159:ATI159"/>
    <mergeCell ref="AYX159:AZC159"/>
    <mergeCell ref="AZD159:AZI159"/>
    <mergeCell ref="AZJ159:AZO159"/>
    <mergeCell ref="AZP159:AZU159"/>
    <mergeCell ref="AZV159:BAA159"/>
    <mergeCell ref="BAB159:BAG159"/>
    <mergeCell ref="AXN159:AXS159"/>
    <mergeCell ref="AXT159:AXY159"/>
    <mergeCell ref="AXZ159:AYE159"/>
    <mergeCell ref="AYF159:AYK159"/>
    <mergeCell ref="AYL159:AYQ159"/>
    <mergeCell ref="AYR159:AYW159"/>
    <mergeCell ref="AWD159:AWI159"/>
    <mergeCell ref="AWJ159:AWO159"/>
    <mergeCell ref="AWP159:AWU159"/>
    <mergeCell ref="AWV159:AXA159"/>
    <mergeCell ref="AXB159:AXG159"/>
    <mergeCell ref="AXH159:AXM159"/>
    <mergeCell ref="BDB159:BDG159"/>
    <mergeCell ref="BDH159:BDM159"/>
    <mergeCell ref="BDN159:BDS159"/>
    <mergeCell ref="BDT159:BDY159"/>
    <mergeCell ref="BDZ159:BEE159"/>
    <mergeCell ref="BEF159:BEK159"/>
    <mergeCell ref="BBR159:BBW159"/>
    <mergeCell ref="BBX159:BCC159"/>
    <mergeCell ref="BCD159:BCI159"/>
    <mergeCell ref="BCJ159:BCO159"/>
    <mergeCell ref="BCP159:BCU159"/>
    <mergeCell ref="BCV159:BDA159"/>
    <mergeCell ref="BAH159:BAM159"/>
    <mergeCell ref="BAN159:BAS159"/>
    <mergeCell ref="BAT159:BAY159"/>
    <mergeCell ref="BAZ159:BBE159"/>
    <mergeCell ref="BBF159:BBK159"/>
    <mergeCell ref="BBL159:BBQ159"/>
    <mergeCell ref="BHF159:BHK159"/>
    <mergeCell ref="BHL159:BHQ159"/>
    <mergeCell ref="BHR159:BHW159"/>
    <mergeCell ref="BHX159:BIC159"/>
    <mergeCell ref="BID159:BII159"/>
    <mergeCell ref="BIJ159:BIO159"/>
    <mergeCell ref="BFV159:BGA159"/>
    <mergeCell ref="BGB159:BGG159"/>
    <mergeCell ref="BGH159:BGM159"/>
    <mergeCell ref="BGN159:BGS159"/>
    <mergeCell ref="BGT159:BGY159"/>
    <mergeCell ref="BGZ159:BHE159"/>
    <mergeCell ref="BEL159:BEQ159"/>
    <mergeCell ref="BER159:BEW159"/>
    <mergeCell ref="BEX159:BFC159"/>
    <mergeCell ref="BFD159:BFI159"/>
    <mergeCell ref="BFJ159:BFO159"/>
    <mergeCell ref="BFP159:BFU159"/>
    <mergeCell ref="BLJ159:BLO159"/>
    <mergeCell ref="BLP159:BLU159"/>
    <mergeCell ref="BLV159:BMA159"/>
    <mergeCell ref="BMB159:BMG159"/>
    <mergeCell ref="BMH159:BMM159"/>
    <mergeCell ref="BMN159:BMS159"/>
    <mergeCell ref="BJZ159:BKE159"/>
    <mergeCell ref="BKF159:BKK159"/>
    <mergeCell ref="BKL159:BKQ159"/>
    <mergeCell ref="BKR159:BKW159"/>
    <mergeCell ref="BKX159:BLC159"/>
    <mergeCell ref="BLD159:BLI159"/>
    <mergeCell ref="BIP159:BIU159"/>
    <mergeCell ref="BIV159:BJA159"/>
    <mergeCell ref="BJB159:BJG159"/>
    <mergeCell ref="BJH159:BJM159"/>
    <mergeCell ref="BJN159:BJS159"/>
    <mergeCell ref="BJT159:BJY159"/>
    <mergeCell ref="BPN159:BPS159"/>
    <mergeCell ref="BPT159:BPY159"/>
    <mergeCell ref="BPZ159:BQE159"/>
    <mergeCell ref="BQF159:BQK159"/>
    <mergeCell ref="BQL159:BQQ159"/>
    <mergeCell ref="BQR159:BQW159"/>
    <mergeCell ref="BOD159:BOI159"/>
    <mergeCell ref="BOJ159:BOO159"/>
    <mergeCell ref="BOP159:BOU159"/>
    <mergeCell ref="BOV159:BPA159"/>
    <mergeCell ref="BPB159:BPG159"/>
    <mergeCell ref="BPH159:BPM159"/>
    <mergeCell ref="BMT159:BMY159"/>
    <mergeCell ref="BMZ159:BNE159"/>
    <mergeCell ref="BNF159:BNK159"/>
    <mergeCell ref="BNL159:BNQ159"/>
    <mergeCell ref="BNR159:BNW159"/>
    <mergeCell ref="BNX159:BOC159"/>
    <mergeCell ref="BTR159:BTW159"/>
    <mergeCell ref="BTX159:BUC159"/>
    <mergeCell ref="BUD159:BUI159"/>
    <mergeCell ref="BUJ159:BUO159"/>
    <mergeCell ref="BUP159:BUU159"/>
    <mergeCell ref="BUV159:BVA159"/>
    <mergeCell ref="BSH159:BSM159"/>
    <mergeCell ref="BSN159:BSS159"/>
    <mergeCell ref="BST159:BSY159"/>
    <mergeCell ref="BSZ159:BTE159"/>
    <mergeCell ref="BTF159:BTK159"/>
    <mergeCell ref="BTL159:BTQ159"/>
    <mergeCell ref="BQX159:BRC159"/>
    <mergeCell ref="BRD159:BRI159"/>
    <mergeCell ref="BRJ159:BRO159"/>
    <mergeCell ref="BRP159:BRU159"/>
    <mergeCell ref="BRV159:BSA159"/>
    <mergeCell ref="BSB159:BSG159"/>
    <mergeCell ref="BXV159:BYA159"/>
    <mergeCell ref="BYB159:BYG159"/>
    <mergeCell ref="BYH159:BYM159"/>
    <mergeCell ref="BYN159:BYS159"/>
    <mergeCell ref="BYT159:BYY159"/>
    <mergeCell ref="BYZ159:BZE159"/>
    <mergeCell ref="BWL159:BWQ159"/>
    <mergeCell ref="BWR159:BWW159"/>
    <mergeCell ref="BWX159:BXC159"/>
    <mergeCell ref="BXD159:BXI159"/>
    <mergeCell ref="BXJ159:BXO159"/>
    <mergeCell ref="BXP159:BXU159"/>
    <mergeCell ref="BVB159:BVG159"/>
    <mergeCell ref="BVH159:BVM159"/>
    <mergeCell ref="BVN159:BVS159"/>
    <mergeCell ref="BVT159:BVY159"/>
    <mergeCell ref="BVZ159:BWE159"/>
    <mergeCell ref="BWF159:BWK159"/>
    <mergeCell ref="CBZ159:CCE159"/>
    <mergeCell ref="CCF159:CCK159"/>
    <mergeCell ref="CCL159:CCQ159"/>
    <mergeCell ref="CCR159:CCW159"/>
    <mergeCell ref="CCX159:CDC159"/>
    <mergeCell ref="CDD159:CDI159"/>
    <mergeCell ref="CAP159:CAU159"/>
    <mergeCell ref="CAV159:CBA159"/>
    <mergeCell ref="CBB159:CBG159"/>
    <mergeCell ref="CBH159:CBM159"/>
    <mergeCell ref="CBN159:CBS159"/>
    <mergeCell ref="CBT159:CBY159"/>
    <mergeCell ref="BZF159:BZK159"/>
    <mergeCell ref="BZL159:BZQ159"/>
    <mergeCell ref="BZR159:BZW159"/>
    <mergeCell ref="BZX159:CAC159"/>
    <mergeCell ref="CAD159:CAI159"/>
    <mergeCell ref="CAJ159:CAO159"/>
    <mergeCell ref="CGD159:CGI159"/>
    <mergeCell ref="CGJ159:CGO159"/>
    <mergeCell ref="CGP159:CGU159"/>
    <mergeCell ref="CGV159:CHA159"/>
    <mergeCell ref="CHB159:CHG159"/>
    <mergeCell ref="CHH159:CHM159"/>
    <mergeCell ref="CET159:CEY159"/>
    <mergeCell ref="CEZ159:CFE159"/>
    <mergeCell ref="CFF159:CFK159"/>
    <mergeCell ref="CFL159:CFQ159"/>
    <mergeCell ref="CFR159:CFW159"/>
    <mergeCell ref="CFX159:CGC159"/>
    <mergeCell ref="CDJ159:CDO159"/>
    <mergeCell ref="CDP159:CDU159"/>
    <mergeCell ref="CDV159:CEA159"/>
    <mergeCell ref="CEB159:CEG159"/>
    <mergeCell ref="CEH159:CEM159"/>
    <mergeCell ref="CEN159:CES159"/>
    <mergeCell ref="CKH159:CKM159"/>
    <mergeCell ref="CKN159:CKS159"/>
    <mergeCell ref="CKT159:CKY159"/>
    <mergeCell ref="CKZ159:CLE159"/>
    <mergeCell ref="CLF159:CLK159"/>
    <mergeCell ref="CLL159:CLQ159"/>
    <mergeCell ref="CIX159:CJC159"/>
    <mergeCell ref="CJD159:CJI159"/>
    <mergeCell ref="CJJ159:CJO159"/>
    <mergeCell ref="CJP159:CJU159"/>
    <mergeCell ref="CJV159:CKA159"/>
    <mergeCell ref="CKB159:CKG159"/>
    <mergeCell ref="CHN159:CHS159"/>
    <mergeCell ref="CHT159:CHY159"/>
    <mergeCell ref="CHZ159:CIE159"/>
    <mergeCell ref="CIF159:CIK159"/>
    <mergeCell ref="CIL159:CIQ159"/>
    <mergeCell ref="CIR159:CIW159"/>
    <mergeCell ref="COL159:COQ159"/>
    <mergeCell ref="COR159:COW159"/>
    <mergeCell ref="COX159:CPC159"/>
    <mergeCell ref="CPD159:CPI159"/>
    <mergeCell ref="CPJ159:CPO159"/>
    <mergeCell ref="CPP159:CPU159"/>
    <mergeCell ref="CNB159:CNG159"/>
    <mergeCell ref="CNH159:CNM159"/>
    <mergeCell ref="CNN159:CNS159"/>
    <mergeCell ref="CNT159:CNY159"/>
    <mergeCell ref="CNZ159:COE159"/>
    <mergeCell ref="COF159:COK159"/>
    <mergeCell ref="CLR159:CLW159"/>
    <mergeCell ref="CLX159:CMC159"/>
    <mergeCell ref="CMD159:CMI159"/>
    <mergeCell ref="CMJ159:CMO159"/>
    <mergeCell ref="CMP159:CMU159"/>
    <mergeCell ref="CMV159:CNA159"/>
    <mergeCell ref="CSP159:CSU159"/>
    <mergeCell ref="CSV159:CTA159"/>
    <mergeCell ref="CTB159:CTG159"/>
    <mergeCell ref="CTH159:CTM159"/>
    <mergeCell ref="CTN159:CTS159"/>
    <mergeCell ref="CTT159:CTY159"/>
    <mergeCell ref="CRF159:CRK159"/>
    <mergeCell ref="CRL159:CRQ159"/>
    <mergeCell ref="CRR159:CRW159"/>
    <mergeCell ref="CRX159:CSC159"/>
    <mergeCell ref="CSD159:CSI159"/>
    <mergeCell ref="CSJ159:CSO159"/>
    <mergeCell ref="CPV159:CQA159"/>
    <mergeCell ref="CQB159:CQG159"/>
    <mergeCell ref="CQH159:CQM159"/>
    <mergeCell ref="CQN159:CQS159"/>
    <mergeCell ref="CQT159:CQY159"/>
    <mergeCell ref="CQZ159:CRE159"/>
    <mergeCell ref="CWT159:CWY159"/>
    <mergeCell ref="CWZ159:CXE159"/>
    <mergeCell ref="CXF159:CXK159"/>
    <mergeCell ref="CXL159:CXQ159"/>
    <mergeCell ref="CXR159:CXW159"/>
    <mergeCell ref="CXX159:CYC159"/>
    <mergeCell ref="CVJ159:CVO159"/>
    <mergeCell ref="CVP159:CVU159"/>
    <mergeCell ref="CVV159:CWA159"/>
    <mergeCell ref="CWB159:CWG159"/>
    <mergeCell ref="CWH159:CWM159"/>
    <mergeCell ref="CWN159:CWS159"/>
    <mergeCell ref="CTZ159:CUE159"/>
    <mergeCell ref="CUF159:CUK159"/>
    <mergeCell ref="CUL159:CUQ159"/>
    <mergeCell ref="CUR159:CUW159"/>
    <mergeCell ref="CUX159:CVC159"/>
    <mergeCell ref="CVD159:CVI159"/>
    <mergeCell ref="DAX159:DBC159"/>
    <mergeCell ref="DBD159:DBI159"/>
    <mergeCell ref="DBJ159:DBO159"/>
    <mergeCell ref="DBP159:DBU159"/>
    <mergeCell ref="DBV159:DCA159"/>
    <mergeCell ref="DCB159:DCG159"/>
    <mergeCell ref="CZN159:CZS159"/>
    <mergeCell ref="CZT159:CZY159"/>
    <mergeCell ref="CZZ159:DAE159"/>
    <mergeCell ref="DAF159:DAK159"/>
    <mergeCell ref="DAL159:DAQ159"/>
    <mergeCell ref="DAR159:DAW159"/>
    <mergeCell ref="CYD159:CYI159"/>
    <mergeCell ref="CYJ159:CYO159"/>
    <mergeCell ref="CYP159:CYU159"/>
    <mergeCell ref="CYV159:CZA159"/>
    <mergeCell ref="CZB159:CZG159"/>
    <mergeCell ref="CZH159:CZM159"/>
    <mergeCell ref="DFB159:DFG159"/>
    <mergeCell ref="DFH159:DFM159"/>
    <mergeCell ref="DFN159:DFS159"/>
    <mergeCell ref="DFT159:DFY159"/>
    <mergeCell ref="DFZ159:DGE159"/>
    <mergeCell ref="DGF159:DGK159"/>
    <mergeCell ref="DDR159:DDW159"/>
    <mergeCell ref="DDX159:DEC159"/>
    <mergeCell ref="DED159:DEI159"/>
    <mergeCell ref="DEJ159:DEO159"/>
    <mergeCell ref="DEP159:DEU159"/>
    <mergeCell ref="DEV159:DFA159"/>
    <mergeCell ref="DCH159:DCM159"/>
    <mergeCell ref="DCN159:DCS159"/>
    <mergeCell ref="DCT159:DCY159"/>
    <mergeCell ref="DCZ159:DDE159"/>
    <mergeCell ref="DDF159:DDK159"/>
    <mergeCell ref="DDL159:DDQ159"/>
    <mergeCell ref="DJF159:DJK159"/>
    <mergeCell ref="DJL159:DJQ159"/>
    <mergeCell ref="DJR159:DJW159"/>
    <mergeCell ref="DJX159:DKC159"/>
    <mergeCell ref="DKD159:DKI159"/>
    <mergeCell ref="DKJ159:DKO159"/>
    <mergeCell ref="DHV159:DIA159"/>
    <mergeCell ref="DIB159:DIG159"/>
    <mergeCell ref="DIH159:DIM159"/>
    <mergeCell ref="DIN159:DIS159"/>
    <mergeCell ref="DIT159:DIY159"/>
    <mergeCell ref="DIZ159:DJE159"/>
    <mergeCell ref="DGL159:DGQ159"/>
    <mergeCell ref="DGR159:DGW159"/>
    <mergeCell ref="DGX159:DHC159"/>
    <mergeCell ref="DHD159:DHI159"/>
    <mergeCell ref="DHJ159:DHO159"/>
    <mergeCell ref="DHP159:DHU159"/>
    <mergeCell ref="DNJ159:DNO159"/>
    <mergeCell ref="DNP159:DNU159"/>
    <mergeCell ref="DNV159:DOA159"/>
    <mergeCell ref="DOB159:DOG159"/>
    <mergeCell ref="DOH159:DOM159"/>
    <mergeCell ref="DON159:DOS159"/>
    <mergeCell ref="DLZ159:DME159"/>
    <mergeCell ref="DMF159:DMK159"/>
    <mergeCell ref="DML159:DMQ159"/>
    <mergeCell ref="DMR159:DMW159"/>
    <mergeCell ref="DMX159:DNC159"/>
    <mergeCell ref="DND159:DNI159"/>
    <mergeCell ref="DKP159:DKU159"/>
    <mergeCell ref="DKV159:DLA159"/>
    <mergeCell ref="DLB159:DLG159"/>
    <mergeCell ref="DLH159:DLM159"/>
    <mergeCell ref="DLN159:DLS159"/>
    <mergeCell ref="DLT159:DLY159"/>
    <mergeCell ref="DRN159:DRS159"/>
    <mergeCell ref="DRT159:DRY159"/>
    <mergeCell ref="DRZ159:DSE159"/>
    <mergeCell ref="DSF159:DSK159"/>
    <mergeCell ref="DSL159:DSQ159"/>
    <mergeCell ref="DSR159:DSW159"/>
    <mergeCell ref="DQD159:DQI159"/>
    <mergeCell ref="DQJ159:DQO159"/>
    <mergeCell ref="DQP159:DQU159"/>
    <mergeCell ref="DQV159:DRA159"/>
    <mergeCell ref="DRB159:DRG159"/>
    <mergeCell ref="DRH159:DRM159"/>
    <mergeCell ref="DOT159:DOY159"/>
    <mergeCell ref="DOZ159:DPE159"/>
    <mergeCell ref="DPF159:DPK159"/>
    <mergeCell ref="DPL159:DPQ159"/>
    <mergeCell ref="DPR159:DPW159"/>
    <mergeCell ref="DPX159:DQC159"/>
    <mergeCell ref="DVR159:DVW159"/>
    <mergeCell ref="DVX159:DWC159"/>
    <mergeCell ref="DWD159:DWI159"/>
    <mergeCell ref="DWJ159:DWO159"/>
    <mergeCell ref="DWP159:DWU159"/>
    <mergeCell ref="DWV159:DXA159"/>
    <mergeCell ref="DUH159:DUM159"/>
    <mergeCell ref="DUN159:DUS159"/>
    <mergeCell ref="DUT159:DUY159"/>
    <mergeCell ref="DUZ159:DVE159"/>
    <mergeCell ref="DVF159:DVK159"/>
    <mergeCell ref="DVL159:DVQ159"/>
    <mergeCell ref="DSX159:DTC159"/>
    <mergeCell ref="DTD159:DTI159"/>
    <mergeCell ref="DTJ159:DTO159"/>
    <mergeCell ref="DTP159:DTU159"/>
    <mergeCell ref="DTV159:DUA159"/>
    <mergeCell ref="DUB159:DUG159"/>
    <mergeCell ref="DZV159:EAA159"/>
    <mergeCell ref="EAB159:EAG159"/>
    <mergeCell ref="EAH159:EAM159"/>
    <mergeCell ref="EAN159:EAS159"/>
    <mergeCell ref="EAT159:EAY159"/>
    <mergeCell ref="EAZ159:EBE159"/>
    <mergeCell ref="DYL159:DYQ159"/>
    <mergeCell ref="DYR159:DYW159"/>
    <mergeCell ref="DYX159:DZC159"/>
    <mergeCell ref="DZD159:DZI159"/>
    <mergeCell ref="DZJ159:DZO159"/>
    <mergeCell ref="DZP159:DZU159"/>
    <mergeCell ref="DXB159:DXG159"/>
    <mergeCell ref="DXH159:DXM159"/>
    <mergeCell ref="DXN159:DXS159"/>
    <mergeCell ref="DXT159:DXY159"/>
    <mergeCell ref="DXZ159:DYE159"/>
    <mergeCell ref="DYF159:DYK159"/>
    <mergeCell ref="EDZ159:EEE159"/>
    <mergeCell ref="EEF159:EEK159"/>
    <mergeCell ref="EEL159:EEQ159"/>
    <mergeCell ref="EER159:EEW159"/>
    <mergeCell ref="EEX159:EFC159"/>
    <mergeCell ref="EFD159:EFI159"/>
    <mergeCell ref="ECP159:ECU159"/>
    <mergeCell ref="ECV159:EDA159"/>
    <mergeCell ref="EDB159:EDG159"/>
    <mergeCell ref="EDH159:EDM159"/>
    <mergeCell ref="EDN159:EDS159"/>
    <mergeCell ref="EDT159:EDY159"/>
    <mergeCell ref="EBF159:EBK159"/>
    <mergeCell ref="EBL159:EBQ159"/>
    <mergeCell ref="EBR159:EBW159"/>
    <mergeCell ref="EBX159:ECC159"/>
    <mergeCell ref="ECD159:ECI159"/>
    <mergeCell ref="ECJ159:ECO159"/>
    <mergeCell ref="EID159:EII159"/>
    <mergeCell ref="EIJ159:EIO159"/>
    <mergeCell ref="EIP159:EIU159"/>
    <mergeCell ref="EIV159:EJA159"/>
    <mergeCell ref="EJB159:EJG159"/>
    <mergeCell ref="EJH159:EJM159"/>
    <mergeCell ref="EGT159:EGY159"/>
    <mergeCell ref="EGZ159:EHE159"/>
    <mergeCell ref="EHF159:EHK159"/>
    <mergeCell ref="EHL159:EHQ159"/>
    <mergeCell ref="EHR159:EHW159"/>
    <mergeCell ref="EHX159:EIC159"/>
    <mergeCell ref="EFJ159:EFO159"/>
    <mergeCell ref="EFP159:EFU159"/>
    <mergeCell ref="EFV159:EGA159"/>
    <mergeCell ref="EGB159:EGG159"/>
    <mergeCell ref="EGH159:EGM159"/>
    <mergeCell ref="EGN159:EGS159"/>
    <mergeCell ref="EMH159:EMM159"/>
    <mergeCell ref="EMN159:EMS159"/>
    <mergeCell ref="EMT159:EMY159"/>
    <mergeCell ref="EMZ159:ENE159"/>
    <mergeCell ref="ENF159:ENK159"/>
    <mergeCell ref="ENL159:ENQ159"/>
    <mergeCell ref="EKX159:ELC159"/>
    <mergeCell ref="ELD159:ELI159"/>
    <mergeCell ref="ELJ159:ELO159"/>
    <mergeCell ref="ELP159:ELU159"/>
    <mergeCell ref="ELV159:EMA159"/>
    <mergeCell ref="EMB159:EMG159"/>
    <mergeCell ref="EJN159:EJS159"/>
    <mergeCell ref="EJT159:EJY159"/>
    <mergeCell ref="EJZ159:EKE159"/>
    <mergeCell ref="EKF159:EKK159"/>
    <mergeCell ref="EKL159:EKQ159"/>
    <mergeCell ref="EKR159:EKW159"/>
    <mergeCell ref="EQL159:EQQ159"/>
    <mergeCell ref="EQR159:EQW159"/>
    <mergeCell ref="EQX159:ERC159"/>
    <mergeCell ref="ERD159:ERI159"/>
    <mergeCell ref="ERJ159:ERO159"/>
    <mergeCell ref="ERP159:ERU159"/>
    <mergeCell ref="EPB159:EPG159"/>
    <mergeCell ref="EPH159:EPM159"/>
    <mergeCell ref="EPN159:EPS159"/>
    <mergeCell ref="EPT159:EPY159"/>
    <mergeCell ref="EPZ159:EQE159"/>
    <mergeCell ref="EQF159:EQK159"/>
    <mergeCell ref="ENR159:ENW159"/>
    <mergeCell ref="ENX159:EOC159"/>
    <mergeCell ref="EOD159:EOI159"/>
    <mergeCell ref="EOJ159:EOO159"/>
    <mergeCell ref="EOP159:EOU159"/>
    <mergeCell ref="EOV159:EPA159"/>
    <mergeCell ref="EUP159:EUU159"/>
    <mergeCell ref="EUV159:EVA159"/>
    <mergeCell ref="EVB159:EVG159"/>
    <mergeCell ref="EVH159:EVM159"/>
    <mergeCell ref="EVN159:EVS159"/>
    <mergeCell ref="EVT159:EVY159"/>
    <mergeCell ref="ETF159:ETK159"/>
    <mergeCell ref="ETL159:ETQ159"/>
    <mergeCell ref="ETR159:ETW159"/>
    <mergeCell ref="ETX159:EUC159"/>
    <mergeCell ref="EUD159:EUI159"/>
    <mergeCell ref="EUJ159:EUO159"/>
    <mergeCell ref="ERV159:ESA159"/>
    <mergeCell ref="ESB159:ESG159"/>
    <mergeCell ref="ESH159:ESM159"/>
    <mergeCell ref="ESN159:ESS159"/>
    <mergeCell ref="EST159:ESY159"/>
    <mergeCell ref="ESZ159:ETE159"/>
    <mergeCell ref="EYT159:EYY159"/>
    <mergeCell ref="EYZ159:EZE159"/>
    <mergeCell ref="EZF159:EZK159"/>
    <mergeCell ref="EZL159:EZQ159"/>
    <mergeCell ref="EZR159:EZW159"/>
    <mergeCell ref="EZX159:FAC159"/>
    <mergeCell ref="EXJ159:EXO159"/>
    <mergeCell ref="EXP159:EXU159"/>
    <mergeCell ref="EXV159:EYA159"/>
    <mergeCell ref="EYB159:EYG159"/>
    <mergeCell ref="EYH159:EYM159"/>
    <mergeCell ref="EYN159:EYS159"/>
    <mergeCell ref="EVZ159:EWE159"/>
    <mergeCell ref="EWF159:EWK159"/>
    <mergeCell ref="EWL159:EWQ159"/>
    <mergeCell ref="EWR159:EWW159"/>
    <mergeCell ref="EWX159:EXC159"/>
    <mergeCell ref="EXD159:EXI159"/>
    <mergeCell ref="FCX159:FDC159"/>
    <mergeCell ref="FDD159:FDI159"/>
    <mergeCell ref="FDJ159:FDO159"/>
    <mergeCell ref="FDP159:FDU159"/>
    <mergeCell ref="FDV159:FEA159"/>
    <mergeCell ref="FEB159:FEG159"/>
    <mergeCell ref="FBN159:FBS159"/>
    <mergeCell ref="FBT159:FBY159"/>
    <mergeCell ref="FBZ159:FCE159"/>
    <mergeCell ref="FCF159:FCK159"/>
    <mergeCell ref="FCL159:FCQ159"/>
    <mergeCell ref="FCR159:FCW159"/>
    <mergeCell ref="FAD159:FAI159"/>
    <mergeCell ref="FAJ159:FAO159"/>
    <mergeCell ref="FAP159:FAU159"/>
    <mergeCell ref="FAV159:FBA159"/>
    <mergeCell ref="FBB159:FBG159"/>
    <mergeCell ref="FBH159:FBM159"/>
    <mergeCell ref="FHB159:FHG159"/>
    <mergeCell ref="FHH159:FHM159"/>
    <mergeCell ref="FHN159:FHS159"/>
    <mergeCell ref="FHT159:FHY159"/>
    <mergeCell ref="FHZ159:FIE159"/>
    <mergeCell ref="FIF159:FIK159"/>
    <mergeCell ref="FFR159:FFW159"/>
    <mergeCell ref="FFX159:FGC159"/>
    <mergeCell ref="FGD159:FGI159"/>
    <mergeCell ref="FGJ159:FGO159"/>
    <mergeCell ref="FGP159:FGU159"/>
    <mergeCell ref="FGV159:FHA159"/>
    <mergeCell ref="FEH159:FEM159"/>
    <mergeCell ref="FEN159:FES159"/>
    <mergeCell ref="FET159:FEY159"/>
    <mergeCell ref="FEZ159:FFE159"/>
    <mergeCell ref="FFF159:FFK159"/>
    <mergeCell ref="FFL159:FFQ159"/>
    <mergeCell ref="FLF159:FLK159"/>
    <mergeCell ref="FLL159:FLQ159"/>
    <mergeCell ref="FLR159:FLW159"/>
    <mergeCell ref="FLX159:FMC159"/>
    <mergeCell ref="FMD159:FMI159"/>
    <mergeCell ref="FMJ159:FMO159"/>
    <mergeCell ref="FJV159:FKA159"/>
    <mergeCell ref="FKB159:FKG159"/>
    <mergeCell ref="FKH159:FKM159"/>
    <mergeCell ref="FKN159:FKS159"/>
    <mergeCell ref="FKT159:FKY159"/>
    <mergeCell ref="FKZ159:FLE159"/>
    <mergeCell ref="FIL159:FIQ159"/>
    <mergeCell ref="FIR159:FIW159"/>
    <mergeCell ref="FIX159:FJC159"/>
    <mergeCell ref="FJD159:FJI159"/>
    <mergeCell ref="FJJ159:FJO159"/>
    <mergeCell ref="FJP159:FJU159"/>
    <mergeCell ref="FPJ159:FPO159"/>
    <mergeCell ref="FPP159:FPU159"/>
    <mergeCell ref="FPV159:FQA159"/>
    <mergeCell ref="FQB159:FQG159"/>
    <mergeCell ref="FQH159:FQM159"/>
    <mergeCell ref="FQN159:FQS159"/>
    <mergeCell ref="FNZ159:FOE159"/>
    <mergeCell ref="FOF159:FOK159"/>
    <mergeCell ref="FOL159:FOQ159"/>
    <mergeCell ref="FOR159:FOW159"/>
    <mergeCell ref="FOX159:FPC159"/>
    <mergeCell ref="FPD159:FPI159"/>
    <mergeCell ref="FMP159:FMU159"/>
    <mergeCell ref="FMV159:FNA159"/>
    <mergeCell ref="FNB159:FNG159"/>
    <mergeCell ref="FNH159:FNM159"/>
    <mergeCell ref="FNN159:FNS159"/>
    <mergeCell ref="FNT159:FNY159"/>
    <mergeCell ref="FTN159:FTS159"/>
    <mergeCell ref="FTT159:FTY159"/>
    <mergeCell ref="FTZ159:FUE159"/>
    <mergeCell ref="FUF159:FUK159"/>
    <mergeCell ref="FUL159:FUQ159"/>
    <mergeCell ref="FUR159:FUW159"/>
    <mergeCell ref="FSD159:FSI159"/>
    <mergeCell ref="FSJ159:FSO159"/>
    <mergeCell ref="FSP159:FSU159"/>
    <mergeCell ref="FSV159:FTA159"/>
    <mergeCell ref="FTB159:FTG159"/>
    <mergeCell ref="FTH159:FTM159"/>
    <mergeCell ref="FQT159:FQY159"/>
    <mergeCell ref="FQZ159:FRE159"/>
    <mergeCell ref="FRF159:FRK159"/>
    <mergeCell ref="FRL159:FRQ159"/>
    <mergeCell ref="FRR159:FRW159"/>
    <mergeCell ref="FRX159:FSC159"/>
    <mergeCell ref="FXR159:FXW159"/>
    <mergeCell ref="FXX159:FYC159"/>
    <mergeCell ref="FYD159:FYI159"/>
    <mergeCell ref="FYJ159:FYO159"/>
    <mergeCell ref="FYP159:FYU159"/>
    <mergeCell ref="FYV159:FZA159"/>
    <mergeCell ref="FWH159:FWM159"/>
    <mergeCell ref="FWN159:FWS159"/>
    <mergeCell ref="FWT159:FWY159"/>
    <mergeCell ref="FWZ159:FXE159"/>
    <mergeCell ref="FXF159:FXK159"/>
    <mergeCell ref="FXL159:FXQ159"/>
    <mergeCell ref="FUX159:FVC159"/>
    <mergeCell ref="FVD159:FVI159"/>
    <mergeCell ref="FVJ159:FVO159"/>
    <mergeCell ref="FVP159:FVU159"/>
    <mergeCell ref="FVV159:FWA159"/>
    <mergeCell ref="FWB159:FWG159"/>
    <mergeCell ref="GBV159:GCA159"/>
    <mergeCell ref="GCB159:GCG159"/>
    <mergeCell ref="GCH159:GCM159"/>
    <mergeCell ref="GCN159:GCS159"/>
    <mergeCell ref="GCT159:GCY159"/>
    <mergeCell ref="GCZ159:GDE159"/>
    <mergeCell ref="GAL159:GAQ159"/>
    <mergeCell ref="GAR159:GAW159"/>
    <mergeCell ref="GAX159:GBC159"/>
    <mergeCell ref="GBD159:GBI159"/>
    <mergeCell ref="GBJ159:GBO159"/>
    <mergeCell ref="GBP159:GBU159"/>
    <mergeCell ref="FZB159:FZG159"/>
    <mergeCell ref="FZH159:FZM159"/>
    <mergeCell ref="FZN159:FZS159"/>
    <mergeCell ref="FZT159:FZY159"/>
    <mergeCell ref="FZZ159:GAE159"/>
    <mergeCell ref="GAF159:GAK159"/>
    <mergeCell ref="GFZ159:GGE159"/>
    <mergeCell ref="GGF159:GGK159"/>
    <mergeCell ref="GGL159:GGQ159"/>
    <mergeCell ref="GGR159:GGW159"/>
    <mergeCell ref="GGX159:GHC159"/>
    <mergeCell ref="GHD159:GHI159"/>
    <mergeCell ref="GEP159:GEU159"/>
    <mergeCell ref="GEV159:GFA159"/>
    <mergeCell ref="GFB159:GFG159"/>
    <mergeCell ref="GFH159:GFM159"/>
    <mergeCell ref="GFN159:GFS159"/>
    <mergeCell ref="GFT159:GFY159"/>
    <mergeCell ref="GDF159:GDK159"/>
    <mergeCell ref="GDL159:GDQ159"/>
    <mergeCell ref="GDR159:GDW159"/>
    <mergeCell ref="GDX159:GEC159"/>
    <mergeCell ref="GED159:GEI159"/>
    <mergeCell ref="GEJ159:GEO159"/>
    <mergeCell ref="GKD159:GKI159"/>
    <mergeCell ref="GKJ159:GKO159"/>
    <mergeCell ref="GKP159:GKU159"/>
    <mergeCell ref="GKV159:GLA159"/>
    <mergeCell ref="GLB159:GLG159"/>
    <mergeCell ref="GLH159:GLM159"/>
    <mergeCell ref="GIT159:GIY159"/>
    <mergeCell ref="GIZ159:GJE159"/>
    <mergeCell ref="GJF159:GJK159"/>
    <mergeCell ref="GJL159:GJQ159"/>
    <mergeCell ref="GJR159:GJW159"/>
    <mergeCell ref="GJX159:GKC159"/>
    <mergeCell ref="GHJ159:GHO159"/>
    <mergeCell ref="GHP159:GHU159"/>
    <mergeCell ref="GHV159:GIA159"/>
    <mergeCell ref="GIB159:GIG159"/>
    <mergeCell ref="GIH159:GIM159"/>
    <mergeCell ref="GIN159:GIS159"/>
    <mergeCell ref="GOH159:GOM159"/>
    <mergeCell ref="GON159:GOS159"/>
    <mergeCell ref="GOT159:GOY159"/>
    <mergeCell ref="GOZ159:GPE159"/>
    <mergeCell ref="GPF159:GPK159"/>
    <mergeCell ref="GPL159:GPQ159"/>
    <mergeCell ref="GMX159:GNC159"/>
    <mergeCell ref="GND159:GNI159"/>
    <mergeCell ref="GNJ159:GNO159"/>
    <mergeCell ref="GNP159:GNU159"/>
    <mergeCell ref="GNV159:GOA159"/>
    <mergeCell ref="GOB159:GOG159"/>
    <mergeCell ref="GLN159:GLS159"/>
    <mergeCell ref="GLT159:GLY159"/>
    <mergeCell ref="GLZ159:GME159"/>
    <mergeCell ref="GMF159:GMK159"/>
    <mergeCell ref="GML159:GMQ159"/>
    <mergeCell ref="GMR159:GMW159"/>
    <mergeCell ref="GSL159:GSQ159"/>
    <mergeCell ref="GSR159:GSW159"/>
    <mergeCell ref="GSX159:GTC159"/>
    <mergeCell ref="GTD159:GTI159"/>
    <mergeCell ref="GTJ159:GTO159"/>
    <mergeCell ref="GTP159:GTU159"/>
    <mergeCell ref="GRB159:GRG159"/>
    <mergeCell ref="GRH159:GRM159"/>
    <mergeCell ref="GRN159:GRS159"/>
    <mergeCell ref="GRT159:GRY159"/>
    <mergeCell ref="GRZ159:GSE159"/>
    <mergeCell ref="GSF159:GSK159"/>
    <mergeCell ref="GPR159:GPW159"/>
    <mergeCell ref="GPX159:GQC159"/>
    <mergeCell ref="GQD159:GQI159"/>
    <mergeCell ref="GQJ159:GQO159"/>
    <mergeCell ref="GQP159:GQU159"/>
    <mergeCell ref="GQV159:GRA159"/>
    <mergeCell ref="GWP159:GWU159"/>
    <mergeCell ref="GWV159:GXA159"/>
    <mergeCell ref="GXB159:GXG159"/>
    <mergeCell ref="GXH159:GXM159"/>
    <mergeCell ref="GXN159:GXS159"/>
    <mergeCell ref="GXT159:GXY159"/>
    <mergeCell ref="GVF159:GVK159"/>
    <mergeCell ref="GVL159:GVQ159"/>
    <mergeCell ref="GVR159:GVW159"/>
    <mergeCell ref="GVX159:GWC159"/>
    <mergeCell ref="GWD159:GWI159"/>
    <mergeCell ref="GWJ159:GWO159"/>
    <mergeCell ref="GTV159:GUA159"/>
    <mergeCell ref="GUB159:GUG159"/>
    <mergeCell ref="GUH159:GUM159"/>
    <mergeCell ref="GUN159:GUS159"/>
    <mergeCell ref="GUT159:GUY159"/>
    <mergeCell ref="GUZ159:GVE159"/>
    <mergeCell ref="HAT159:HAY159"/>
    <mergeCell ref="HAZ159:HBE159"/>
    <mergeCell ref="HBF159:HBK159"/>
    <mergeCell ref="HBL159:HBQ159"/>
    <mergeCell ref="HBR159:HBW159"/>
    <mergeCell ref="HBX159:HCC159"/>
    <mergeCell ref="GZJ159:GZO159"/>
    <mergeCell ref="GZP159:GZU159"/>
    <mergeCell ref="GZV159:HAA159"/>
    <mergeCell ref="HAB159:HAG159"/>
    <mergeCell ref="HAH159:HAM159"/>
    <mergeCell ref="HAN159:HAS159"/>
    <mergeCell ref="GXZ159:GYE159"/>
    <mergeCell ref="GYF159:GYK159"/>
    <mergeCell ref="GYL159:GYQ159"/>
    <mergeCell ref="GYR159:GYW159"/>
    <mergeCell ref="GYX159:GZC159"/>
    <mergeCell ref="GZD159:GZI159"/>
    <mergeCell ref="HEX159:HFC159"/>
    <mergeCell ref="HFD159:HFI159"/>
    <mergeCell ref="HFJ159:HFO159"/>
    <mergeCell ref="HFP159:HFU159"/>
    <mergeCell ref="HFV159:HGA159"/>
    <mergeCell ref="HGB159:HGG159"/>
    <mergeCell ref="HDN159:HDS159"/>
    <mergeCell ref="HDT159:HDY159"/>
    <mergeCell ref="HDZ159:HEE159"/>
    <mergeCell ref="HEF159:HEK159"/>
    <mergeCell ref="HEL159:HEQ159"/>
    <mergeCell ref="HER159:HEW159"/>
    <mergeCell ref="HCD159:HCI159"/>
    <mergeCell ref="HCJ159:HCO159"/>
    <mergeCell ref="HCP159:HCU159"/>
    <mergeCell ref="HCV159:HDA159"/>
    <mergeCell ref="HDB159:HDG159"/>
    <mergeCell ref="HDH159:HDM159"/>
    <mergeCell ref="HJB159:HJG159"/>
    <mergeCell ref="HJH159:HJM159"/>
    <mergeCell ref="HJN159:HJS159"/>
    <mergeCell ref="HJT159:HJY159"/>
    <mergeCell ref="HJZ159:HKE159"/>
    <mergeCell ref="HKF159:HKK159"/>
    <mergeCell ref="HHR159:HHW159"/>
    <mergeCell ref="HHX159:HIC159"/>
    <mergeCell ref="HID159:HII159"/>
    <mergeCell ref="HIJ159:HIO159"/>
    <mergeCell ref="HIP159:HIU159"/>
    <mergeCell ref="HIV159:HJA159"/>
    <mergeCell ref="HGH159:HGM159"/>
    <mergeCell ref="HGN159:HGS159"/>
    <mergeCell ref="HGT159:HGY159"/>
    <mergeCell ref="HGZ159:HHE159"/>
    <mergeCell ref="HHF159:HHK159"/>
    <mergeCell ref="HHL159:HHQ159"/>
    <mergeCell ref="HNF159:HNK159"/>
    <mergeCell ref="HNL159:HNQ159"/>
    <mergeCell ref="HNR159:HNW159"/>
    <mergeCell ref="HNX159:HOC159"/>
    <mergeCell ref="HOD159:HOI159"/>
    <mergeCell ref="HOJ159:HOO159"/>
    <mergeCell ref="HLV159:HMA159"/>
    <mergeCell ref="HMB159:HMG159"/>
    <mergeCell ref="HMH159:HMM159"/>
    <mergeCell ref="HMN159:HMS159"/>
    <mergeCell ref="HMT159:HMY159"/>
    <mergeCell ref="HMZ159:HNE159"/>
    <mergeCell ref="HKL159:HKQ159"/>
    <mergeCell ref="HKR159:HKW159"/>
    <mergeCell ref="HKX159:HLC159"/>
    <mergeCell ref="HLD159:HLI159"/>
    <mergeCell ref="HLJ159:HLO159"/>
    <mergeCell ref="HLP159:HLU159"/>
    <mergeCell ref="HRJ159:HRO159"/>
    <mergeCell ref="HRP159:HRU159"/>
    <mergeCell ref="HRV159:HSA159"/>
    <mergeCell ref="HSB159:HSG159"/>
    <mergeCell ref="HSH159:HSM159"/>
    <mergeCell ref="HSN159:HSS159"/>
    <mergeCell ref="HPZ159:HQE159"/>
    <mergeCell ref="HQF159:HQK159"/>
    <mergeCell ref="HQL159:HQQ159"/>
    <mergeCell ref="HQR159:HQW159"/>
    <mergeCell ref="HQX159:HRC159"/>
    <mergeCell ref="HRD159:HRI159"/>
    <mergeCell ref="HOP159:HOU159"/>
    <mergeCell ref="HOV159:HPA159"/>
    <mergeCell ref="HPB159:HPG159"/>
    <mergeCell ref="HPH159:HPM159"/>
    <mergeCell ref="HPN159:HPS159"/>
    <mergeCell ref="HPT159:HPY159"/>
    <mergeCell ref="HVN159:HVS159"/>
    <mergeCell ref="HVT159:HVY159"/>
    <mergeCell ref="HVZ159:HWE159"/>
    <mergeCell ref="HWF159:HWK159"/>
    <mergeCell ref="HWL159:HWQ159"/>
    <mergeCell ref="HWR159:HWW159"/>
    <mergeCell ref="HUD159:HUI159"/>
    <mergeCell ref="HUJ159:HUO159"/>
    <mergeCell ref="HUP159:HUU159"/>
    <mergeCell ref="HUV159:HVA159"/>
    <mergeCell ref="HVB159:HVG159"/>
    <mergeCell ref="HVH159:HVM159"/>
    <mergeCell ref="HST159:HSY159"/>
    <mergeCell ref="HSZ159:HTE159"/>
    <mergeCell ref="HTF159:HTK159"/>
    <mergeCell ref="HTL159:HTQ159"/>
    <mergeCell ref="HTR159:HTW159"/>
    <mergeCell ref="HTX159:HUC159"/>
    <mergeCell ref="HZR159:HZW159"/>
    <mergeCell ref="HZX159:IAC159"/>
    <mergeCell ref="IAD159:IAI159"/>
    <mergeCell ref="IAJ159:IAO159"/>
    <mergeCell ref="IAP159:IAU159"/>
    <mergeCell ref="IAV159:IBA159"/>
    <mergeCell ref="HYH159:HYM159"/>
    <mergeCell ref="HYN159:HYS159"/>
    <mergeCell ref="HYT159:HYY159"/>
    <mergeCell ref="HYZ159:HZE159"/>
    <mergeCell ref="HZF159:HZK159"/>
    <mergeCell ref="HZL159:HZQ159"/>
    <mergeCell ref="HWX159:HXC159"/>
    <mergeCell ref="HXD159:HXI159"/>
    <mergeCell ref="HXJ159:HXO159"/>
    <mergeCell ref="HXP159:HXU159"/>
    <mergeCell ref="HXV159:HYA159"/>
    <mergeCell ref="HYB159:HYG159"/>
    <mergeCell ref="IDV159:IEA159"/>
    <mergeCell ref="IEB159:IEG159"/>
    <mergeCell ref="IEH159:IEM159"/>
    <mergeCell ref="IEN159:IES159"/>
    <mergeCell ref="IET159:IEY159"/>
    <mergeCell ref="IEZ159:IFE159"/>
    <mergeCell ref="ICL159:ICQ159"/>
    <mergeCell ref="ICR159:ICW159"/>
    <mergeCell ref="ICX159:IDC159"/>
    <mergeCell ref="IDD159:IDI159"/>
    <mergeCell ref="IDJ159:IDO159"/>
    <mergeCell ref="IDP159:IDU159"/>
    <mergeCell ref="IBB159:IBG159"/>
    <mergeCell ref="IBH159:IBM159"/>
    <mergeCell ref="IBN159:IBS159"/>
    <mergeCell ref="IBT159:IBY159"/>
    <mergeCell ref="IBZ159:ICE159"/>
    <mergeCell ref="ICF159:ICK159"/>
    <mergeCell ref="IHZ159:IIE159"/>
    <mergeCell ref="IIF159:IIK159"/>
    <mergeCell ref="IIL159:IIQ159"/>
    <mergeCell ref="IIR159:IIW159"/>
    <mergeCell ref="IIX159:IJC159"/>
    <mergeCell ref="IJD159:IJI159"/>
    <mergeCell ref="IGP159:IGU159"/>
    <mergeCell ref="IGV159:IHA159"/>
    <mergeCell ref="IHB159:IHG159"/>
    <mergeCell ref="IHH159:IHM159"/>
    <mergeCell ref="IHN159:IHS159"/>
    <mergeCell ref="IHT159:IHY159"/>
    <mergeCell ref="IFF159:IFK159"/>
    <mergeCell ref="IFL159:IFQ159"/>
    <mergeCell ref="IFR159:IFW159"/>
    <mergeCell ref="IFX159:IGC159"/>
    <mergeCell ref="IGD159:IGI159"/>
    <mergeCell ref="IGJ159:IGO159"/>
    <mergeCell ref="IMD159:IMI159"/>
    <mergeCell ref="IMJ159:IMO159"/>
    <mergeCell ref="IMP159:IMU159"/>
    <mergeCell ref="IMV159:INA159"/>
    <mergeCell ref="INB159:ING159"/>
    <mergeCell ref="INH159:INM159"/>
    <mergeCell ref="IKT159:IKY159"/>
    <mergeCell ref="IKZ159:ILE159"/>
    <mergeCell ref="ILF159:ILK159"/>
    <mergeCell ref="ILL159:ILQ159"/>
    <mergeCell ref="ILR159:ILW159"/>
    <mergeCell ref="ILX159:IMC159"/>
    <mergeCell ref="IJJ159:IJO159"/>
    <mergeCell ref="IJP159:IJU159"/>
    <mergeCell ref="IJV159:IKA159"/>
    <mergeCell ref="IKB159:IKG159"/>
    <mergeCell ref="IKH159:IKM159"/>
    <mergeCell ref="IKN159:IKS159"/>
    <mergeCell ref="IQH159:IQM159"/>
    <mergeCell ref="IQN159:IQS159"/>
    <mergeCell ref="IQT159:IQY159"/>
    <mergeCell ref="IQZ159:IRE159"/>
    <mergeCell ref="IRF159:IRK159"/>
    <mergeCell ref="IRL159:IRQ159"/>
    <mergeCell ref="IOX159:IPC159"/>
    <mergeCell ref="IPD159:IPI159"/>
    <mergeCell ref="IPJ159:IPO159"/>
    <mergeCell ref="IPP159:IPU159"/>
    <mergeCell ref="IPV159:IQA159"/>
    <mergeCell ref="IQB159:IQG159"/>
    <mergeCell ref="INN159:INS159"/>
    <mergeCell ref="INT159:INY159"/>
    <mergeCell ref="INZ159:IOE159"/>
    <mergeCell ref="IOF159:IOK159"/>
    <mergeCell ref="IOL159:IOQ159"/>
    <mergeCell ref="IOR159:IOW159"/>
    <mergeCell ref="IUL159:IUQ159"/>
    <mergeCell ref="IUR159:IUW159"/>
    <mergeCell ref="IUX159:IVC159"/>
    <mergeCell ref="IVD159:IVI159"/>
    <mergeCell ref="IVJ159:IVO159"/>
    <mergeCell ref="IVP159:IVU159"/>
    <mergeCell ref="ITB159:ITG159"/>
    <mergeCell ref="ITH159:ITM159"/>
    <mergeCell ref="ITN159:ITS159"/>
    <mergeCell ref="ITT159:ITY159"/>
    <mergeCell ref="ITZ159:IUE159"/>
    <mergeCell ref="IUF159:IUK159"/>
    <mergeCell ref="IRR159:IRW159"/>
    <mergeCell ref="IRX159:ISC159"/>
    <mergeCell ref="ISD159:ISI159"/>
    <mergeCell ref="ISJ159:ISO159"/>
    <mergeCell ref="ISP159:ISU159"/>
    <mergeCell ref="ISV159:ITA159"/>
    <mergeCell ref="IYP159:IYU159"/>
    <mergeCell ref="IYV159:IZA159"/>
    <mergeCell ref="IZB159:IZG159"/>
    <mergeCell ref="IZH159:IZM159"/>
    <mergeCell ref="IZN159:IZS159"/>
    <mergeCell ref="IZT159:IZY159"/>
    <mergeCell ref="IXF159:IXK159"/>
    <mergeCell ref="IXL159:IXQ159"/>
    <mergeCell ref="IXR159:IXW159"/>
    <mergeCell ref="IXX159:IYC159"/>
    <mergeCell ref="IYD159:IYI159"/>
    <mergeCell ref="IYJ159:IYO159"/>
    <mergeCell ref="IVV159:IWA159"/>
    <mergeCell ref="IWB159:IWG159"/>
    <mergeCell ref="IWH159:IWM159"/>
    <mergeCell ref="IWN159:IWS159"/>
    <mergeCell ref="IWT159:IWY159"/>
    <mergeCell ref="IWZ159:IXE159"/>
    <mergeCell ref="JCT159:JCY159"/>
    <mergeCell ref="JCZ159:JDE159"/>
    <mergeCell ref="JDF159:JDK159"/>
    <mergeCell ref="JDL159:JDQ159"/>
    <mergeCell ref="JDR159:JDW159"/>
    <mergeCell ref="JDX159:JEC159"/>
    <mergeCell ref="JBJ159:JBO159"/>
    <mergeCell ref="JBP159:JBU159"/>
    <mergeCell ref="JBV159:JCA159"/>
    <mergeCell ref="JCB159:JCG159"/>
    <mergeCell ref="JCH159:JCM159"/>
    <mergeCell ref="JCN159:JCS159"/>
    <mergeCell ref="IZZ159:JAE159"/>
    <mergeCell ref="JAF159:JAK159"/>
    <mergeCell ref="JAL159:JAQ159"/>
    <mergeCell ref="JAR159:JAW159"/>
    <mergeCell ref="JAX159:JBC159"/>
    <mergeCell ref="JBD159:JBI159"/>
    <mergeCell ref="JGX159:JHC159"/>
    <mergeCell ref="JHD159:JHI159"/>
    <mergeCell ref="JHJ159:JHO159"/>
    <mergeCell ref="JHP159:JHU159"/>
    <mergeCell ref="JHV159:JIA159"/>
    <mergeCell ref="JIB159:JIG159"/>
    <mergeCell ref="JFN159:JFS159"/>
    <mergeCell ref="JFT159:JFY159"/>
    <mergeCell ref="JFZ159:JGE159"/>
    <mergeCell ref="JGF159:JGK159"/>
    <mergeCell ref="JGL159:JGQ159"/>
    <mergeCell ref="JGR159:JGW159"/>
    <mergeCell ref="JED159:JEI159"/>
    <mergeCell ref="JEJ159:JEO159"/>
    <mergeCell ref="JEP159:JEU159"/>
    <mergeCell ref="JEV159:JFA159"/>
    <mergeCell ref="JFB159:JFG159"/>
    <mergeCell ref="JFH159:JFM159"/>
    <mergeCell ref="JLB159:JLG159"/>
    <mergeCell ref="JLH159:JLM159"/>
    <mergeCell ref="JLN159:JLS159"/>
    <mergeCell ref="JLT159:JLY159"/>
    <mergeCell ref="JLZ159:JME159"/>
    <mergeCell ref="JMF159:JMK159"/>
    <mergeCell ref="JJR159:JJW159"/>
    <mergeCell ref="JJX159:JKC159"/>
    <mergeCell ref="JKD159:JKI159"/>
    <mergeCell ref="JKJ159:JKO159"/>
    <mergeCell ref="JKP159:JKU159"/>
    <mergeCell ref="JKV159:JLA159"/>
    <mergeCell ref="JIH159:JIM159"/>
    <mergeCell ref="JIN159:JIS159"/>
    <mergeCell ref="JIT159:JIY159"/>
    <mergeCell ref="JIZ159:JJE159"/>
    <mergeCell ref="JJF159:JJK159"/>
    <mergeCell ref="JJL159:JJQ159"/>
    <mergeCell ref="JPF159:JPK159"/>
    <mergeCell ref="JPL159:JPQ159"/>
    <mergeCell ref="JPR159:JPW159"/>
    <mergeCell ref="JPX159:JQC159"/>
    <mergeCell ref="JQD159:JQI159"/>
    <mergeCell ref="JQJ159:JQO159"/>
    <mergeCell ref="JNV159:JOA159"/>
    <mergeCell ref="JOB159:JOG159"/>
    <mergeCell ref="JOH159:JOM159"/>
    <mergeCell ref="JON159:JOS159"/>
    <mergeCell ref="JOT159:JOY159"/>
    <mergeCell ref="JOZ159:JPE159"/>
    <mergeCell ref="JML159:JMQ159"/>
    <mergeCell ref="JMR159:JMW159"/>
    <mergeCell ref="JMX159:JNC159"/>
    <mergeCell ref="JND159:JNI159"/>
    <mergeCell ref="JNJ159:JNO159"/>
    <mergeCell ref="JNP159:JNU159"/>
    <mergeCell ref="JTJ159:JTO159"/>
    <mergeCell ref="JTP159:JTU159"/>
    <mergeCell ref="JTV159:JUA159"/>
    <mergeCell ref="JUB159:JUG159"/>
    <mergeCell ref="JUH159:JUM159"/>
    <mergeCell ref="JUN159:JUS159"/>
    <mergeCell ref="JRZ159:JSE159"/>
    <mergeCell ref="JSF159:JSK159"/>
    <mergeCell ref="JSL159:JSQ159"/>
    <mergeCell ref="JSR159:JSW159"/>
    <mergeCell ref="JSX159:JTC159"/>
    <mergeCell ref="JTD159:JTI159"/>
    <mergeCell ref="JQP159:JQU159"/>
    <mergeCell ref="JQV159:JRA159"/>
    <mergeCell ref="JRB159:JRG159"/>
    <mergeCell ref="JRH159:JRM159"/>
    <mergeCell ref="JRN159:JRS159"/>
    <mergeCell ref="JRT159:JRY159"/>
    <mergeCell ref="JXN159:JXS159"/>
    <mergeCell ref="JXT159:JXY159"/>
    <mergeCell ref="JXZ159:JYE159"/>
    <mergeCell ref="JYF159:JYK159"/>
    <mergeCell ref="JYL159:JYQ159"/>
    <mergeCell ref="JYR159:JYW159"/>
    <mergeCell ref="JWD159:JWI159"/>
    <mergeCell ref="JWJ159:JWO159"/>
    <mergeCell ref="JWP159:JWU159"/>
    <mergeCell ref="JWV159:JXA159"/>
    <mergeCell ref="JXB159:JXG159"/>
    <mergeCell ref="JXH159:JXM159"/>
    <mergeCell ref="JUT159:JUY159"/>
    <mergeCell ref="JUZ159:JVE159"/>
    <mergeCell ref="JVF159:JVK159"/>
    <mergeCell ref="JVL159:JVQ159"/>
    <mergeCell ref="JVR159:JVW159"/>
    <mergeCell ref="JVX159:JWC159"/>
    <mergeCell ref="KBR159:KBW159"/>
    <mergeCell ref="KBX159:KCC159"/>
    <mergeCell ref="KCD159:KCI159"/>
    <mergeCell ref="KCJ159:KCO159"/>
    <mergeCell ref="KCP159:KCU159"/>
    <mergeCell ref="KCV159:KDA159"/>
    <mergeCell ref="KAH159:KAM159"/>
    <mergeCell ref="KAN159:KAS159"/>
    <mergeCell ref="KAT159:KAY159"/>
    <mergeCell ref="KAZ159:KBE159"/>
    <mergeCell ref="KBF159:KBK159"/>
    <mergeCell ref="KBL159:KBQ159"/>
    <mergeCell ref="JYX159:JZC159"/>
    <mergeCell ref="JZD159:JZI159"/>
    <mergeCell ref="JZJ159:JZO159"/>
    <mergeCell ref="JZP159:JZU159"/>
    <mergeCell ref="JZV159:KAA159"/>
    <mergeCell ref="KAB159:KAG159"/>
    <mergeCell ref="KFV159:KGA159"/>
    <mergeCell ref="KGB159:KGG159"/>
    <mergeCell ref="KGH159:KGM159"/>
    <mergeCell ref="KGN159:KGS159"/>
    <mergeCell ref="KGT159:KGY159"/>
    <mergeCell ref="KGZ159:KHE159"/>
    <mergeCell ref="KEL159:KEQ159"/>
    <mergeCell ref="KER159:KEW159"/>
    <mergeCell ref="KEX159:KFC159"/>
    <mergeCell ref="KFD159:KFI159"/>
    <mergeCell ref="KFJ159:KFO159"/>
    <mergeCell ref="KFP159:KFU159"/>
    <mergeCell ref="KDB159:KDG159"/>
    <mergeCell ref="KDH159:KDM159"/>
    <mergeCell ref="KDN159:KDS159"/>
    <mergeCell ref="KDT159:KDY159"/>
    <mergeCell ref="KDZ159:KEE159"/>
    <mergeCell ref="KEF159:KEK159"/>
    <mergeCell ref="KJZ159:KKE159"/>
    <mergeCell ref="KKF159:KKK159"/>
    <mergeCell ref="KKL159:KKQ159"/>
    <mergeCell ref="KKR159:KKW159"/>
    <mergeCell ref="KKX159:KLC159"/>
    <mergeCell ref="KLD159:KLI159"/>
    <mergeCell ref="KIP159:KIU159"/>
    <mergeCell ref="KIV159:KJA159"/>
    <mergeCell ref="KJB159:KJG159"/>
    <mergeCell ref="KJH159:KJM159"/>
    <mergeCell ref="KJN159:KJS159"/>
    <mergeCell ref="KJT159:KJY159"/>
    <mergeCell ref="KHF159:KHK159"/>
    <mergeCell ref="KHL159:KHQ159"/>
    <mergeCell ref="KHR159:KHW159"/>
    <mergeCell ref="KHX159:KIC159"/>
    <mergeCell ref="KID159:KII159"/>
    <mergeCell ref="KIJ159:KIO159"/>
    <mergeCell ref="KOD159:KOI159"/>
    <mergeCell ref="KOJ159:KOO159"/>
    <mergeCell ref="KOP159:KOU159"/>
    <mergeCell ref="KOV159:KPA159"/>
    <mergeCell ref="KPB159:KPG159"/>
    <mergeCell ref="KPH159:KPM159"/>
    <mergeCell ref="KMT159:KMY159"/>
    <mergeCell ref="KMZ159:KNE159"/>
    <mergeCell ref="KNF159:KNK159"/>
    <mergeCell ref="KNL159:KNQ159"/>
    <mergeCell ref="KNR159:KNW159"/>
    <mergeCell ref="KNX159:KOC159"/>
    <mergeCell ref="KLJ159:KLO159"/>
    <mergeCell ref="KLP159:KLU159"/>
    <mergeCell ref="KLV159:KMA159"/>
    <mergeCell ref="KMB159:KMG159"/>
    <mergeCell ref="KMH159:KMM159"/>
    <mergeCell ref="KMN159:KMS159"/>
    <mergeCell ref="KSH159:KSM159"/>
    <mergeCell ref="KSN159:KSS159"/>
    <mergeCell ref="KST159:KSY159"/>
    <mergeCell ref="KSZ159:KTE159"/>
    <mergeCell ref="KTF159:KTK159"/>
    <mergeCell ref="KTL159:KTQ159"/>
    <mergeCell ref="KQX159:KRC159"/>
    <mergeCell ref="KRD159:KRI159"/>
    <mergeCell ref="KRJ159:KRO159"/>
    <mergeCell ref="KRP159:KRU159"/>
    <mergeCell ref="KRV159:KSA159"/>
    <mergeCell ref="KSB159:KSG159"/>
    <mergeCell ref="KPN159:KPS159"/>
    <mergeCell ref="KPT159:KPY159"/>
    <mergeCell ref="KPZ159:KQE159"/>
    <mergeCell ref="KQF159:KQK159"/>
    <mergeCell ref="KQL159:KQQ159"/>
    <mergeCell ref="KQR159:KQW159"/>
    <mergeCell ref="KWL159:KWQ159"/>
    <mergeCell ref="KWR159:KWW159"/>
    <mergeCell ref="KWX159:KXC159"/>
    <mergeCell ref="KXD159:KXI159"/>
    <mergeCell ref="KXJ159:KXO159"/>
    <mergeCell ref="KXP159:KXU159"/>
    <mergeCell ref="KVB159:KVG159"/>
    <mergeCell ref="KVH159:KVM159"/>
    <mergeCell ref="KVN159:KVS159"/>
    <mergeCell ref="KVT159:KVY159"/>
    <mergeCell ref="KVZ159:KWE159"/>
    <mergeCell ref="KWF159:KWK159"/>
    <mergeCell ref="KTR159:KTW159"/>
    <mergeCell ref="KTX159:KUC159"/>
    <mergeCell ref="KUD159:KUI159"/>
    <mergeCell ref="KUJ159:KUO159"/>
    <mergeCell ref="KUP159:KUU159"/>
    <mergeCell ref="KUV159:KVA159"/>
    <mergeCell ref="LAP159:LAU159"/>
    <mergeCell ref="LAV159:LBA159"/>
    <mergeCell ref="LBB159:LBG159"/>
    <mergeCell ref="LBH159:LBM159"/>
    <mergeCell ref="LBN159:LBS159"/>
    <mergeCell ref="LBT159:LBY159"/>
    <mergeCell ref="KZF159:KZK159"/>
    <mergeCell ref="KZL159:KZQ159"/>
    <mergeCell ref="KZR159:KZW159"/>
    <mergeCell ref="KZX159:LAC159"/>
    <mergeCell ref="LAD159:LAI159"/>
    <mergeCell ref="LAJ159:LAO159"/>
    <mergeCell ref="KXV159:KYA159"/>
    <mergeCell ref="KYB159:KYG159"/>
    <mergeCell ref="KYH159:KYM159"/>
    <mergeCell ref="KYN159:KYS159"/>
    <mergeCell ref="KYT159:KYY159"/>
    <mergeCell ref="KYZ159:KZE159"/>
    <mergeCell ref="LET159:LEY159"/>
    <mergeCell ref="LEZ159:LFE159"/>
    <mergeCell ref="LFF159:LFK159"/>
    <mergeCell ref="LFL159:LFQ159"/>
    <mergeCell ref="LFR159:LFW159"/>
    <mergeCell ref="LFX159:LGC159"/>
    <mergeCell ref="LDJ159:LDO159"/>
    <mergeCell ref="LDP159:LDU159"/>
    <mergeCell ref="LDV159:LEA159"/>
    <mergeCell ref="LEB159:LEG159"/>
    <mergeCell ref="LEH159:LEM159"/>
    <mergeCell ref="LEN159:LES159"/>
    <mergeCell ref="LBZ159:LCE159"/>
    <mergeCell ref="LCF159:LCK159"/>
    <mergeCell ref="LCL159:LCQ159"/>
    <mergeCell ref="LCR159:LCW159"/>
    <mergeCell ref="LCX159:LDC159"/>
    <mergeCell ref="LDD159:LDI159"/>
    <mergeCell ref="LIX159:LJC159"/>
    <mergeCell ref="LJD159:LJI159"/>
    <mergeCell ref="LJJ159:LJO159"/>
    <mergeCell ref="LJP159:LJU159"/>
    <mergeCell ref="LJV159:LKA159"/>
    <mergeCell ref="LKB159:LKG159"/>
    <mergeCell ref="LHN159:LHS159"/>
    <mergeCell ref="LHT159:LHY159"/>
    <mergeCell ref="LHZ159:LIE159"/>
    <mergeCell ref="LIF159:LIK159"/>
    <mergeCell ref="LIL159:LIQ159"/>
    <mergeCell ref="LIR159:LIW159"/>
    <mergeCell ref="LGD159:LGI159"/>
    <mergeCell ref="LGJ159:LGO159"/>
    <mergeCell ref="LGP159:LGU159"/>
    <mergeCell ref="LGV159:LHA159"/>
    <mergeCell ref="LHB159:LHG159"/>
    <mergeCell ref="LHH159:LHM159"/>
    <mergeCell ref="LNB159:LNG159"/>
    <mergeCell ref="LNH159:LNM159"/>
    <mergeCell ref="LNN159:LNS159"/>
    <mergeCell ref="LNT159:LNY159"/>
    <mergeCell ref="LNZ159:LOE159"/>
    <mergeCell ref="LOF159:LOK159"/>
    <mergeCell ref="LLR159:LLW159"/>
    <mergeCell ref="LLX159:LMC159"/>
    <mergeCell ref="LMD159:LMI159"/>
    <mergeCell ref="LMJ159:LMO159"/>
    <mergeCell ref="LMP159:LMU159"/>
    <mergeCell ref="LMV159:LNA159"/>
    <mergeCell ref="LKH159:LKM159"/>
    <mergeCell ref="LKN159:LKS159"/>
    <mergeCell ref="LKT159:LKY159"/>
    <mergeCell ref="LKZ159:LLE159"/>
    <mergeCell ref="LLF159:LLK159"/>
    <mergeCell ref="LLL159:LLQ159"/>
    <mergeCell ref="LRF159:LRK159"/>
    <mergeCell ref="LRL159:LRQ159"/>
    <mergeCell ref="LRR159:LRW159"/>
    <mergeCell ref="LRX159:LSC159"/>
    <mergeCell ref="LSD159:LSI159"/>
    <mergeCell ref="LSJ159:LSO159"/>
    <mergeCell ref="LPV159:LQA159"/>
    <mergeCell ref="LQB159:LQG159"/>
    <mergeCell ref="LQH159:LQM159"/>
    <mergeCell ref="LQN159:LQS159"/>
    <mergeCell ref="LQT159:LQY159"/>
    <mergeCell ref="LQZ159:LRE159"/>
    <mergeCell ref="LOL159:LOQ159"/>
    <mergeCell ref="LOR159:LOW159"/>
    <mergeCell ref="LOX159:LPC159"/>
    <mergeCell ref="LPD159:LPI159"/>
    <mergeCell ref="LPJ159:LPO159"/>
    <mergeCell ref="LPP159:LPU159"/>
    <mergeCell ref="LVJ159:LVO159"/>
    <mergeCell ref="LVP159:LVU159"/>
    <mergeCell ref="LVV159:LWA159"/>
    <mergeCell ref="LWB159:LWG159"/>
    <mergeCell ref="LWH159:LWM159"/>
    <mergeCell ref="LWN159:LWS159"/>
    <mergeCell ref="LTZ159:LUE159"/>
    <mergeCell ref="LUF159:LUK159"/>
    <mergeCell ref="LUL159:LUQ159"/>
    <mergeCell ref="LUR159:LUW159"/>
    <mergeCell ref="LUX159:LVC159"/>
    <mergeCell ref="LVD159:LVI159"/>
    <mergeCell ref="LSP159:LSU159"/>
    <mergeCell ref="LSV159:LTA159"/>
    <mergeCell ref="LTB159:LTG159"/>
    <mergeCell ref="LTH159:LTM159"/>
    <mergeCell ref="LTN159:LTS159"/>
    <mergeCell ref="LTT159:LTY159"/>
    <mergeCell ref="LZN159:LZS159"/>
    <mergeCell ref="LZT159:LZY159"/>
    <mergeCell ref="LZZ159:MAE159"/>
    <mergeCell ref="MAF159:MAK159"/>
    <mergeCell ref="MAL159:MAQ159"/>
    <mergeCell ref="MAR159:MAW159"/>
    <mergeCell ref="LYD159:LYI159"/>
    <mergeCell ref="LYJ159:LYO159"/>
    <mergeCell ref="LYP159:LYU159"/>
    <mergeCell ref="LYV159:LZA159"/>
    <mergeCell ref="LZB159:LZG159"/>
    <mergeCell ref="LZH159:LZM159"/>
    <mergeCell ref="LWT159:LWY159"/>
    <mergeCell ref="LWZ159:LXE159"/>
    <mergeCell ref="LXF159:LXK159"/>
    <mergeCell ref="LXL159:LXQ159"/>
    <mergeCell ref="LXR159:LXW159"/>
    <mergeCell ref="LXX159:LYC159"/>
    <mergeCell ref="MDR159:MDW159"/>
    <mergeCell ref="MDX159:MEC159"/>
    <mergeCell ref="MED159:MEI159"/>
    <mergeCell ref="MEJ159:MEO159"/>
    <mergeCell ref="MEP159:MEU159"/>
    <mergeCell ref="MEV159:MFA159"/>
    <mergeCell ref="MCH159:MCM159"/>
    <mergeCell ref="MCN159:MCS159"/>
    <mergeCell ref="MCT159:MCY159"/>
    <mergeCell ref="MCZ159:MDE159"/>
    <mergeCell ref="MDF159:MDK159"/>
    <mergeCell ref="MDL159:MDQ159"/>
    <mergeCell ref="MAX159:MBC159"/>
    <mergeCell ref="MBD159:MBI159"/>
    <mergeCell ref="MBJ159:MBO159"/>
    <mergeCell ref="MBP159:MBU159"/>
    <mergeCell ref="MBV159:MCA159"/>
    <mergeCell ref="MCB159:MCG159"/>
    <mergeCell ref="MHV159:MIA159"/>
    <mergeCell ref="MIB159:MIG159"/>
    <mergeCell ref="MIH159:MIM159"/>
    <mergeCell ref="MIN159:MIS159"/>
    <mergeCell ref="MIT159:MIY159"/>
    <mergeCell ref="MIZ159:MJE159"/>
    <mergeCell ref="MGL159:MGQ159"/>
    <mergeCell ref="MGR159:MGW159"/>
    <mergeCell ref="MGX159:MHC159"/>
    <mergeCell ref="MHD159:MHI159"/>
    <mergeCell ref="MHJ159:MHO159"/>
    <mergeCell ref="MHP159:MHU159"/>
    <mergeCell ref="MFB159:MFG159"/>
    <mergeCell ref="MFH159:MFM159"/>
    <mergeCell ref="MFN159:MFS159"/>
    <mergeCell ref="MFT159:MFY159"/>
    <mergeCell ref="MFZ159:MGE159"/>
    <mergeCell ref="MGF159:MGK159"/>
    <mergeCell ref="MLZ159:MME159"/>
    <mergeCell ref="MMF159:MMK159"/>
    <mergeCell ref="MML159:MMQ159"/>
    <mergeCell ref="MMR159:MMW159"/>
    <mergeCell ref="MMX159:MNC159"/>
    <mergeCell ref="MND159:MNI159"/>
    <mergeCell ref="MKP159:MKU159"/>
    <mergeCell ref="MKV159:MLA159"/>
    <mergeCell ref="MLB159:MLG159"/>
    <mergeCell ref="MLH159:MLM159"/>
    <mergeCell ref="MLN159:MLS159"/>
    <mergeCell ref="MLT159:MLY159"/>
    <mergeCell ref="MJF159:MJK159"/>
    <mergeCell ref="MJL159:MJQ159"/>
    <mergeCell ref="MJR159:MJW159"/>
    <mergeCell ref="MJX159:MKC159"/>
    <mergeCell ref="MKD159:MKI159"/>
    <mergeCell ref="MKJ159:MKO159"/>
    <mergeCell ref="MQD159:MQI159"/>
    <mergeCell ref="MQJ159:MQO159"/>
    <mergeCell ref="MQP159:MQU159"/>
    <mergeCell ref="MQV159:MRA159"/>
    <mergeCell ref="MRB159:MRG159"/>
    <mergeCell ref="MRH159:MRM159"/>
    <mergeCell ref="MOT159:MOY159"/>
    <mergeCell ref="MOZ159:MPE159"/>
    <mergeCell ref="MPF159:MPK159"/>
    <mergeCell ref="MPL159:MPQ159"/>
    <mergeCell ref="MPR159:MPW159"/>
    <mergeCell ref="MPX159:MQC159"/>
    <mergeCell ref="MNJ159:MNO159"/>
    <mergeCell ref="MNP159:MNU159"/>
    <mergeCell ref="MNV159:MOA159"/>
    <mergeCell ref="MOB159:MOG159"/>
    <mergeCell ref="MOH159:MOM159"/>
    <mergeCell ref="MON159:MOS159"/>
    <mergeCell ref="MUH159:MUM159"/>
    <mergeCell ref="MUN159:MUS159"/>
    <mergeCell ref="MUT159:MUY159"/>
    <mergeCell ref="MUZ159:MVE159"/>
    <mergeCell ref="MVF159:MVK159"/>
    <mergeCell ref="MVL159:MVQ159"/>
    <mergeCell ref="MSX159:MTC159"/>
    <mergeCell ref="MTD159:MTI159"/>
    <mergeCell ref="MTJ159:MTO159"/>
    <mergeCell ref="MTP159:MTU159"/>
    <mergeCell ref="MTV159:MUA159"/>
    <mergeCell ref="MUB159:MUG159"/>
    <mergeCell ref="MRN159:MRS159"/>
    <mergeCell ref="MRT159:MRY159"/>
    <mergeCell ref="MRZ159:MSE159"/>
    <mergeCell ref="MSF159:MSK159"/>
    <mergeCell ref="MSL159:MSQ159"/>
    <mergeCell ref="MSR159:MSW159"/>
    <mergeCell ref="MYL159:MYQ159"/>
    <mergeCell ref="MYR159:MYW159"/>
    <mergeCell ref="MYX159:MZC159"/>
    <mergeCell ref="MZD159:MZI159"/>
    <mergeCell ref="MZJ159:MZO159"/>
    <mergeCell ref="MZP159:MZU159"/>
    <mergeCell ref="MXB159:MXG159"/>
    <mergeCell ref="MXH159:MXM159"/>
    <mergeCell ref="MXN159:MXS159"/>
    <mergeCell ref="MXT159:MXY159"/>
    <mergeCell ref="MXZ159:MYE159"/>
    <mergeCell ref="MYF159:MYK159"/>
    <mergeCell ref="MVR159:MVW159"/>
    <mergeCell ref="MVX159:MWC159"/>
    <mergeCell ref="MWD159:MWI159"/>
    <mergeCell ref="MWJ159:MWO159"/>
    <mergeCell ref="MWP159:MWU159"/>
    <mergeCell ref="MWV159:MXA159"/>
    <mergeCell ref="NCP159:NCU159"/>
    <mergeCell ref="NCV159:NDA159"/>
    <mergeCell ref="NDB159:NDG159"/>
    <mergeCell ref="NDH159:NDM159"/>
    <mergeCell ref="NDN159:NDS159"/>
    <mergeCell ref="NDT159:NDY159"/>
    <mergeCell ref="NBF159:NBK159"/>
    <mergeCell ref="NBL159:NBQ159"/>
    <mergeCell ref="NBR159:NBW159"/>
    <mergeCell ref="NBX159:NCC159"/>
    <mergeCell ref="NCD159:NCI159"/>
    <mergeCell ref="NCJ159:NCO159"/>
    <mergeCell ref="MZV159:NAA159"/>
    <mergeCell ref="NAB159:NAG159"/>
    <mergeCell ref="NAH159:NAM159"/>
    <mergeCell ref="NAN159:NAS159"/>
    <mergeCell ref="NAT159:NAY159"/>
    <mergeCell ref="NAZ159:NBE159"/>
    <mergeCell ref="NGT159:NGY159"/>
    <mergeCell ref="NGZ159:NHE159"/>
    <mergeCell ref="NHF159:NHK159"/>
    <mergeCell ref="NHL159:NHQ159"/>
    <mergeCell ref="NHR159:NHW159"/>
    <mergeCell ref="NHX159:NIC159"/>
    <mergeCell ref="NFJ159:NFO159"/>
    <mergeCell ref="NFP159:NFU159"/>
    <mergeCell ref="NFV159:NGA159"/>
    <mergeCell ref="NGB159:NGG159"/>
    <mergeCell ref="NGH159:NGM159"/>
    <mergeCell ref="NGN159:NGS159"/>
    <mergeCell ref="NDZ159:NEE159"/>
    <mergeCell ref="NEF159:NEK159"/>
    <mergeCell ref="NEL159:NEQ159"/>
    <mergeCell ref="NER159:NEW159"/>
    <mergeCell ref="NEX159:NFC159"/>
    <mergeCell ref="NFD159:NFI159"/>
    <mergeCell ref="NKX159:NLC159"/>
    <mergeCell ref="NLD159:NLI159"/>
    <mergeCell ref="NLJ159:NLO159"/>
    <mergeCell ref="NLP159:NLU159"/>
    <mergeCell ref="NLV159:NMA159"/>
    <mergeCell ref="NMB159:NMG159"/>
    <mergeCell ref="NJN159:NJS159"/>
    <mergeCell ref="NJT159:NJY159"/>
    <mergeCell ref="NJZ159:NKE159"/>
    <mergeCell ref="NKF159:NKK159"/>
    <mergeCell ref="NKL159:NKQ159"/>
    <mergeCell ref="NKR159:NKW159"/>
    <mergeCell ref="NID159:NII159"/>
    <mergeCell ref="NIJ159:NIO159"/>
    <mergeCell ref="NIP159:NIU159"/>
    <mergeCell ref="NIV159:NJA159"/>
    <mergeCell ref="NJB159:NJG159"/>
    <mergeCell ref="NJH159:NJM159"/>
    <mergeCell ref="NPB159:NPG159"/>
    <mergeCell ref="NPH159:NPM159"/>
    <mergeCell ref="NPN159:NPS159"/>
    <mergeCell ref="NPT159:NPY159"/>
    <mergeCell ref="NPZ159:NQE159"/>
    <mergeCell ref="NQF159:NQK159"/>
    <mergeCell ref="NNR159:NNW159"/>
    <mergeCell ref="NNX159:NOC159"/>
    <mergeCell ref="NOD159:NOI159"/>
    <mergeCell ref="NOJ159:NOO159"/>
    <mergeCell ref="NOP159:NOU159"/>
    <mergeCell ref="NOV159:NPA159"/>
    <mergeCell ref="NMH159:NMM159"/>
    <mergeCell ref="NMN159:NMS159"/>
    <mergeCell ref="NMT159:NMY159"/>
    <mergeCell ref="NMZ159:NNE159"/>
    <mergeCell ref="NNF159:NNK159"/>
    <mergeCell ref="NNL159:NNQ159"/>
    <mergeCell ref="NTF159:NTK159"/>
    <mergeCell ref="NTL159:NTQ159"/>
    <mergeCell ref="NTR159:NTW159"/>
    <mergeCell ref="NTX159:NUC159"/>
    <mergeCell ref="NUD159:NUI159"/>
    <mergeCell ref="NUJ159:NUO159"/>
    <mergeCell ref="NRV159:NSA159"/>
    <mergeCell ref="NSB159:NSG159"/>
    <mergeCell ref="NSH159:NSM159"/>
    <mergeCell ref="NSN159:NSS159"/>
    <mergeCell ref="NST159:NSY159"/>
    <mergeCell ref="NSZ159:NTE159"/>
    <mergeCell ref="NQL159:NQQ159"/>
    <mergeCell ref="NQR159:NQW159"/>
    <mergeCell ref="NQX159:NRC159"/>
    <mergeCell ref="NRD159:NRI159"/>
    <mergeCell ref="NRJ159:NRO159"/>
    <mergeCell ref="NRP159:NRU159"/>
    <mergeCell ref="NXJ159:NXO159"/>
    <mergeCell ref="NXP159:NXU159"/>
    <mergeCell ref="NXV159:NYA159"/>
    <mergeCell ref="NYB159:NYG159"/>
    <mergeCell ref="NYH159:NYM159"/>
    <mergeCell ref="NYN159:NYS159"/>
    <mergeCell ref="NVZ159:NWE159"/>
    <mergeCell ref="NWF159:NWK159"/>
    <mergeCell ref="NWL159:NWQ159"/>
    <mergeCell ref="NWR159:NWW159"/>
    <mergeCell ref="NWX159:NXC159"/>
    <mergeCell ref="NXD159:NXI159"/>
    <mergeCell ref="NUP159:NUU159"/>
    <mergeCell ref="NUV159:NVA159"/>
    <mergeCell ref="NVB159:NVG159"/>
    <mergeCell ref="NVH159:NVM159"/>
    <mergeCell ref="NVN159:NVS159"/>
    <mergeCell ref="NVT159:NVY159"/>
    <mergeCell ref="OBN159:OBS159"/>
    <mergeCell ref="OBT159:OBY159"/>
    <mergeCell ref="OBZ159:OCE159"/>
    <mergeCell ref="OCF159:OCK159"/>
    <mergeCell ref="OCL159:OCQ159"/>
    <mergeCell ref="OCR159:OCW159"/>
    <mergeCell ref="OAD159:OAI159"/>
    <mergeCell ref="OAJ159:OAO159"/>
    <mergeCell ref="OAP159:OAU159"/>
    <mergeCell ref="OAV159:OBA159"/>
    <mergeCell ref="OBB159:OBG159"/>
    <mergeCell ref="OBH159:OBM159"/>
    <mergeCell ref="NYT159:NYY159"/>
    <mergeCell ref="NYZ159:NZE159"/>
    <mergeCell ref="NZF159:NZK159"/>
    <mergeCell ref="NZL159:NZQ159"/>
    <mergeCell ref="NZR159:NZW159"/>
    <mergeCell ref="NZX159:OAC159"/>
    <mergeCell ref="OFR159:OFW159"/>
    <mergeCell ref="OFX159:OGC159"/>
    <mergeCell ref="OGD159:OGI159"/>
    <mergeCell ref="OGJ159:OGO159"/>
    <mergeCell ref="OGP159:OGU159"/>
    <mergeCell ref="OGV159:OHA159"/>
    <mergeCell ref="OEH159:OEM159"/>
    <mergeCell ref="OEN159:OES159"/>
    <mergeCell ref="OET159:OEY159"/>
    <mergeCell ref="OEZ159:OFE159"/>
    <mergeCell ref="OFF159:OFK159"/>
    <mergeCell ref="OFL159:OFQ159"/>
    <mergeCell ref="OCX159:ODC159"/>
    <mergeCell ref="ODD159:ODI159"/>
    <mergeCell ref="ODJ159:ODO159"/>
    <mergeCell ref="ODP159:ODU159"/>
    <mergeCell ref="ODV159:OEA159"/>
    <mergeCell ref="OEB159:OEG159"/>
    <mergeCell ref="OJV159:OKA159"/>
    <mergeCell ref="OKB159:OKG159"/>
    <mergeCell ref="OKH159:OKM159"/>
    <mergeCell ref="OKN159:OKS159"/>
    <mergeCell ref="OKT159:OKY159"/>
    <mergeCell ref="OKZ159:OLE159"/>
    <mergeCell ref="OIL159:OIQ159"/>
    <mergeCell ref="OIR159:OIW159"/>
    <mergeCell ref="OIX159:OJC159"/>
    <mergeCell ref="OJD159:OJI159"/>
    <mergeCell ref="OJJ159:OJO159"/>
    <mergeCell ref="OJP159:OJU159"/>
    <mergeCell ref="OHB159:OHG159"/>
    <mergeCell ref="OHH159:OHM159"/>
    <mergeCell ref="OHN159:OHS159"/>
    <mergeCell ref="OHT159:OHY159"/>
    <mergeCell ref="OHZ159:OIE159"/>
    <mergeCell ref="OIF159:OIK159"/>
    <mergeCell ref="ONZ159:OOE159"/>
    <mergeCell ref="OOF159:OOK159"/>
    <mergeCell ref="OOL159:OOQ159"/>
    <mergeCell ref="OOR159:OOW159"/>
    <mergeCell ref="OOX159:OPC159"/>
    <mergeCell ref="OPD159:OPI159"/>
    <mergeCell ref="OMP159:OMU159"/>
    <mergeCell ref="OMV159:ONA159"/>
    <mergeCell ref="ONB159:ONG159"/>
    <mergeCell ref="ONH159:ONM159"/>
    <mergeCell ref="ONN159:ONS159"/>
    <mergeCell ref="ONT159:ONY159"/>
    <mergeCell ref="OLF159:OLK159"/>
    <mergeCell ref="OLL159:OLQ159"/>
    <mergeCell ref="OLR159:OLW159"/>
    <mergeCell ref="OLX159:OMC159"/>
    <mergeCell ref="OMD159:OMI159"/>
    <mergeCell ref="OMJ159:OMO159"/>
    <mergeCell ref="OSD159:OSI159"/>
    <mergeCell ref="OSJ159:OSO159"/>
    <mergeCell ref="OSP159:OSU159"/>
    <mergeCell ref="OSV159:OTA159"/>
    <mergeCell ref="OTB159:OTG159"/>
    <mergeCell ref="OTH159:OTM159"/>
    <mergeCell ref="OQT159:OQY159"/>
    <mergeCell ref="OQZ159:ORE159"/>
    <mergeCell ref="ORF159:ORK159"/>
    <mergeCell ref="ORL159:ORQ159"/>
    <mergeCell ref="ORR159:ORW159"/>
    <mergeCell ref="ORX159:OSC159"/>
    <mergeCell ref="OPJ159:OPO159"/>
    <mergeCell ref="OPP159:OPU159"/>
    <mergeCell ref="OPV159:OQA159"/>
    <mergeCell ref="OQB159:OQG159"/>
    <mergeCell ref="OQH159:OQM159"/>
    <mergeCell ref="OQN159:OQS159"/>
    <mergeCell ref="OWH159:OWM159"/>
    <mergeCell ref="OWN159:OWS159"/>
    <mergeCell ref="OWT159:OWY159"/>
    <mergeCell ref="OWZ159:OXE159"/>
    <mergeCell ref="OXF159:OXK159"/>
    <mergeCell ref="OXL159:OXQ159"/>
    <mergeCell ref="OUX159:OVC159"/>
    <mergeCell ref="OVD159:OVI159"/>
    <mergeCell ref="OVJ159:OVO159"/>
    <mergeCell ref="OVP159:OVU159"/>
    <mergeCell ref="OVV159:OWA159"/>
    <mergeCell ref="OWB159:OWG159"/>
    <mergeCell ref="OTN159:OTS159"/>
    <mergeCell ref="OTT159:OTY159"/>
    <mergeCell ref="OTZ159:OUE159"/>
    <mergeCell ref="OUF159:OUK159"/>
    <mergeCell ref="OUL159:OUQ159"/>
    <mergeCell ref="OUR159:OUW159"/>
    <mergeCell ref="PAL159:PAQ159"/>
    <mergeCell ref="PAR159:PAW159"/>
    <mergeCell ref="PAX159:PBC159"/>
    <mergeCell ref="PBD159:PBI159"/>
    <mergeCell ref="PBJ159:PBO159"/>
    <mergeCell ref="PBP159:PBU159"/>
    <mergeCell ref="OZB159:OZG159"/>
    <mergeCell ref="OZH159:OZM159"/>
    <mergeCell ref="OZN159:OZS159"/>
    <mergeCell ref="OZT159:OZY159"/>
    <mergeCell ref="OZZ159:PAE159"/>
    <mergeCell ref="PAF159:PAK159"/>
    <mergeCell ref="OXR159:OXW159"/>
    <mergeCell ref="OXX159:OYC159"/>
    <mergeCell ref="OYD159:OYI159"/>
    <mergeCell ref="OYJ159:OYO159"/>
    <mergeCell ref="OYP159:OYU159"/>
    <mergeCell ref="OYV159:OZA159"/>
    <mergeCell ref="PEP159:PEU159"/>
    <mergeCell ref="PEV159:PFA159"/>
    <mergeCell ref="PFB159:PFG159"/>
    <mergeCell ref="PFH159:PFM159"/>
    <mergeCell ref="PFN159:PFS159"/>
    <mergeCell ref="PFT159:PFY159"/>
    <mergeCell ref="PDF159:PDK159"/>
    <mergeCell ref="PDL159:PDQ159"/>
    <mergeCell ref="PDR159:PDW159"/>
    <mergeCell ref="PDX159:PEC159"/>
    <mergeCell ref="PED159:PEI159"/>
    <mergeCell ref="PEJ159:PEO159"/>
    <mergeCell ref="PBV159:PCA159"/>
    <mergeCell ref="PCB159:PCG159"/>
    <mergeCell ref="PCH159:PCM159"/>
    <mergeCell ref="PCN159:PCS159"/>
    <mergeCell ref="PCT159:PCY159"/>
    <mergeCell ref="PCZ159:PDE159"/>
    <mergeCell ref="PIT159:PIY159"/>
    <mergeCell ref="PIZ159:PJE159"/>
    <mergeCell ref="PJF159:PJK159"/>
    <mergeCell ref="PJL159:PJQ159"/>
    <mergeCell ref="PJR159:PJW159"/>
    <mergeCell ref="PJX159:PKC159"/>
    <mergeCell ref="PHJ159:PHO159"/>
    <mergeCell ref="PHP159:PHU159"/>
    <mergeCell ref="PHV159:PIA159"/>
    <mergeCell ref="PIB159:PIG159"/>
    <mergeCell ref="PIH159:PIM159"/>
    <mergeCell ref="PIN159:PIS159"/>
    <mergeCell ref="PFZ159:PGE159"/>
    <mergeCell ref="PGF159:PGK159"/>
    <mergeCell ref="PGL159:PGQ159"/>
    <mergeCell ref="PGR159:PGW159"/>
    <mergeCell ref="PGX159:PHC159"/>
    <mergeCell ref="PHD159:PHI159"/>
    <mergeCell ref="PMX159:PNC159"/>
    <mergeCell ref="PND159:PNI159"/>
    <mergeCell ref="PNJ159:PNO159"/>
    <mergeCell ref="PNP159:PNU159"/>
    <mergeCell ref="PNV159:POA159"/>
    <mergeCell ref="POB159:POG159"/>
    <mergeCell ref="PLN159:PLS159"/>
    <mergeCell ref="PLT159:PLY159"/>
    <mergeCell ref="PLZ159:PME159"/>
    <mergeCell ref="PMF159:PMK159"/>
    <mergeCell ref="PML159:PMQ159"/>
    <mergeCell ref="PMR159:PMW159"/>
    <mergeCell ref="PKD159:PKI159"/>
    <mergeCell ref="PKJ159:PKO159"/>
    <mergeCell ref="PKP159:PKU159"/>
    <mergeCell ref="PKV159:PLA159"/>
    <mergeCell ref="PLB159:PLG159"/>
    <mergeCell ref="PLH159:PLM159"/>
    <mergeCell ref="PRB159:PRG159"/>
    <mergeCell ref="PRH159:PRM159"/>
    <mergeCell ref="PRN159:PRS159"/>
    <mergeCell ref="PRT159:PRY159"/>
    <mergeCell ref="PRZ159:PSE159"/>
    <mergeCell ref="PSF159:PSK159"/>
    <mergeCell ref="PPR159:PPW159"/>
    <mergeCell ref="PPX159:PQC159"/>
    <mergeCell ref="PQD159:PQI159"/>
    <mergeCell ref="PQJ159:PQO159"/>
    <mergeCell ref="PQP159:PQU159"/>
    <mergeCell ref="PQV159:PRA159"/>
    <mergeCell ref="POH159:POM159"/>
    <mergeCell ref="PON159:POS159"/>
    <mergeCell ref="POT159:POY159"/>
    <mergeCell ref="POZ159:PPE159"/>
    <mergeCell ref="PPF159:PPK159"/>
    <mergeCell ref="PPL159:PPQ159"/>
    <mergeCell ref="PVF159:PVK159"/>
    <mergeCell ref="PVL159:PVQ159"/>
    <mergeCell ref="PVR159:PVW159"/>
    <mergeCell ref="PVX159:PWC159"/>
    <mergeCell ref="PWD159:PWI159"/>
    <mergeCell ref="PWJ159:PWO159"/>
    <mergeCell ref="PTV159:PUA159"/>
    <mergeCell ref="PUB159:PUG159"/>
    <mergeCell ref="PUH159:PUM159"/>
    <mergeCell ref="PUN159:PUS159"/>
    <mergeCell ref="PUT159:PUY159"/>
    <mergeCell ref="PUZ159:PVE159"/>
    <mergeCell ref="PSL159:PSQ159"/>
    <mergeCell ref="PSR159:PSW159"/>
    <mergeCell ref="PSX159:PTC159"/>
    <mergeCell ref="PTD159:PTI159"/>
    <mergeCell ref="PTJ159:PTO159"/>
    <mergeCell ref="PTP159:PTU159"/>
    <mergeCell ref="PZJ159:PZO159"/>
    <mergeCell ref="PZP159:PZU159"/>
    <mergeCell ref="PZV159:QAA159"/>
    <mergeCell ref="QAB159:QAG159"/>
    <mergeCell ref="QAH159:QAM159"/>
    <mergeCell ref="QAN159:QAS159"/>
    <mergeCell ref="PXZ159:PYE159"/>
    <mergeCell ref="PYF159:PYK159"/>
    <mergeCell ref="PYL159:PYQ159"/>
    <mergeCell ref="PYR159:PYW159"/>
    <mergeCell ref="PYX159:PZC159"/>
    <mergeCell ref="PZD159:PZI159"/>
    <mergeCell ref="PWP159:PWU159"/>
    <mergeCell ref="PWV159:PXA159"/>
    <mergeCell ref="PXB159:PXG159"/>
    <mergeCell ref="PXH159:PXM159"/>
    <mergeCell ref="PXN159:PXS159"/>
    <mergeCell ref="PXT159:PXY159"/>
    <mergeCell ref="QDN159:QDS159"/>
    <mergeCell ref="QDT159:QDY159"/>
    <mergeCell ref="QDZ159:QEE159"/>
    <mergeCell ref="QEF159:QEK159"/>
    <mergeCell ref="QEL159:QEQ159"/>
    <mergeCell ref="QER159:QEW159"/>
    <mergeCell ref="QCD159:QCI159"/>
    <mergeCell ref="QCJ159:QCO159"/>
    <mergeCell ref="QCP159:QCU159"/>
    <mergeCell ref="QCV159:QDA159"/>
    <mergeCell ref="QDB159:QDG159"/>
    <mergeCell ref="QDH159:QDM159"/>
    <mergeCell ref="QAT159:QAY159"/>
    <mergeCell ref="QAZ159:QBE159"/>
    <mergeCell ref="QBF159:QBK159"/>
    <mergeCell ref="QBL159:QBQ159"/>
    <mergeCell ref="QBR159:QBW159"/>
    <mergeCell ref="QBX159:QCC159"/>
    <mergeCell ref="QHR159:QHW159"/>
    <mergeCell ref="QHX159:QIC159"/>
    <mergeCell ref="QID159:QII159"/>
    <mergeCell ref="QIJ159:QIO159"/>
    <mergeCell ref="QIP159:QIU159"/>
    <mergeCell ref="QIV159:QJA159"/>
    <mergeCell ref="QGH159:QGM159"/>
    <mergeCell ref="QGN159:QGS159"/>
    <mergeCell ref="QGT159:QGY159"/>
    <mergeCell ref="QGZ159:QHE159"/>
    <mergeCell ref="QHF159:QHK159"/>
    <mergeCell ref="QHL159:QHQ159"/>
    <mergeCell ref="QEX159:QFC159"/>
    <mergeCell ref="QFD159:QFI159"/>
    <mergeCell ref="QFJ159:QFO159"/>
    <mergeCell ref="QFP159:QFU159"/>
    <mergeCell ref="QFV159:QGA159"/>
    <mergeCell ref="QGB159:QGG159"/>
    <mergeCell ref="QLV159:QMA159"/>
    <mergeCell ref="QMB159:QMG159"/>
    <mergeCell ref="QMH159:QMM159"/>
    <mergeCell ref="QMN159:QMS159"/>
    <mergeCell ref="QMT159:QMY159"/>
    <mergeCell ref="QMZ159:QNE159"/>
    <mergeCell ref="QKL159:QKQ159"/>
    <mergeCell ref="QKR159:QKW159"/>
    <mergeCell ref="QKX159:QLC159"/>
    <mergeCell ref="QLD159:QLI159"/>
    <mergeCell ref="QLJ159:QLO159"/>
    <mergeCell ref="QLP159:QLU159"/>
    <mergeCell ref="QJB159:QJG159"/>
    <mergeCell ref="QJH159:QJM159"/>
    <mergeCell ref="QJN159:QJS159"/>
    <mergeCell ref="QJT159:QJY159"/>
    <mergeCell ref="QJZ159:QKE159"/>
    <mergeCell ref="QKF159:QKK159"/>
    <mergeCell ref="QPZ159:QQE159"/>
    <mergeCell ref="QQF159:QQK159"/>
    <mergeCell ref="QQL159:QQQ159"/>
    <mergeCell ref="QQR159:QQW159"/>
    <mergeCell ref="QQX159:QRC159"/>
    <mergeCell ref="QRD159:QRI159"/>
    <mergeCell ref="QOP159:QOU159"/>
    <mergeCell ref="QOV159:QPA159"/>
    <mergeCell ref="QPB159:QPG159"/>
    <mergeCell ref="QPH159:QPM159"/>
    <mergeCell ref="QPN159:QPS159"/>
    <mergeCell ref="QPT159:QPY159"/>
    <mergeCell ref="QNF159:QNK159"/>
    <mergeCell ref="QNL159:QNQ159"/>
    <mergeCell ref="QNR159:QNW159"/>
    <mergeCell ref="QNX159:QOC159"/>
    <mergeCell ref="QOD159:QOI159"/>
    <mergeCell ref="QOJ159:QOO159"/>
    <mergeCell ref="QUD159:QUI159"/>
    <mergeCell ref="QUJ159:QUO159"/>
    <mergeCell ref="QUP159:QUU159"/>
    <mergeCell ref="QUV159:QVA159"/>
    <mergeCell ref="QVB159:QVG159"/>
    <mergeCell ref="QVH159:QVM159"/>
    <mergeCell ref="QST159:QSY159"/>
    <mergeCell ref="QSZ159:QTE159"/>
    <mergeCell ref="QTF159:QTK159"/>
    <mergeCell ref="QTL159:QTQ159"/>
    <mergeCell ref="QTR159:QTW159"/>
    <mergeCell ref="QTX159:QUC159"/>
    <mergeCell ref="QRJ159:QRO159"/>
    <mergeCell ref="QRP159:QRU159"/>
    <mergeCell ref="QRV159:QSA159"/>
    <mergeCell ref="QSB159:QSG159"/>
    <mergeCell ref="QSH159:QSM159"/>
    <mergeCell ref="QSN159:QSS159"/>
    <mergeCell ref="QYH159:QYM159"/>
    <mergeCell ref="QYN159:QYS159"/>
    <mergeCell ref="QYT159:QYY159"/>
    <mergeCell ref="QYZ159:QZE159"/>
    <mergeCell ref="QZF159:QZK159"/>
    <mergeCell ref="QZL159:QZQ159"/>
    <mergeCell ref="QWX159:QXC159"/>
    <mergeCell ref="QXD159:QXI159"/>
    <mergeCell ref="QXJ159:QXO159"/>
    <mergeCell ref="QXP159:QXU159"/>
    <mergeCell ref="QXV159:QYA159"/>
    <mergeCell ref="QYB159:QYG159"/>
    <mergeCell ref="QVN159:QVS159"/>
    <mergeCell ref="QVT159:QVY159"/>
    <mergeCell ref="QVZ159:QWE159"/>
    <mergeCell ref="QWF159:QWK159"/>
    <mergeCell ref="QWL159:QWQ159"/>
    <mergeCell ref="QWR159:QWW159"/>
    <mergeCell ref="RCL159:RCQ159"/>
    <mergeCell ref="RCR159:RCW159"/>
    <mergeCell ref="RCX159:RDC159"/>
    <mergeCell ref="RDD159:RDI159"/>
    <mergeCell ref="RDJ159:RDO159"/>
    <mergeCell ref="RDP159:RDU159"/>
    <mergeCell ref="RBB159:RBG159"/>
    <mergeCell ref="RBH159:RBM159"/>
    <mergeCell ref="RBN159:RBS159"/>
    <mergeCell ref="RBT159:RBY159"/>
    <mergeCell ref="RBZ159:RCE159"/>
    <mergeCell ref="RCF159:RCK159"/>
    <mergeCell ref="QZR159:QZW159"/>
    <mergeCell ref="QZX159:RAC159"/>
    <mergeCell ref="RAD159:RAI159"/>
    <mergeCell ref="RAJ159:RAO159"/>
    <mergeCell ref="RAP159:RAU159"/>
    <mergeCell ref="RAV159:RBA159"/>
    <mergeCell ref="RGP159:RGU159"/>
    <mergeCell ref="RGV159:RHA159"/>
    <mergeCell ref="RHB159:RHG159"/>
    <mergeCell ref="RHH159:RHM159"/>
    <mergeCell ref="RHN159:RHS159"/>
    <mergeCell ref="RHT159:RHY159"/>
    <mergeCell ref="RFF159:RFK159"/>
    <mergeCell ref="RFL159:RFQ159"/>
    <mergeCell ref="RFR159:RFW159"/>
    <mergeCell ref="RFX159:RGC159"/>
    <mergeCell ref="RGD159:RGI159"/>
    <mergeCell ref="RGJ159:RGO159"/>
    <mergeCell ref="RDV159:REA159"/>
    <mergeCell ref="REB159:REG159"/>
    <mergeCell ref="REH159:REM159"/>
    <mergeCell ref="REN159:RES159"/>
    <mergeCell ref="RET159:REY159"/>
    <mergeCell ref="REZ159:RFE159"/>
    <mergeCell ref="RKT159:RKY159"/>
    <mergeCell ref="RKZ159:RLE159"/>
    <mergeCell ref="RLF159:RLK159"/>
    <mergeCell ref="RLL159:RLQ159"/>
    <mergeCell ref="RLR159:RLW159"/>
    <mergeCell ref="RLX159:RMC159"/>
    <mergeCell ref="RJJ159:RJO159"/>
    <mergeCell ref="RJP159:RJU159"/>
    <mergeCell ref="RJV159:RKA159"/>
    <mergeCell ref="RKB159:RKG159"/>
    <mergeCell ref="RKH159:RKM159"/>
    <mergeCell ref="RKN159:RKS159"/>
    <mergeCell ref="RHZ159:RIE159"/>
    <mergeCell ref="RIF159:RIK159"/>
    <mergeCell ref="RIL159:RIQ159"/>
    <mergeCell ref="RIR159:RIW159"/>
    <mergeCell ref="RIX159:RJC159"/>
    <mergeCell ref="RJD159:RJI159"/>
    <mergeCell ref="ROX159:RPC159"/>
    <mergeCell ref="RPD159:RPI159"/>
    <mergeCell ref="RPJ159:RPO159"/>
    <mergeCell ref="RPP159:RPU159"/>
    <mergeCell ref="RPV159:RQA159"/>
    <mergeCell ref="RQB159:RQG159"/>
    <mergeCell ref="RNN159:RNS159"/>
    <mergeCell ref="RNT159:RNY159"/>
    <mergeCell ref="RNZ159:ROE159"/>
    <mergeCell ref="ROF159:ROK159"/>
    <mergeCell ref="ROL159:ROQ159"/>
    <mergeCell ref="ROR159:ROW159"/>
    <mergeCell ref="RMD159:RMI159"/>
    <mergeCell ref="RMJ159:RMO159"/>
    <mergeCell ref="RMP159:RMU159"/>
    <mergeCell ref="RMV159:RNA159"/>
    <mergeCell ref="RNB159:RNG159"/>
    <mergeCell ref="RNH159:RNM159"/>
    <mergeCell ref="RTB159:RTG159"/>
    <mergeCell ref="RTH159:RTM159"/>
    <mergeCell ref="RTN159:RTS159"/>
    <mergeCell ref="RTT159:RTY159"/>
    <mergeCell ref="RTZ159:RUE159"/>
    <mergeCell ref="RUF159:RUK159"/>
    <mergeCell ref="RRR159:RRW159"/>
    <mergeCell ref="RRX159:RSC159"/>
    <mergeCell ref="RSD159:RSI159"/>
    <mergeCell ref="RSJ159:RSO159"/>
    <mergeCell ref="RSP159:RSU159"/>
    <mergeCell ref="RSV159:RTA159"/>
    <mergeCell ref="RQH159:RQM159"/>
    <mergeCell ref="RQN159:RQS159"/>
    <mergeCell ref="RQT159:RQY159"/>
    <mergeCell ref="RQZ159:RRE159"/>
    <mergeCell ref="RRF159:RRK159"/>
    <mergeCell ref="RRL159:RRQ159"/>
    <mergeCell ref="RXF159:RXK159"/>
    <mergeCell ref="RXL159:RXQ159"/>
    <mergeCell ref="RXR159:RXW159"/>
    <mergeCell ref="RXX159:RYC159"/>
    <mergeCell ref="RYD159:RYI159"/>
    <mergeCell ref="RYJ159:RYO159"/>
    <mergeCell ref="RVV159:RWA159"/>
    <mergeCell ref="RWB159:RWG159"/>
    <mergeCell ref="RWH159:RWM159"/>
    <mergeCell ref="RWN159:RWS159"/>
    <mergeCell ref="RWT159:RWY159"/>
    <mergeCell ref="RWZ159:RXE159"/>
    <mergeCell ref="RUL159:RUQ159"/>
    <mergeCell ref="RUR159:RUW159"/>
    <mergeCell ref="RUX159:RVC159"/>
    <mergeCell ref="RVD159:RVI159"/>
    <mergeCell ref="RVJ159:RVO159"/>
    <mergeCell ref="RVP159:RVU159"/>
    <mergeCell ref="SBJ159:SBO159"/>
    <mergeCell ref="SBP159:SBU159"/>
    <mergeCell ref="SBV159:SCA159"/>
    <mergeCell ref="SCB159:SCG159"/>
    <mergeCell ref="SCH159:SCM159"/>
    <mergeCell ref="SCN159:SCS159"/>
    <mergeCell ref="RZZ159:SAE159"/>
    <mergeCell ref="SAF159:SAK159"/>
    <mergeCell ref="SAL159:SAQ159"/>
    <mergeCell ref="SAR159:SAW159"/>
    <mergeCell ref="SAX159:SBC159"/>
    <mergeCell ref="SBD159:SBI159"/>
    <mergeCell ref="RYP159:RYU159"/>
    <mergeCell ref="RYV159:RZA159"/>
    <mergeCell ref="RZB159:RZG159"/>
    <mergeCell ref="RZH159:RZM159"/>
    <mergeCell ref="RZN159:RZS159"/>
    <mergeCell ref="RZT159:RZY159"/>
    <mergeCell ref="SFN159:SFS159"/>
    <mergeCell ref="SFT159:SFY159"/>
    <mergeCell ref="SFZ159:SGE159"/>
    <mergeCell ref="SGF159:SGK159"/>
    <mergeCell ref="SGL159:SGQ159"/>
    <mergeCell ref="SGR159:SGW159"/>
    <mergeCell ref="SED159:SEI159"/>
    <mergeCell ref="SEJ159:SEO159"/>
    <mergeCell ref="SEP159:SEU159"/>
    <mergeCell ref="SEV159:SFA159"/>
    <mergeCell ref="SFB159:SFG159"/>
    <mergeCell ref="SFH159:SFM159"/>
    <mergeCell ref="SCT159:SCY159"/>
    <mergeCell ref="SCZ159:SDE159"/>
    <mergeCell ref="SDF159:SDK159"/>
    <mergeCell ref="SDL159:SDQ159"/>
    <mergeCell ref="SDR159:SDW159"/>
    <mergeCell ref="SDX159:SEC159"/>
    <mergeCell ref="SJR159:SJW159"/>
    <mergeCell ref="SJX159:SKC159"/>
    <mergeCell ref="SKD159:SKI159"/>
    <mergeCell ref="SKJ159:SKO159"/>
    <mergeCell ref="SKP159:SKU159"/>
    <mergeCell ref="SKV159:SLA159"/>
    <mergeCell ref="SIH159:SIM159"/>
    <mergeCell ref="SIN159:SIS159"/>
    <mergeCell ref="SIT159:SIY159"/>
    <mergeCell ref="SIZ159:SJE159"/>
    <mergeCell ref="SJF159:SJK159"/>
    <mergeCell ref="SJL159:SJQ159"/>
    <mergeCell ref="SGX159:SHC159"/>
    <mergeCell ref="SHD159:SHI159"/>
    <mergeCell ref="SHJ159:SHO159"/>
    <mergeCell ref="SHP159:SHU159"/>
    <mergeCell ref="SHV159:SIA159"/>
    <mergeCell ref="SIB159:SIG159"/>
    <mergeCell ref="SNV159:SOA159"/>
    <mergeCell ref="SOB159:SOG159"/>
    <mergeCell ref="SOH159:SOM159"/>
    <mergeCell ref="SON159:SOS159"/>
    <mergeCell ref="SOT159:SOY159"/>
    <mergeCell ref="SOZ159:SPE159"/>
    <mergeCell ref="SML159:SMQ159"/>
    <mergeCell ref="SMR159:SMW159"/>
    <mergeCell ref="SMX159:SNC159"/>
    <mergeCell ref="SND159:SNI159"/>
    <mergeCell ref="SNJ159:SNO159"/>
    <mergeCell ref="SNP159:SNU159"/>
    <mergeCell ref="SLB159:SLG159"/>
    <mergeCell ref="SLH159:SLM159"/>
    <mergeCell ref="SLN159:SLS159"/>
    <mergeCell ref="SLT159:SLY159"/>
    <mergeCell ref="SLZ159:SME159"/>
    <mergeCell ref="SMF159:SMK159"/>
    <mergeCell ref="SRZ159:SSE159"/>
    <mergeCell ref="SSF159:SSK159"/>
    <mergeCell ref="SSL159:SSQ159"/>
    <mergeCell ref="SSR159:SSW159"/>
    <mergeCell ref="SSX159:STC159"/>
    <mergeCell ref="STD159:STI159"/>
    <mergeCell ref="SQP159:SQU159"/>
    <mergeCell ref="SQV159:SRA159"/>
    <mergeCell ref="SRB159:SRG159"/>
    <mergeCell ref="SRH159:SRM159"/>
    <mergeCell ref="SRN159:SRS159"/>
    <mergeCell ref="SRT159:SRY159"/>
    <mergeCell ref="SPF159:SPK159"/>
    <mergeCell ref="SPL159:SPQ159"/>
    <mergeCell ref="SPR159:SPW159"/>
    <mergeCell ref="SPX159:SQC159"/>
    <mergeCell ref="SQD159:SQI159"/>
    <mergeCell ref="SQJ159:SQO159"/>
    <mergeCell ref="SWD159:SWI159"/>
    <mergeCell ref="SWJ159:SWO159"/>
    <mergeCell ref="SWP159:SWU159"/>
    <mergeCell ref="SWV159:SXA159"/>
    <mergeCell ref="SXB159:SXG159"/>
    <mergeCell ref="SXH159:SXM159"/>
    <mergeCell ref="SUT159:SUY159"/>
    <mergeCell ref="SUZ159:SVE159"/>
    <mergeCell ref="SVF159:SVK159"/>
    <mergeCell ref="SVL159:SVQ159"/>
    <mergeCell ref="SVR159:SVW159"/>
    <mergeCell ref="SVX159:SWC159"/>
    <mergeCell ref="STJ159:STO159"/>
    <mergeCell ref="STP159:STU159"/>
    <mergeCell ref="STV159:SUA159"/>
    <mergeCell ref="SUB159:SUG159"/>
    <mergeCell ref="SUH159:SUM159"/>
    <mergeCell ref="SUN159:SUS159"/>
    <mergeCell ref="TAH159:TAM159"/>
    <mergeCell ref="TAN159:TAS159"/>
    <mergeCell ref="TAT159:TAY159"/>
    <mergeCell ref="TAZ159:TBE159"/>
    <mergeCell ref="TBF159:TBK159"/>
    <mergeCell ref="TBL159:TBQ159"/>
    <mergeCell ref="SYX159:SZC159"/>
    <mergeCell ref="SZD159:SZI159"/>
    <mergeCell ref="SZJ159:SZO159"/>
    <mergeCell ref="SZP159:SZU159"/>
    <mergeCell ref="SZV159:TAA159"/>
    <mergeCell ref="TAB159:TAG159"/>
    <mergeCell ref="SXN159:SXS159"/>
    <mergeCell ref="SXT159:SXY159"/>
    <mergeCell ref="SXZ159:SYE159"/>
    <mergeCell ref="SYF159:SYK159"/>
    <mergeCell ref="SYL159:SYQ159"/>
    <mergeCell ref="SYR159:SYW159"/>
    <mergeCell ref="TEL159:TEQ159"/>
    <mergeCell ref="TER159:TEW159"/>
    <mergeCell ref="TEX159:TFC159"/>
    <mergeCell ref="TFD159:TFI159"/>
    <mergeCell ref="TFJ159:TFO159"/>
    <mergeCell ref="TFP159:TFU159"/>
    <mergeCell ref="TDB159:TDG159"/>
    <mergeCell ref="TDH159:TDM159"/>
    <mergeCell ref="TDN159:TDS159"/>
    <mergeCell ref="TDT159:TDY159"/>
    <mergeCell ref="TDZ159:TEE159"/>
    <mergeCell ref="TEF159:TEK159"/>
    <mergeCell ref="TBR159:TBW159"/>
    <mergeCell ref="TBX159:TCC159"/>
    <mergeCell ref="TCD159:TCI159"/>
    <mergeCell ref="TCJ159:TCO159"/>
    <mergeCell ref="TCP159:TCU159"/>
    <mergeCell ref="TCV159:TDA159"/>
    <mergeCell ref="TIP159:TIU159"/>
    <mergeCell ref="TIV159:TJA159"/>
    <mergeCell ref="TJB159:TJG159"/>
    <mergeCell ref="TJH159:TJM159"/>
    <mergeCell ref="TJN159:TJS159"/>
    <mergeCell ref="TJT159:TJY159"/>
    <mergeCell ref="THF159:THK159"/>
    <mergeCell ref="THL159:THQ159"/>
    <mergeCell ref="THR159:THW159"/>
    <mergeCell ref="THX159:TIC159"/>
    <mergeCell ref="TID159:TII159"/>
    <mergeCell ref="TIJ159:TIO159"/>
    <mergeCell ref="TFV159:TGA159"/>
    <mergeCell ref="TGB159:TGG159"/>
    <mergeCell ref="TGH159:TGM159"/>
    <mergeCell ref="TGN159:TGS159"/>
    <mergeCell ref="TGT159:TGY159"/>
    <mergeCell ref="TGZ159:THE159"/>
    <mergeCell ref="TMT159:TMY159"/>
    <mergeCell ref="TMZ159:TNE159"/>
    <mergeCell ref="TNF159:TNK159"/>
    <mergeCell ref="TNL159:TNQ159"/>
    <mergeCell ref="TNR159:TNW159"/>
    <mergeCell ref="TNX159:TOC159"/>
    <mergeCell ref="TLJ159:TLO159"/>
    <mergeCell ref="TLP159:TLU159"/>
    <mergeCell ref="TLV159:TMA159"/>
    <mergeCell ref="TMB159:TMG159"/>
    <mergeCell ref="TMH159:TMM159"/>
    <mergeCell ref="TMN159:TMS159"/>
    <mergeCell ref="TJZ159:TKE159"/>
    <mergeCell ref="TKF159:TKK159"/>
    <mergeCell ref="TKL159:TKQ159"/>
    <mergeCell ref="TKR159:TKW159"/>
    <mergeCell ref="TKX159:TLC159"/>
    <mergeCell ref="TLD159:TLI159"/>
    <mergeCell ref="TQX159:TRC159"/>
    <mergeCell ref="TRD159:TRI159"/>
    <mergeCell ref="TRJ159:TRO159"/>
    <mergeCell ref="TRP159:TRU159"/>
    <mergeCell ref="TRV159:TSA159"/>
    <mergeCell ref="TSB159:TSG159"/>
    <mergeCell ref="TPN159:TPS159"/>
    <mergeCell ref="TPT159:TPY159"/>
    <mergeCell ref="TPZ159:TQE159"/>
    <mergeCell ref="TQF159:TQK159"/>
    <mergeCell ref="TQL159:TQQ159"/>
    <mergeCell ref="TQR159:TQW159"/>
    <mergeCell ref="TOD159:TOI159"/>
    <mergeCell ref="TOJ159:TOO159"/>
    <mergeCell ref="TOP159:TOU159"/>
    <mergeCell ref="TOV159:TPA159"/>
    <mergeCell ref="TPB159:TPG159"/>
    <mergeCell ref="TPH159:TPM159"/>
    <mergeCell ref="TVB159:TVG159"/>
    <mergeCell ref="TVH159:TVM159"/>
    <mergeCell ref="TVN159:TVS159"/>
    <mergeCell ref="TVT159:TVY159"/>
    <mergeCell ref="TVZ159:TWE159"/>
    <mergeCell ref="TWF159:TWK159"/>
    <mergeCell ref="TTR159:TTW159"/>
    <mergeCell ref="TTX159:TUC159"/>
    <mergeCell ref="TUD159:TUI159"/>
    <mergeCell ref="TUJ159:TUO159"/>
    <mergeCell ref="TUP159:TUU159"/>
    <mergeCell ref="TUV159:TVA159"/>
    <mergeCell ref="TSH159:TSM159"/>
    <mergeCell ref="TSN159:TSS159"/>
    <mergeCell ref="TST159:TSY159"/>
    <mergeCell ref="TSZ159:TTE159"/>
    <mergeCell ref="TTF159:TTK159"/>
    <mergeCell ref="TTL159:TTQ159"/>
    <mergeCell ref="TZF159:TZK159"/>
    <mergeCell ref="TZL159:TZQ159"/>
    <mergeCell ref="TZR159:TZW159"/>
    <mergeCell ref="TZX159:UAC159"/>
    <mergeCell ref="UAD159:UAI159"/>
    <mergeCell ref="UAJ159:UAO159"/>
    <mergeCell ref="TXV159:TYA159"/>
    <mergeCell ref="TYB159:TYG159"/>
    <mergeCell ref="TYH159:TYM159"/>
    <mergeCell ref="TYN159:TYS159"/>
    <mergeCell ref="TYT159:TYY159"/>
    <mergeCell ref="TYZ159:TZE159"/>
    <mergeCell ref="TWL159:TWQ159"/>
    <mergeCell ref="TWR159:TWW159"/>
    <mergeCell ref="TWX159:TXC159"/>
    <mergeCell ref="TXD159:TXI159"/>
    <mergeCell ref="TXJ159:TXO159"/>
    <mergeCell ref="TXP159:TXU159"/>
    <mergeCell ref="UDJ159:UDO159"/>
    <mergeCell ref="UDP159:UDU159"/>
    <mergeCell ref="UDV159:UEA159"/>
    <mergeCell ref="UEB159:UEG159"/>
    <mergeCell ref="UEH159:UEM159"/>
    <mergeCell ref="UEN159:UES159"/>
    <mergeCell ref="UBZ159:UCE159"/>
    <mergeCell ref="UCF159:UCK159"/>
    <mergeCell ref="UCL159:UCQ159"/>
    <mergeCell ref="UCR159:UCW159"/>
    <mergeCell ref="UCX159:UDC159"/>
    <mergeCell ref="UDD159:UDI159"/>
    <mergeCell ref="UAP159:UAU159"/>
    <mergeCell ref="UAV159:UBA159"/>
    <mergeCell ref="UBB159:UBG159"/>
    <mergeCell ref="UBH159:UBM159"/>
    <mergeCell ref="UBN159:UBS159"/>
    <mergeCell ref="UBT159:UBY159"/>
    <mergeCell ref="UHN159:UHS159"/>
    <mergeCell ref="UHT159:UHY159"/>
    <mergeCell ref="UHZ159:UIE159"/>
    <mergeCell ref="UIF159:UIK159"/>
    <mergeCell ref="UIL159:UIQ159"/>
    <mergeCell ref="UIR159:UIW159"/>
    <mergeCell ref="UGD159:UGI159"/>
    <mergeCell ref="UGJ159:UGO159"/>
    <mergeCell ref="UGP159:UGU159"/>
    <mergeCell ref="UGV159:UHA159"/>
    <mergeCell ref="UHB159:UHG159"/>
    <mergeCell ref="UHH159:UHM159"/>
    <mergeCell ref="UET159:UEY159"/>
    <mergeCell ref="UEZ159:UFE159"/>
    <mergeCell ref="UFF159:UFK159"/>
    <mergeCell ref="UFL159:UFQ159"/>
    <mergeCell ref="UFR159:UFW159"/>
    <mergeCell ref="UFX159:UGC159"/>
    <mergeCell ref="ULR159:ULW159"/>
    <mergeCell ref="ULX159:UMC159"/>
    <mergeCell ref="UMD159:UMI159"/>
    <mergeCell ref="UMJ159:UMO159"/>
    <mergeCell ref="UMP159:UMU159"/>
    <mergeCell ref="UMV159:UNA159"/>
    <mergeCell ref="UKH159:UKM159"/>
    <mergeCell ref="UKN159:UKS159"/>
    <mergeCell ref="UKT159:UKY159"/>
    <mergeCell ref="UKZ159:ULE159"/>
    <mergeCell ref="ULF159:ULK159"/>
    <mergeCell ref="ULL159:ULQ159"/>
    <mergeCell ref="UIX159:UJC159"/>
    <mergeCell ref="UJD159:UJI159"/>
    <mergeCell ref="UJJ159:UJO159"/>
    <mergeCell ref="UJP159:UJU159"/>
    <mergeCell ref="UJV159:UKA159"/>
    <mergeCell ref="UKB159:UKG159"/>
    <mergeCell ref="UPV159:UQA159"/>
    <mergeCell ref="UQB159:UQG159"/>
    <mergeCell ref="UQH159:UQM159"/>
    <mergeCell ref="UQN159:UQS159"/>
    <mergeCell ref="UQT159:UQY159"/>
    <mergeCell ref="UQZ159:URE159"/>
    <mergeCell ref="UOL159:UOQ159"/>
    <mergeCell ref="UOR159:UOW159"/>
    <mergeCell ref="UOX159:UPC159"/>
    <mergeCell ref="UPD159:UPI159"/>
    <mergeCell ref="UPJ159:UPO159"/>
    <mergeCell ref="UPP159:UPU159"/>
    <mergeCell ref="UNB159:UNG159"/>
    <mergeCell ref="UNH159:UNM159"/>
    <mergeCell ref="UNN159:UNS159"/>
    <mergeCell ref="UNT159:UNY159"/>
    <mergeCell ref="UNZ159:UOE159"/>
    <mergeCell ref="UOF159:UOK159"/>
    <mergeCell ref="UTZ159:UUE159"/>
    <mergeCell ref="UUF159:UUK159"/>
    <mergeCell ref="UUL159:UUQ159"/>
    <mergeCell ref="UUR159:UUW159"/>
    <mergeCell ref="UUX159:UVC159"/>
    <mergeCell ref="UVD159:UVI159"/>
    <mergeCell ref="USP159:USU159"/>
    <mergeCell ref="USV159:UTA159"/>
    <mergeCell ref="UTB159:UTG159"/>
    <mergeCell ref="UTH159:UTM159"/>
    <mergeCell ref="UTN159:UTS159"/>
    <mergeCell ref="UTT159:UTY159"/>
    <mergeCell ref="URF159:URK159"/>
    <mergeCell ref="URL159:URQ159"/>
    <mergeCell ref="URR159:URW159"/>
    <mergeCell ref="URX159:USC159"/>
    <mergeCell ref="USD159:USI159"/>
    <mergeCell ref="USJ159:USO159"/>
    <mergeCell ref="UYD159:UYI159"/>
    <mergeCell ref="UYJ159:UYO159"/>
    <mergeCell ref="UYP159:UYU159"/>
    <mergeCell ref="UYV159:UZA159"/>
    <mergeCell ref="UZB159:UZG159"/>
    <mergeCell ref="UZH159:UZM159"/>
    <mergeCell ref="UWT159:UWY159"/>
    <mergeCell ref="UWZ159:UXE159"/>
    <mergeCell ref="UXF159:UXK159"/>
    <mergeCell ref="UXL159:UXQ159"/>
    <mergeCell ref="UXR159:UXW159"/>
    <mergeCell ref="UXX159:UYC159"/>
    <mergeCell ref="UVJ159:UVO159"/>
    <mergeCell ref="UVP159:UVU159"/>
    <mergeCell ref="UVV159:UWA159"/>
    <mergeCell ref="UWB159:UWG159"/>
    <mergeCell ref="UWH159:UWM159"/>
    <mergeCell ref="UWN159:UWS159"/>
    <mergeCell ref="VCH159:VCM159"/>
    <mergeCell ref="VCN159:VCS159"/>
    <mergeCell ref="VCT159:VCY159"/>
    <mergeCell ref="VCZ159:VDE159"/>
    <mergeCell ref="VDF159:VDK159"/>
    <mergeCell ref="VDL159:VDQ159"/>
    <mergeCell ref="VAX159:VBC159"/>
    <mergeCell ref="VBD159:VBI159"/>
    <mergeCell ref="VBJ159:VBO159"/>
    <mergeCell ref="VBP159:VBU159"/>
    <mergeCell ref="VBV159:VCA159"/>
    <mergeCell ref="VCB159:VCG159"/>
    <mergeCell ref="UZN159:UZS159"/>
    <mergeCell ref="UZT159:UZY159"/>
    <mergeCell ref="UZZ159:VAE159"/>
    <mergeCell ref="VAF159:VAK159"/>
    <mergeCell ref="VAL159:VAQ159"/>
    <mergeCell ref="VAR159:VAW159"/>
    <mergeCell ref="VGL159:VGQ159"/>
    <mergeCell ref="VGR159:VGW159"/>
    <mergeCell ref="VGX159:VHC159"/>
    <mergeCell ref="VHD159:VHI159"/>
    <mergeCell ref="VHJ159:VHO159"/>
    <mergeCell ref="VHP159:VHU159"/>
    <mergeCell ref="VFB159:VFG159"/>
    <mergeCell ref="VFH159:VFM159"/>
    <mergeCell ref="VFN159:VFS159"/>
    <mergeCell ref="VFT159:VFY159"/>
    <mergeCell ref="VFZ159:VGE159"/>
    <mergeCell ref="VGF159:VGK159"/>
    <mergeCell ref="VDR159:VDW159"/>
    <mergeCell ref="VDX159:VEC159"/>
    <mergeCell ref="VED159:VEI159"/>
    <mergeCell ref="VEJ159:VEO159"/>
    <mergeCell ref="VEP159:VEU159"/>
    <mergeCell ref="VEV159:VFA159"/>
    <mergeCell ref="VKP159:VKU159"/>
    <mergeCell ref="VKV159:VLA159"/>
    <mergeCell ref="VLB159:VLG159"/>
    <mergeCell ref="VLH159:VLM159"/>
    <mergeCell ref="VLN159:VLS159"/>
    <mergeCell ref="VLT159:VLY159"/>
    <mergeCell ref="VJF159:VJK159"/>
    <mergeCell ref="VJL159:VJQ159"/>
    <mergeCell ref="VJR159:VJW159"/>
    <mergeCell ref="VJX159:VKC159"/>
    <mergeCell ref="VKD159:VKI159"/>
    <mergeCell ref="VKJ159:VKO159"/>
    <mergeCell ref="VHV159:VIA159"/>
    <mergeCell ref="VIB159:VIG159"/>
    <mergeCell ref="VIH159:VIM159"/>
    <mergeCell ref="VIN159:VIS159"/>
    <mergeCell ref="VIT159:VIY159"/>
    <mergeCell ref="VIZ159:VJE159"/>
    <mergeCell ref="VOT159:VOY159"/>
    <mergeCell ref="VOZ159:VPE159"/>
    <mergeCell ref="VPF159:VPK159"/>
    <mergeCell ref="VPL159:VPQ159"/>
    <mergeCell ref="VPR159:VPW159"/>
    <mergeCell ref="VPX159:VQC159"/>
    <mergeCell ref="VNJ159:VNO159"/>
    <mergeCell ref="VNP159:VNU159"/>
    <mergeCell ref="VNV159:VOA159"/>
    <mergeCell ref="VOB159:VOG159"/>
    <mergeCell ref="VOH159:VOM159"/>
    <mergeCell ref="VON159:VOS159"/>
    <mergeCell ref="VLZ159:VME159"/>
    <mergeCell ref="VMF159:VMK159"/>
    <mergeCell ref="VML159:VMQ159"/>
    <mergeCell ref="VMR159:VMW159"/>
    <mergeCell ref="VMX159:VNC159"/>
    <mergeCell ref="VND159:VNI159"/>
    <mergeCell ref="VSX159:VTC159"/>
    <mergeCell ref="VTD159:VTI159"/>
    <mergeCell ref="VTJ159:VTO159"/>
    <mergeCell ref="VTP159:VTU159"/>
    <mergeCell ref="VTV159:VUA159"/>
    <mergeCell ref="VUB159:VUG159"/>
    <mergeCell ref="VRN159:VRS159"/>
    <mergeCell ref="VRT159:VRY159"/>
    <mergeCell ref="VRZ159:VSE159"/>
    <mergeCell ref="VSF159:VSK159"/>
    <mergeCell ref="VSL159:VSQ159"/>
    <mergeCell ref="VSR159:VSW159"/>
    <mergeCell ref="VQD159:VQI159"/>
    <mergeCell ref="VQJ159:VQO159"/>
    <mergeCell ref="VQP159:VQU159"/>
    <mergeCell ref="VQV159:VRA159"/>
    <mergeCell ref="VRB159:VRG159"/>
    <mergeCell ref="VRH159:VRM159"/>
    <mergeCell ref="VXB159:VXG159"/>
    <mergeCell ref="VXH159:VXM159"/>
    <mergeCell ref="VXN159:VXS159"/>
    <mergeCell ref="VXT159:VXY159"/>
    <mergeCell ref="VXZ159:VYE159"/>
    <mergeCell ref="VYF159:VYK159"/>
    <mergeCell ref="VVR159:VVW159"/>
    <mergeCell ref="VVX159:VWC159"/>
    <mergeCell ref="VWD159:VWI159"/>
    <mergeCell ref="VWJ159:VWO159"/>
    <mergeCell ref="VWP159:VWU159"/>
    <mergeCell ref="VWV159:VXA159"/>
    <mergeCell ref="VUH159:VUM159"/>
    <mergeCell ref="VUN159:VUS159"/>
    <mergeCell ref="VUT159:VUY159"/>
    <mergeCell ref="VUZ159:VVE159"/>
    <mergeCell ref="VVF159:VVK159"/>
    <mergeCell ref="VVL159:VVQ159"/>
    <mergeCell ref="WBF159:WBK159"/>
    <mergeCell ref="WBL159:WBQ159"/>
    <mergeCell ref="WBR159:WBW159"/>
    <mergeCell ref="WBX159:WCC159"/>
    <mergeCell ref="WCD159:WCI159"/>
    <mergeCell ref="WCJ159:WCO159"/>
    <mergeCell ref="VZV159:WAA159"/>
    <mergeCell ref="WAB159:WAG159"/>
    <mergeCell ref="WAH159:WAM159"/>
    <mergeCell ref="WAN159:WAS159"/>
    <mergeCell ref="WAT159:WAY159"/>
    <mergeCell ref="WAZ159:WBE159"/>
    <mergeCell ref="VYL159:VYQ159"/>
    <mergeCell ref="VYR159:VYW159"/>
    <mergeCell ref="VYX159:VZC159"/>
    <mergeCell ref="VZD159:VZI159"/>
    <mergeCell ref="VZJ159:VZO159"/>
    <mergeCell ref="VZP159:VZU159"/>
    <mergeCell ref="WFJ159:WFO159"/>
    <mergeCell ref="WFP159:WFU159"/>
    <mergeCell ref="WFV159:WGA159"/>
    <mergeCell ref="WGB159:WGG159"/>
    <mergeCell ref="WGH159:WGM159"/>
    <mergeCell ref="WGN159:WGS159"/>
    <mergeCell ref="WDZ159:WEE159"/>
    <mergeCell ref="WEF159:WEK159"/>
    <mergeCell ref="WEL159:WEQ159"/>
    <mergeCell ref="WER159:WEW159"/>
    <mergeCell ref="WEX159:WFC159"/>
    <mergeCell ref="WFD159:WFI159"/>
    <mergeCell ref="WCP159:WCU159"/>
    <mergeCell ref="WCV159:WDA159"/>
    <mergeCell ref="WDB159:WDG159"/>
    <mergeCell ref="WDH159:WDM159"/>
    <mergeCell ref="WDN159:WDS159"/>
    <mergeCell ref="WDT159:WDY159"/>
    <mergeCell ref="WJN159:WJS159"/>
    <mergeCell ref="WJT159:WJY159"/>
    <mergeCell ref="WJZ159:WKE159"/>
    <mergeCell ref="WKF159:WKK159"/>
    <mergeCell ref="WKL159:WKQ159"/>
    <mergeCell ref="WKR159:WKW159"/>
    <mergeCell ref="WID159:WII159"/>
    <mergeCell ref="WIJ159:WIO159"/>
    <mergeCell ref="WIP159:WIU159"/>
    <mergeCell ref="WIV159:WJA159"/>
    <mergeCell ref="WJB159:WJG159"/>
    <mergeCell ref="WJH159:WJM159"/>
    <mergeCell ref="WGT159:WGY159"/>
    <mergeCell ref="WGZ159:WHE159"/>
    <mergeCell ref="WHF159:WHK159"/>
    <mergeCell ref="WHL159:WHQ159"/>
    <mergeCell ref="WHR159:WHW159"/>
    <mergeCell ref="WHX159:WIC159"/>
    <mergeCell ref="WNR159:WNW159"/>
    <mergeCell ref="WNX159:WOC159"/>
    <mergeCell ref="WOD159:WOI159"/>
    <mergeCell ref="WOJ159:WOO159"/>
    <mergeCell ref="WOP159:WOU159"/>
    <mergeCell ref="WOV159:WPA159"/>
    <mergeCell ref="WMH159:WMM159"/>
    <mergeCell ref="WMN159:WMS159"/>
    <mergeCell ref="WMT159:WMY159"/>
    <mergeCell ref="WMZ159:WNE159"/>
    <mergeCell ref="WNF159:WNK159"/>
    <mergeCell ref="WNL159:WNQ159"/>
    <mergeCell ref="WKX159:WLC159"/>
    <mergeCell ref="WLD159:WLI159"/>
    <mergeCell ref="WLJ159:WLO159"/>
    <mergeCell ref="WLP159:WLU159"/>
    <mergeCell ref="WLV159:WMA159"/>
    <mergeCell ref="WMB159:WMG159"/>
    <mergeCell ref="WYB159:WYG159"/>
    <mergeCell ref="WYH159:WYM159"/>
    <mergeCell ref="WYN159:WYS159"/>
    <mergeCell ref="WRV159:WSA159"/>
    <mergeCell ref="WSB159:WSG159"/>
    <mergeCell ref="WSH159:WSM159"/>
    <mergeCell ref="WSN159:WSS159"/>
    <mergeCell ref="WST159:WSY159"/>
    <mergeCell ref="WSZ159:WTE159"/>
    <mergeCell ref="WQL159:WQQ159"/>
    <mergeCell ref="WQR159:WQW159"/>
    <mergeCell ref="WQX159:WRC159"/>
    <mergeCell ref="WRD159:WRI159"/>
    <mergeCell ref="WRJ159:WRO159"/>
    <mergeCell ref="WRP159:WRU159"/>
    <mergeCell ref="WPB159:WPG159"/>
    <mergeCell ref="WPH159:WPM159"/>
    <mergeCell ref="WPN159:WPS159"/>
    <mergeCell ref="WPT159:WPY159"/>
    <mergeCell ref="WPZ159:WQE159"/>
    <mergeCell ref="WQF159:WQK159"/>
    <mergeCell ref="XET159:XEW159"/>
    <mergeCell ref="XCX159:XDC159"/>
    <mergeCell ref="XDD159:XDI159"/>
    <mergeCell ref="XDJ159:XDO159"/>
    <mergeCell ref="XDP159:XDU159"/>
    <mergeCell ref="XDV159:XEA159"/>
    <mergeCell ref="XEB159:XEG159"/>
    <mergeCell ref="XBN159:XBS159"/>
    <mergeCell ref="XBT159:XBY159"/>
    <mergeCell ref="XBZ159:XCE159"/>
    <mergeCell ref="XCF159:XCK159"/>
    <mergeCell ref="XCL159:XCQ159"/>
    <mergeCell ref="XCR159:XCW159"/>
    <mergeCell ref="XAD159:XAI159"/>
    <mergeCell ref="XAJ159:XAO159"/>
    <mergeCell ref="XAP159:XAU159"/>
    <mergeCell ref="XAV159:XBA159"/>
    <mergeCell ref="XBB159:XBG159"/>
    <mergeCell ref="XBH159:XBM159"/>
    <mergeCell ref="A221:F221"/>
    <mergeCell ref="A190:M190"/>
    <mergeCell ref="A205:E205"/>
    <mergeCell ref="XEH159:XEM159"/>
    <mergeCell ref="XEN159:XES159"/>
    <mergeCell ref="WVZ159:WWE159"/>
    <mergeCell ref="WWF159:WWK159"/>
    <mergeCell ref="WWL159:WWQ159"/>
    <mergeCell ref="WWR159:WWW159"/>
    <mergeCell ref="WWX159:WXC159"/>
    <mergeCell ref="WXD159:WXI159"/>
    <mergeCell ref="WUP159:WUU159"/>
    <mergeCell ref="WUV159:WVA159"/>
    <mergeCell ref="WVB159:WVG159"/>
    <mergeCell ref="WVH159:WVM159"/>
    <mergeCell ref="WVN159:WVS159"/>
    <mergeCell ref="WVT159:WVY159"/>
    <mergeCell ref="WTF159:WTK159"/>
    <mergeCell ref="WTL159:WTQ159"/>
    <mergeCell ref="WTR159:WTW159"/>
    <mergeCell ref="WTX159:WUC159"/>
    <mergeCell ref="WUD159:WUI159"/>
    <mergeCell ref="WUJ159:WUO159"/>
    <mergeCell ref="WYT159:WYY159"/>
    <mergeCell ref="WYZ159:WZE159"/>
    <mergeCell ref="WZF159:WZK159"/>
    <mergeCell ref="WZL159:WZQ159"/>
    <mergeCell ref="WZR159:WZW159"/>
    <mergeCell ref="WZX159:XAC159"/>
    <mergeCell ref="WXJ159:WXO159"/>
    <mergeCell ref="WXP159:WXU159"/>
    <mergeCell ref="WXV159:WYA159"/>
    <mergeCell ref="G329:H329"/>
    <mergeCell ref="I329:J329"/>
    <mergeCell ref="K329:L329"/>
    <mergeCell ref="A302:A303"/>
    <mergeCell ref="B302:C302"/>
    <mergeCell ref="D302:D303"/>
    <mergeCell ref="E302:F302"/>
    <mergeCell ref="G302:H302"/>
    <mergeCell ref="I302:J302"/>
    <mergeCell ref="K302:L302"/>
    <mergeCell ref="A329:A330"/>
    <mergeCell ref="B329:C329"/>
    <mergeCell ref="D329:D330"/>
    <mergeCell ref="E329:F329"/>
    <mergeCell ref="B271:C271"/>
    <mergeCell ref="D271:D272"/>
    <mergeCell ref="E271:F271"/>
    <mergeCell ref="G271:H271"/>
    <mergeCell ref="I271:J271"/>
    <mergeCell ref="K271:L271"/>
    <mergeCell ref="A271:A272"/>
    <mergeCell ref="A385:A386"/>
    <mergeCell ref="B385:C385"/>
    <mergeCell ref="D385:D386"/>
    <mergeCell ref="E385:F385"/>
    <mergeCell ref="G385:H385"/>
    <mergeCell ref="I385:J385"/>
    <mergeCell ref="K385:L385"/>
    <mergeCell ref="A357:A358"/>
    <mergeCell ref="B357:C357"/>
    <mergeCell ref="D357:D358"/>
    <mergeCell ref="E357:F357"/>
    <mergeCell ref="G357:H357"/>
    <mergeCell ref="I357:J357"/>
    <mergeCell ref="K357:L357"/>
    <mergeCell ref="A412:A413"/>
    <mergeCell ref="B412:C412"/>
    <mergeCell ref="D412:D413"/>
    <mergeCell ref="E412:F412"/>
    <mergeCell ref="G412:H412"/>
  </mergeCells>
  <phoneticPr fontId="15" type="noConversion"/>
  <pageMargins left="0.7" right="0.7" top="0.75" bottom="0.75" header="0.3" footer="0.3"/>
  <pageSetup orientation="landscape" horizontalDpi="200" verticalDpi="200" r:id="rId1"/>
  <headerFooter alignWithMargins="0"/>
  <ignoredErrors>
    <ignoredError sqref="D10:F18 F281 H281 J281 G281 K281 F338 H338 J338 F421 F366 H366 J366 G338 I338 K338 F311 H311 J311 G311 I311 K311 G366 I366 K366 G421 F9 E19 I316 D202 F394 H394 J394 G39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92D050"/>
    <pageSetUpPr fitToPage="1"/>
  </sheetPr>
  <dimension ref="A1:S56"/>
  <sheetViews>
    <sheetView zoomScale="150" zoomScaleNormal="150" workbookViewId="0">
      <pane xSplit="1" ySplit="3" topLeftCell="F10" activePane="bottomRight" state="frozen"/>
      <selection pane="topRight" activeCell="B1" sqref="B1"/>
      <selection pane="bottomLeft" activeCell="A4" sqref="A4"/>
      <selection pane="bottomRight" activeCell="O23" sqref="O23"/>
    </sheetView>
  </sheetViews>
  <sheetFormatPr defaultRowHeight="12.75" x14ac:dyDescent="0.2"/>
  <cols>
    <col min="1" max="1" width="42.5703125" customWidth="1"/>
    <col min="2" max="2" width="14" bestFit="1" customWidth="1"/>
    <col min="3" max="7" width="12.5703125" bestFit="1" customWidth="1"/>
    <col min="8" max="10" width="12.5703125" customWidth="1"/>
    <col min="11" max="12" width="12.5703125" bestFit="1" customWidth="1"/>
    <col min="13" max="13" width="13" customWidth="1"/>
    <col min="14" max="14" width="12.5703125" customWidth="1"/>
    <col min="15" max="15" width="18" bestFit="1" customWidth="1"/>
  </cols>
  <sheetData>
    <row r="1" spans="1:19" ht="15.75" x14ac:dyDescent="0.25">
      <c r="A1" s="27" t="s">
        <v>170</v>
      </c>
    </row>
    <row r="2" spans="1:19" x14ac:dyDescent="0.2">
      <c r="L2" s="29" t="s">
        <v>168</v>
      </c>
      <c r="M2" s="29" t="s">
        <v>169</v>
      </c>
    </row>
    <row r="3" spans="1:19" ht="25.5" x14ac:dyDescent="0.2">
      <c r="B3" s="29" t="s">
        <v>67</v>
      </c>
      <c r="C3" s="29" t="s">
        <v>57</v>
      </c>
      <c r="D3" s="29" t="s">
        <v>58</v>
      </c>
      <c r="E3" s="29" t="s">
        <v>59</v>
      </c>
      <c r="F3" s="29" t="s">
        <v>62</v>
      </c>
      <c r="G3" s="29" t="s">
        <v>63</v>
      </c>
      <c r="H3" s="29" t="s">
        <v>68</v>
      </c>
      <c r="I3" s="29" t="s">
        <v>69</v>
      </c>
      <c r="J3" s="29" t="s">
        <v>70</v>
      </c>
      <c r="K3" s="29" t="s">
        <v>183</v>
      </c>
      <c r="L3" s="29" t="s">
        <v>87</v>
      </c>
      <c r="M3" s="29" t="s">
        <v>87</v>
      </c>
    </row>
    <row r="4" spans="1:19" x14ac:dyDescent="0.2">
      <c r="A4" s="14" t="s">
        <v>48</v>
      </c>
      <c r="B4" s="21">
        <f>'Power Purchased Model'!B153</f>
        <v>222844848</v>
      </c>
      <c r="C4" s="21">
        <f>'Power Purchased Model'!B154</f>
        <v>216436884</v>
      </c>
      <c r="D4" s="21">
        <f>'Power Purchased Model'!B155</f>
        <v>211050246</v>
      </c>
      <c r="E4" s="21">
        <f>'Power Purchased Model'!B156</f>
        <v>217280995.02387795</v>
      </c>
      <c r="F4" s="21">
        <f>'Power Purchased Model'!B157</f>
        <v>241087151.13</v>
      </c>
      <c r="G4" s="21">
        <f>'Power Purchased Model'!B158</f>
        <v>255923211</v>
      </c>
      <c r="H4" s="21">
        <f>'Power Purchased Model'!B159</f>
        <v>252540603</v>
      </c>
      <c r="I4" s="21">
        <f>'Power Purchased Model'!B160</f>
        <v>265226888</v>
      </c>
      <c r="J4" s="21">
        <f>'Power Purchased Model'!B161</f>
        <v>279572890</v>
      </c>
      <c r="K4" s="37">
        <f>'Power Purchased Model'!B162</f>
        <v>281399999.13</v>
      </c>
    </row>
    <row r="5" spans="1:19" x14ac:dyDescent="0.2">
      <c r="A5" s="14" t="s">
        <v>49</v>
      </c>
      <c r="B5" s="21">
        <f>'Power Purchased Model'!H153</f>
        <v>228231516.38532308</v>
      </c>
      <c r="C5" s="21">
        <f>'Power Purchased Model'!H154</f>
        <v>223984882.18800622</v>
      </c>
      <c r="D5" s="21">
        <f>'Power Purchased Model'!H155</f>
        <v>220670957.53909245</v>
      </c>
      <c r="E5" s="21">
        <f>'Power Purchased Model'!H156</f>
        <v>222936935.79111478</v>
      </c>
      <c r="F5" s="21">
        <f>'Power Purchased Model'!H157</f>
        <v>231146708.30304456</v>
      </c>
      <c r="G5" s="21">
        <f>'Power Purchased Model'!H158</f>
        <v>238698376.49621281</v>
      </c>
      <c r="H5" s="21">
        <f>'Power Purchased Model'!H159</f>
        <v>248560275.93597302</v>
      </c>
      <c r="I5" s="21">
        <f>'Power Purchased Model'!H160</f>
        <v>265083240.63657501</v>
      </c>
      <c r="J5" s="21">
        <f>'Power Purchased Model'!H161</f>
        <v>280348495.50124574</v>
      </c>
      <c r="K5" s="21">
        <f>'Power Purchased Model'!H162</f>
        <v>281897516.58727068</v>
      </c>
      <c r="L5" s="275">
        <f>'Power Purchased Model'!H163</f>
        <v>286442559.29903477</v>
      </c>
      <c r="M5" s="275">
        <f>'Power Purchased Model'!H164</f>
        <v>291373034.71136582</v>
      </c>
    </row>
    <row r="6" spans="1:19" x14ac:dyDescent="0.2">
      <c r="A6" s="14" t="s">
        <v>7</v>
      </c>
      <c r="B6" s="28">
        <f t="shared" ref="B6:J6" si="0">(B5-B4)/B4</f>
        <v>2.4172281449033443E-2</v>
      </c>
      <c r="C6" s="28">
        <f t="shared" si="0"/>
        <v>3.4873899718525898E-2</v>
      </c>
      <c r="D6" s="28">
        <f t="shared" si="0"/>
        <v>4.5584934021315714E-2</v>
      </c>
      <c r="E6" s="28">
        <f t="shared" si="0"/>
        <v>2.603053601910868E-2</v>
      </c>
      <c r="F6" s="28">
        <f t="shared" si="0"/>
        <v>-4.1231740390823696E-2</v>
      </c>
      <c r="G6" s="28">
        <f t="shared" si="0"/>
        <v>-6.7304698297909332E-2</v>
      </c>
      <c r="H6" s="28">
        <f t="shared" si="0"/>
        <v>-1.5761137087436913E-2</v>
      </c>
      <c r="I6" s="28">
        <f t="shared" si="0"/>
        <v>-5.4160181310496168E-4</v>
      </c>
      <c r="J6" s="28">
        <f t="shared" si="0"/>
        <v>2.7742514706835027E-3</v>
      </c>
    </row>
    <row r="7" spans="1:19" x14ac:dyDescent="0.2">
      <c r="A7" s="14"/>
      <c r="B7" s="28"/>
      <c r="C7" s="28"/>
      <c r="D7" s="28"/>
      <c r="E7" s="28"/>
      <c r="F7" s="28"/>
      <c r="G7" s="28"/>
      <c r="H7" s="28"/>
      <c r="I7" s="28"/>
      <c r="J7" s="28"/>
      <c r="K7" s="21"/>
      <c r="L7" s="21"/>
      <c r="M7" s="21"/>
    </row>
    <row r="8" spans="1:19" x14ac:dyDescent="0.2">
      <c r="A8" s="14"/>
      <c r="B8" s="28"/>
      <c r="C8" s="28"/>
      <c r="D8" s="28"/>
      <c r="E8" s="28"/>
      <c r="F8" s="28"/>
      <c r="G8" s="28"/>
      <c r="H8" s="28"/>
      <c r="I8" s="28"/>
      <c r="J8" s="28"/>
      <c r="K8" s="37"/>
      <c r="L8" s="37"/>
      <c r="M8" s="37"/>
      <c r="N8" s="37"/>
    </row>
    <row r="9" spans="1:19" x14ac:dyDescent="0.2">
      <c r="A9" s="14"/>
      <c r="B9" s="28"/>
      <c r="C9" s="28"/>
      <c r="D9" s="28"/>
      <c r="E9" s="28"/>
      <c r="F9" s="28"/>
      <c r="G9" s="28"/>
      <c r="H9" s="28"/>
      <c r="I9" s="28"/>
      <c r="J9" s="28"/>
    </row>
    <row r="10" spans="1:19" x14ac:dyDescent="0.2">
      <c r="A10" s="14" t="s">
        <v>64</v>
      </c>
      <c r="B10" s="6">
        <f>'Rate Class Energy Model'!G3</f>
        <v>204773501.5</v>
      </c>
      <c r="C10" s="6">
        <f>'Rate Class Energy Model'!G4</f>
        <v>201146570.5</v>
      </c>
      <c r="D10" s="6">
        <f>'Rate Class Energy Model'!G5</f>
        <v>197263064.90000001</v>
      </c>
      <c r="E10" s="6">
        <f>'Rate Class Energy Model'!G6</f>
        <v>203063777.39999998</v>
      </c>
      <c r="F10" s="6">
        <f>'Rate Class Energy Model'!G7</f>
        <v>224565775.07520857</v>
      </c>
      <c r="G10" s="6">
        <f>'Rate Class Energy Model'!G8</f>
        <v>235800480.53377673</v>
      </c>
      <c r="H10" s="6">
        <f>'Rate Class Energy Model'!G9</f>
        <v>229140219.85089642</v>
      </c>
      <c r="I10" s="6">
        <f>'Rate Class Energy Model'!G10</f>
        <v>244314343.79167747</v>
      </c>
      <c r="J10" s="6">
        <f>'Rate Class Energy Model'!G11</f>
        <v>256287580.02670693</v>
      </c>
      <c r="K10" s="6">
        <f>'Rate Class Energy Model'!G12</f>
        <v>259742424</v>
      </c>
      <c r="L10" s="6">
        <f>'Rate Class Energy Model'!G13</f>
        <v>263441796.62702098</v>
      </c>
      <c r="M10" s="6">
        <f>'Rate Class Energy Model'!G14</f>
        <v>267976364.75833645</v>
      </c>
    </row>
    <row r="11" spans="1:19" x14ac:dyDescent="0.2">
      <c r="A11" s="14"/>
      <c r="K11" s="6"/>
    </row>
    <row r="12" spans="1:19" ht="15.75" x14ac:dyDescent="0.25">
      <c r="A12" s="27" t="s">
        <v>50</v>
      </c>
      <c r="B12" s="1"/>
      <c r="D12" s="1"/>
      <c r="G12" s="37"/>
      <c r="N12" s="37"/>
      <c r="P12" s="37">
        <f>P14+O14</f>
        <v>23342.75</v>
      </c>
    </row>
    <row r="13" spans="1:19" x14ac:dyDescent="0.2">
      <c r="A13" s="26" t="str">
        <f>'Rate Class Energy Model'!H2</f>
        <v>R1(i) Residential</v>
      </c>
      <c r="B13" s="1"/>
      <c r="C13" s="1"/>
      <c r="D13" s="1"/>
      <c r="G13" s="6"/>
      <c r="H13" s="6"/>
      <c r="I13" s="6"/>
      <c r="J13" s="6"/>
      <c r="K13" s="6"/>
      <c r="L13" s="6"/>
      <c r="M13" s="6"/>
    </row>
    <row r="14" spans="1:19" x14ac:dyDescent="0.2">
      <c r="A14" t="s">
        <v>42</v>
      </c>
      <c r="B14" s="6">
        <f>'Rate Class Customer Model'!B3</f>
        <v>7397.916666666667</v>
      </c>
      <c r="C14" s="6">
        <f>'Rate Class Customer Model'!B4</f>
        <v>7479.5</v>
      </c>
      <c r="D14" s="6">
        <f>'Rate Class Customer Model'!B5</f>
        <v>7543.75</v>
      </c>
      <c r="E14" s="6">
        <f>'Rate Class Customer Model'!B6</f>
        <v>7596.416666666667</v>
      </c>
      <c r="F14" s="6">
        <f>'Rate Class Customer Model'!B7</f>
        <v>7639.75</v>
      </c>
      <c r="G14" s="6">
        <f>'Rate Class Customer Model'!B8</f>
        <v>7697.5</v>
      </c>
      <c r="H14" s="6">
        <f>'Rate Class Customer Model'!B9</f>
        <v>7924.5</v>
      </c>
      <c r="I14" s="6">
        <f>'Rate Class Customer Model'!B10</f>
        <v>8204.5</v>
      </c>
      <c r="J14" s="6">
        <f>'Rate Class Customer Model'!B11</f>
        <v>8360.5</v>
      </c>
      <c r="K14" s="6">
        <f>'Rate Class Customer Model'!B12</f>
        <v>8485</v>
      </c>
      <c r="L14" s="6">
        <f>'Rate Class Customer Model'!B13</f>
        <v>8566.6002674063275</v>
      </c>
      <c r="M14" s="6">
        <f>'Rate Class Customer Model'!B14</f>
        <v>8634.8849400222571</v>
      </c>
      <c r="N14" s="37">
        <f>L14+L18+L27</f>
        <v>12394.622135142044</v>
      </c>
      <c r="O14" s="37">
        <f>E14+E18+E27</f>
        <v>11665.666666666668</v>
      </c>
      <c r="P14" s="37">
        <f>F14+F18+F27</f>
        <v>11677.083333333332</v>
      </c>
      <c r="Q14" s="37">
        <f>G14+G18+G27</f>
        <v>11687</v>
      </c>
      <c r="R14" s="37">
        <f>H14+H18+H27</f>
        <v>11882.5</v>
      </c>
      <c r="S14" s="37">
        <f>SUM(I14+I18+I27)</f>
        <v>12128</v>
      </c>
    </row>
    <row r="15" spans="1:19" x14ac:dyDescent="0.2">
      <c r="A15" t="s">
        <v>43</v>
      </c>
      <c r="B15" s="6">
        <f>'Rate Class Energy Model'!H3</f>
        <v>85393126</v>
      </c>
      <c r="C15" s="6">
        <f>'Rate Class Energy Model'!H4</f>
        <v>80876149.5</v>
      </c>
      <c r="D15" s="36">
        <f>'Rate Class Energy Model'!H5</f>
        <v>75910135.700000003</v>
      </c>
      <c r="E15" s="6">
        <f>'Rate Class Energy Model'!H6</f>
        <v>76321855.799999997</v>
      </c>
      <c r="F15" s="6">
        <f>'Rate Class Energy Model'!H7</f>
        <v>82424404.340000227</v>
      </c>
      <c r="G15" s="6">
        <f>'Rate Class Energy Model'!H8</f>
        <v>86629135.540000111</v>
      </c>
      <c r="H15" s="6">
        <f>'Rate Class Energy Model'!H9</f>
        <v>91478383.059998766</v>
      </c>
      <c r="I15" s="6">
        <f>'Rate Class Energy Model'!H10</f>
        <v>92005689.629998744</v>
      </c>
      <c r="J15" s="6">
        <f>'Rate Class Energy Model'!H11</f>
        <v>99292265.290000916</v>
      </c>
      <c r="K15" s="6">
        <f>'Rate Class Energy Model'!H12</f>
        <v>96395846</v>
      </c>
      <c r="L15" s="6">
        <f>'Rate Class Energy Model'!H32</f>
        <v>98355302.905827716</v>
      </c>
      <c r="M15" s="6">
        <f>'Rate Class Energy Model'!H33</f>
        <v>101862509.1831217</v>
      </c>
      <c r="N15" s="37">
        <f>M14+M18+M27</f>
        <v>12424.257821029132</v>
      </c>
    </row>
    <row r="16" spans="1:19" x14ac:dyDescent="0.2">
      <c r="B16" s="36"/>
      <c r="E16" s="37"/>
      <c r="F16" s="37"/>
      <c r="H16" s="37"/>
      <c r="I16" s="37"/>
      <c r="K16" s="37"/>
      <c r="N16" s="37">
        <f>L15-K15</f>
        <v>1959456.905827716</v>
      </c>
      <c r="O16" s="302">
        <f>(E14+F14)/2</f>
        <v>7618.0833333333339</v>
      </c>
    </row>
    <row r="17" spans="1:15" x14ac:dyDescent="0.2">
      <c r="A17" s="26" t="str">
        <f>'Rate Class Energy Model'!I2</f>
        <v>R1(ii) GS &lt; 50 kW</v>
      </c>
      <c r="B17" s="47"/>
      <c r="C17" s="1"/>
      <c r="D17" s="1"/>
      <c r="E17" s="1"/>
      <c r="F17" s="6"/>
      <c r="G17" s="6"/>
      <c r="H17" s="6"/>
      <c r="I17" s="6"/>
      <c r="J17" s="6"/>
      <c r="K17" s="6"/>
      <c r="L17" s="6"/>
      <c r="M17" s="6"/>
      <c r="O17">
        <f>(E18+F18)/2</f>
        <v>961.04166666666663</v>
      </c>
    </row>
    <row r="18" spans="1:15" ht="13.5" customHeight="1" x14ac:dyDescent="0.2">
      <c r="A18" t="s">
        <v>42</v>
      </c>
      <c r="B18" s="6">
        <f>'Rate Class Customer Model'!C3</f>
        <v>955.66666666666663</v>
      </c>
      <c r="C18" s="6">
        <f>'Rate Class Customer Model'!C4</f>
        <v>954.25</v>
      </c>
      <c r="D18" s="6">
        <f>'Rate Class Customer Model'!C5</f>
        <v>951.16666666666663</v>
      </c>
      <c r="E18" s="6">
        <f>'Rate Class Customer Model'!C6</f>
        <v>961.16666666666663</v>
      </c>
      <c r="F18" s="6">
        <f>'Rate Class Customer Model'!C7</f>
        <v>960.91666666666663</v>
      </c>
      <c r="G18" s="6">
        <f>'Rate Class Customer Model'!C8</f>
        <v>951</v>
      </c>
      <c r="H18" s="6">
        <f>'Rate Class Customer Model'!C9</f>
        <v>968.5</v>
      </c>
      <c r="I18" s="6">
        <f>'Rate Class Customer Model'!C10</f>
        <v>998.5</v>
      </c>
      <c r="J18" s="6">
        <f>'Rate Class Customer Model'!C11</f>
        <v>1025</v>
      </c>
      <c r="K18" s="6">
        <f>'Rate Class Customer Model'!C12</f>
        <v>1055</v>
      </c>
      <c r="L18" s="6">
        <f>'Rate Class Customer Model'!C13</f>
        <v>1071.6069871659804</v>
      </c>
      <c r="M18" s="6">
        <f>'Rate Class Customer Model'!C14</f>
        <v>1070.55837274188</v>
      </c>
      <c r="O18" s="37">
        <f>(E27+F27)/2</f>
        <v>3092.25</v>
      </c>
    </row>
    <row r="19" spans="1:15" x14ac:dyDescent="0.2">
      <c r="A19" t="s">
        <v>43</v>
      </c>
      <c r="B19" s="6">
        <f>'Rate Class Energy Model'!I3</f>
        <v>27212831</v>
      </c>
      <c r="C19" s="6">
        <f>'Rate Class Energy Model'!I4</f>
        <v>26130351</v>
      </c>
      <c r="D19" s="6">
        <f>'Rate Class Energy Model'!I5</f>
        <v>24984442</v>
      </c>
      <c r="E19" s="6">
        <f>'Rate Class Energy Model'!I6</f>
        <v>25604789</v>
      </c>
      <c r="F19" s="6">
        <f>'Rate Class Energy Model'!I7</f>
        <v>26132430.019999992</v>
      </c>
      <c r="G19" s="6">
        <f>'Rate Class Energy Model'!I8</f>
        <v>26695948.809999999</v>
      </c>
      <c r="H19" s="6">
        <f>'Rate Class Energy Model'!I9</f>
        <v>27143066.610000066</v>
      </c>
      <c r="I19" s="6">
        <f>'Rate Class Energy Model'!I10</f>
        <v>27745373.102553256</v>
      </c>
      <c r="J19" s="6">
        <f>'Rate Class Energy Model'!I11</f>
        <v>29567137.169999924</v>
      </c>
      <c r="K19" s="6">
        <f>'Rate Class Energy Model'!I12</f>
        <v>28496501</v>
      </c>
      <c r="L19" s="6">
        <f>'Rate Class Energy Model'!I32</f>
        <v>29252124.950657092</v>
      </c>
      <c r="M19" s="6">
        <f>'Rate Class Energy Model'!I33</f>
        <v>30026227.638344064</v>
      </c>
      <c r="O19" s="302">
        <f>SUM(O16:O18)</f>
        <v>11671.375</v>
      </c>
    </row>
    <row r="20" spans="1:15" x14ac:dyDescent="0.2">
      <c r="B20" s="1"/>
      <c r="F20" s="37"/>
      <c r="H20" s="37"/>
      <c r="I20" s="37"/>
      <c r="K20" s="37"/>
      <c r="M20" s="37"/>
    </row>
    <row r="21" spans="1:15" x14ac:dyDescent="0.2">
      <c r="A21" s="26" t="str">
        <f>'Rate Class Energy Model'!J2</f>
        <v>R2 GS&gt;50 kW</v>
      </c>
      <c r="B21" s="1"/>
      <c r="C21" s="1"/>
      <c r="D21" s="1"/>
      <c r="E21" s="1"/>
      <c r="N21" s="37"/>
    </row>
    <row r="22" spans="1:15" x14ac:dyDescent="0.2">
      <c r="A22" t="s">
        <v>42</v>
      </c>
      <c r="B22" s="6">
        <f>'Rate Class Customer Model'!D3</f>
        <v>43.416666666666664</v>
      </c>
      <c r="C22" s="6">
        <f>'Rate Class Customer Model'!D4</f>
        <v>42.166666666666664</v>
      </c>
      <c r="D22" s="6">
        <f>'Rate Class Customer Model'!D5</f>
        <v>42.083333333333336</v>
      </c>
      <c r="E22" s="6">
        <f>'Rate Class Customer Model'!D6</f>
        <v>38.166666666666664</v>
      </c>
      <c r="F22" s="6">
        <f>'Rate Class Customer Model'!D7</f>
        <v>39.75</v>
      </c>
      <c r="G22" s="6">
        <f>'Rate Class Customer Model'!D8</f>
        <v>39.5</v>
      </c>
      <c r="H22" s="6">
        <f>'Rate Class Customer Model'!D9</f>
        <v>40.5</v>
      </c>
      <c r="I22" s="6">
        <f>'Rate Class Customer Model'!D10</f>
        <v>42.5</v>
      </c>
      <c r="J22" s="6">
        <f>'Rate Class Customer Model'!D11</f>
        <v>45.5</v>
      </c>
      <c r="K22" s="6">
        <f>'Rate Class Customer Model'!D12</f>
        <v>47</v>
      </c>
      <c r="L22" s="6">
        <f>'Rate Class Customer Model'!D13</f>
        <v>47</v>
      </c>
      <c r="M22" s="6">
        <f>'Rate Class Customer Model'!D14</f>
        <v>46.119647750507838</v>
      </c>
    </row>
    <row r="23" spans="1:15" x14ac:dyDescent="0.2">
      <c r="A23" t="s">
        <v>43</v>
      </c>
      <c r="B23" s="6">
        <f>'Rate Class Energy Model'!J3</f>
        <v>83470707.799999997</v>
      </c>
      <c r="C23" s="6">
        <f>'Rate Class Energy Model'!J4</f>
        <v>86528983.700000003</v>
      </c>
      <c r="D23" s="6">
        <f>'Rate Class Energy Model'!J5</f>
        <v>89578885.799999997</v>
      </c>
      <c r="E23" s="6">
        <f>'Rate Class Energy Model'!J6</f>
        <v>94512142.900000006</v>
      </c>
      <c r="F23" s="6">
        <f>'Rate Class Energy Model'!J7</f>
        <v>109385574.42520839</v>
      </c>
      <c r="G23" s="6">
        <f>'Rate Class Energy Model'!J8</f>
        <v>115631848.81377667</v>
      </c>
      <c r="H23" s="6">
        <f>'Rate Class Energy Model'!J9</f>
        <v>103396925.32089764</v>
      </c>
      <c r="I23" s="6">
        <f>'Rate Class Energy Model'!J10</f>
        <v>117544957.4291255</v>
      </c>
      <c r="J23" s="6">
        <f>'Rate Class Energy Model'!J11</f>
        <v>120294405.22670604</v>
      </c>
      <c r="K23" s="6">
        <f>'Rate Class Energy Model'!J12</f>
        <v>128188723</v>
      </c>
      <c r="L23" s="6">
        <f>'Rate Class Energy Model'!J32</f>
        <v>129260118.30292217</v>
      </c>
      <c r="M23" s="6">
        <f>'Rate Class Energy Model'!J33</f>
        <v>181489761.91863358</v>
      </c>
    </row>
    <row r="24" spans="1:15" x14ac:dyDescent="0.2">
      <c r="A24" t="s">
        <v>44</v>
      </c>
      <c r="B24" s="6">
        <f>'Rate Class Load Model'!B2</f>
        <v>196688</v>
      </c>
      <c r="C24" s="6">
        <f>'Rate Class Load Model'!B3</f>
        <v>208261</v>
      </c>
      <c r="D24" s="6">
        <f>'Rate Class Load Model'!B4</f>
        <v>217368.6</v>
      </c>
      <c r="E24" s="6">
        <f>'Rate Class Load Model'!B5</f>
        <v>210836.1</v>
      </c>
      <c r="F24" s="6">
        <f>'Rate Class Load Model'!B6</f>
        <v>234798.30000000002</v>
      </c>
      <c r="G24" s="6">
        <f>'Rate Class Load Model'!B7</f>
        <v>243009.88000000006</v>
      </c>
      <c r="H24" s="6">
        <f>'Rate Class Load Model'!B8</f>
        <v>232896.94000000003</v>
      </c>
      <c r="I24" s="6">
        <f>'Rate Class Load Model'!B9</f>
        <v>251732.03000000003</v>
      </c>
      <c r="J24" s="6">
        <f>'Rate Class Load Model'!B10</f>
        <v>260826.09999999986</v>
      </c>
      <c r="K24" s="6">
        <f>'Rate Class Load Model'!B11</f>
        <v>278055</v>
      </c>
      <c r="L24" s="6">
        <f>'Rate Class Load Model'!B12</f>
        <v>289543.01212369604</v>
      </c>
      <c r="M24" s="6">
        <f>'Rate Class Load Model'!B13</f>
        <v>377162.21757648617</v>
      </c>
    </row>
    <row r="25" spans="1:15" x14ac:dyDescent="0.2">
      <c r="B25" s="6"/>
      <c r="C25" s="6"/>
      <c r="D25" s="6"/>
      <c r="E25" s="6"/>
      <c r="F25" s="6"/>
      <c r="G25" s="6"/>
      <c r="H25" s="6"/>
      <c r="J25" s="6"/>
      <c r="K25" s="6"/>
      <c r="M25" s="6"/>
      <c r="N25" s="37"/>
    </row>
    <row r="26" spans="1:15" x14ac:dyDescent="0.2">
      <c r="A26" s="26" t="str">
        <f>'Rate Class Energy Model'!K2</f>
        <v>Seasonal</v>
      </c>
      <c r="D26" s="1"/>
      <c r="E26" s="1"/>
      <c r="G26" s="1"/>
      <c r="J26" s="6"/>
    </row>
    <row r="27" spans="1:15" x14ac:dyDescent="0.2">
      <c r="A27" t="s">
        <v>45</v>
      </c>
      <c r="B27" s="6">
        <f>'Rate Class Customer Model'!E3</f>
        <v>3254.5</v>
      </c>
      <c r="C27" s="6">
        <f>'Rate Class Customer Model'!E4</f>
        <v>3175.9166666666665</v>
      </c>
      <c r="D27" s="6">
        <f>'Rate Class Customer Model'!E5</f>
        <v>3139.9166666666665</v>
      </c>
      <c r="E27" s="6">
        <f>'Rate Class Customer Model'!E6</f>
        <v>3108.0833333333335</v>
      </c>
      <c r="F27" s="6">
        <f>'Rate Class Customer Model'!E7</f>
        <v>3076.4166666666665</v>
      </c>
      <c r="G27" s="6">
        <f>'Rate Class Customer Model'!E8</f>
        <v>3038.5</v>
      </c>
      <c r="H27" s="6">
        <f>'Rate Class Customer Model'!E9</f>
        <v>2989.5</v>
      </c>
      <c r="I27" s="6">
        <f>'Rate Class Customer Model'!E10</f>
        <v>2925</v>
      </c>
      <c r="J27" s="6">
        <f>'Rate Class Customer Model'!E11</f>
        <v>2848.5</v>
      </c>
      <c r="K27" s="6">
        <f>'Rate Class Customer Model'!E12</f>
        <v>2793</v>
      </c>
      <c r="L27" s="6">
        <f>'Rate Class Customer Model'!E13</f>
        <v>2756.4148805697369</v>
      </c>
      <c r="M27" s="6">
        <f>'Rate Class Customer Model'!E14</f>
        <v>2718.8145082649953</v>
      </c>
    </row>
    <row r="28" spans="1:15" x14ac:dyDescent="0.2">
      <c r="A28" t="s">
        <v>43</v>
      </c>
      <c r="B28" s="6">
        <f>'Rate Class Energy Model'!K3</f>
        <v>7919568</v>
      </c>
      <c r="C28" s="6">
        <f>'Rate Class Energy Model'!K4</f>
        <v>6868390</v>
      </c>
      <c r="D28" s="6">
        <f>'Rate Class Energy Model'!K5</f>
        <v>6205026</v>
      </c>
      <c r="E28" s="6">
        <f>'Rate Class Energy Model'!K6</f>
        <v>6042453</v>
      </c>
      <c r="F28" s="6">
        <f>'Rate Class Energy Model'!K7</f>
        <v>6046269.2899999535</v>
      </c>
      <c r="G28" s="6">
        <f>'Rate Class Energy Model'!K8</f>
        <v>6277417.3699999545</v>
      </c>
      <c r="H28" s="6">
        <f>'Rate Class Energy Model'!K9</f>
        <v>6529262.7599999467</v>
      </c>
      <c r="I28" s="6">
        <f>'Rate Class Energy Model'!K10</f>
        <v>6424167.5299999965</v>
      </c>
      <c r="J28" s="6">
        <f>'Rate Class Energy Model'!K11</f>
        <v>6540797.4400000293</v>
      </c>
      <c r="K28" s="6">
        <f>'Rate Class Energy Model'!K12</f>
        <v>6123988</v>
      </c>
      <c r="L28" s="6">
        <f>'Rate Class Energy Model'!K32</f>
        <v>6043770.7309812028</v>
      </c>
      <c r="M28" s="6">
        <f>'Rate Class Energy Model'!K33</f>
        <v>5961327.3980811778</v>
      </c>
    </row>
    <row r="29" spans="1:15" x14ac:dyDescent="0.2">
      <c r="G29" s="6"/>
      <c r="H29" s="6"/>
      <c r="J29" s="6"/>
      <c r="K29" s="6"/>
      <c r="M29" s="6"/>
    </row>
    <row r="30" spans="1:15" x14ac:dyDescent="0.2">
      <c r="A30" s="26" t="str">
        <f>'Rate Class Energy Model'!L2</f>
        <v>Street Lights</v>
      </c>
      <c r="D30" s="1"/>
      <c r="F30" s="1"/>
      <c r="J30" s="18"/>
    </row>
    <row r="31" spans="1:15" x14ac:dyDescent="0.2">
      <c r="A31" t="s">
        <v>45</v>
      </c>
      <c r="B31" s="6">
        <f>'Rate Class Customer Model'!F3</f>
        <v>1018.5833333333334</v>
      </c>
      <c r="C31" s="6">
        <f>'Rate Class Customer Model'!F4</f>
        <v>1022.6666666666666</v>
      </c>
      <c r="D31" s="6">
        <f>'Rate Class Customer Model'!F5</f>
        <v>1066.3333333333333</v>
      </c>
      <c r="E31" s="6">
        <f>'Rate Class Customer Model'!F6</f>
        <v>1070</v>
      </c>
      <c r="F31" s="6">
        <f>'Rate Class Customer Model'!F7</f>
        <v>1067.0833333333333</v>
      </c>
      <c r="G31" s="6">
        <f>'Rate Class Customer Model'!F8</f>
        <v>1074.5</v>
      </c>
      <c r="H31" s="6">
        <f>'Rate Class Customer Model'!F9</f>
        <v>1105</v>
      </c>
      <c r="I31" s="6">
        <f>'Rate Class Customer Model'!F10</f>
        <v>1141</v>
      </c>
      <c r="J31" s="6">
        <f>'Rate Class Customer Model'!F11</f>
        <v>1146</v>
      </c>
      <c r="K31" s="6">
        <f>'Rate Class Customer Model'!F12</f>
        <v>1131.5</v>
      </c>
      <c r="L31" s="6">
        <f>'Rate Class Customer Model'!F13</f>
        <v>1117</v>
      </c>
      <c r="M31" s="6">
        <f>'Rate Class Customer Model'!F14</f>
        <v>1129.0031247807513</v>
      </c>
    </row>
    <row r="32" spans="1:15" x14ac:dyDescent="0.2">
      <c r="A32" t="s">
        <v>43</v>
      </c>
      <c r="B32" s="6">
        <f>'Rate Class Energy Model'!L3</f>
        <v>777268.7</v>
      </c>
      <c r="C32" s="6">
        <f>'Rate Class Energy Model'!L4</f>
        <v>742696.3</v>
      </c>
      <c r="D32" s="6">
        <f>'Rate Class Energy Model'!L5</f>
        <v>584575.4</v>
      </c>
      <c r="E32" s="6">
        <f>'Rate Class Energy Model'!L6</f>
        <v>582536.69999999995</v>
      </c>
      <c r="F32" s="6">
        <f>'Rate Class Energy Model'!L7</f>
        <v>577097.00000000012</v>
      </c>
      <c r="G32" s="6">
        <f>'Rate Class Energy Model'!L8</f>
        <v>566130.00000000012</v>
      </c>
      <c r="H32" s="6">
        <f>'Rate Class Energy Model'!L9</f>
        <v>592582.10000000009</v>
      </c>
      <c r="I32" s="6">
        <f>'Rate Class Energy Model'!L10</f>
        <v>594156.09999999986</v>
      </c>
      <c r="J32" s="6">
        <f>'Rate Class Energy Model'!L11</f>
        <v>592974.89999999991</v>
      </c>
      <c r="K32" s="6">
        <f>'Rate Class Energy Model'!L12</f>
        <v>537366</v>
      </c>
      <c r="L32" s="6">
        <f>'Rate Class Energy Model'!L32</f>
        <v>530479.73663278832</v>
      </c>
      <c r="M32" s="6">
        <f>'Rate Class Energy Model'!L33</f>
        <v>536180.1972169095</v>
      </c>
    </row>
    <row r="33" spans="1:15" x14ac:dyDescent="0.2">
      <c r="A33" t="s">
        <v>44</v>
      </c>
      <c r="B33" s="6">
        <f>'Rate Class Load Model'!C2</f>
        <v>2227</v>
      </c>
      <c r="C33" s="6">
        <f>'Rate Class Load Model'!C3</f>
        <v>2128</v>
      </c>
      <c r="D33" s="6">
        <f>'Rate Class Load Model'!C4</f>
        <v>1623</v>
      </c>
      <c r="E33" s="6">
        <f>'Rate Class Load Model'!C5</f>
        <v>1619</v>
      </c>
      <c r="F33" s="6">
        <f>'Rate Class Load Model'!C6</f>
        <v>1580.78</v>
      </c>
      <c r="G33" s="6">
        <f>'Rate Class Load Model'!C7</f>
        <v>1574</v>
      </c>
      <c r="H33" s="6">
        <f>'Rate Class Load Model'!C8</f>
        <v>1635.91</v>
      </c>
      <c r="I33" s="6">
        <f>'Rate Class Load Model'!C9</f>
        <v>1593.23</v>
      </c>
      <c r="J33" s="6">
        <f>'Rate Class Load Model'!C10</f>
        <v>1705.9</v>
      </c>
      <c r="K33" s="6">
        <f>'Rate Class Load Model'!C11</f>
        <v>1505</v>
      </c>
      <c r="L33" s="6">
        <f>'Rate Class Load Model'!C12</f>
        <v>1481.3733740889902</v>
      </c>
      <c r="M33" s="6">
        <f>'Rate Class Load Model'!C13</f>
        <v>1497.2920038616603</v>
      </c>
    </row>
    <row r="36" spans="1:15" x14ac:dyDescent="0.2">
      <c r="A36" s="26" t="s">
        <v>8</v>
      </c>
      <c r="B36" s="1"/>
      <c r="D36" s="1"/>
      <c r="G36" s="45"/>
    </row>
    <row r="37" spans="1:15" x14ac:dyDescent="0.2">
      <c r="A37" t="s">
        <v>47</v>
      </c>
      <c r="B37" s="6">
        <f>+B14+B18+B22+B27+B31</f>
        <v>12670.083333333334</v>
      </c>
      <c r="C37" s="6">
        <f t="shared" ref="C37:M37" si="1">+C14+C18+C22+C27+C31</f>
        <v>12674.499999999998</v>
      </c>
      <c r="D37" s="6">
        <f t="shared" si="1"/>
        <v>12743.25</v>
      </c>
      <c r="E37" s="6">
        <f t="shared" si="1"/>
        <v>12773.833333333334</v>
      </c>
      <c r="F37" s="6">
        <f t="shared" si="1"/>
        <v>12783.916666666666</v>
      </c>
      <c r="G37" s="6">
        <f t="shared" si="1"/>
        <v>12801</v>
      </c>
      <c r="H37" s="6">
        <f t="shared" si="1"/>
        <v>13028</v>
      </c>
      <c r="I37" s="6">
        <f t="shared" si="1"/>
        <v>13311.5</v>
      </c>
      <c r="J37" s="6">
        <f t="shared" si="1"/>
        <v>13425.5</v>
      </c>
      <c r="K37" s="6">
        <f t="shared" si="1"/>
        <v>13511.5</v>
      </c>
      <c r="L37" s="6">
        <f t="shared" si="1"/>
        <v>13558.622135142044</v>
      </c>
      <c r="M37" s="6">
        <f t="shared" si="1"/>
        <v>13599.38059356039</v>
      </c>
    </row>
    <row r="38" spans="1:15" x14ac:dyDescent="0.2">
      <c r="A38" t="s">
        <v>43</v>
      </c>
      <c r="B38" s="6">
        <f>+B15+B19+B23+B28+B32</f>
        <v>204773501.5</v>
      </c>
      <c r="C38" s="6">
        <f t="shared" ref="C38:L38" si="2">+C15+C19+C23+C28+C32</f>
        <v>201146570.5</v>
      </c>
      <c r="D38" s="6">
        <f t="shared" si="2"/>
        <v>197263064.90000001</v>
      </c>
      <c r="E38" s="6">
        <f t="shared" si="2"/>
        <v>203063777.39999998</v>
      </c>
      <c r="F38" s="6">
        <f t="shared" si="2"/>
        <v>224565775.07520857</v>
      </c>
      <c r="G38" s="6">
        <f t="shared" si="2"/>
        <v>235800480.53377673</v>
      </c>
      <c r="H38" s="6">
        <f t="shared" si="2"/>
        <v>229140219.85089642</v>
      </c>
      <c r="I38" s="6">
        <f t="shared" si="2"/>
        <v>244314343.79167747</v>
      </c>
      <c r="J38" s="6">
        <f t="shared" si="2"/>
        <v>256287580.02670693</v>
      </c>
      <c r="K38" s="6">
        <f t="shared" si="2"/>
        <v>259742424</v>
      </c>
      <c r="L38" s="6">
        <f t="shared" si="2"/>
        <v>263441796.62702096</v>
      </c>
      <c r="M38" s="6">
        <f>+M15+M19+M23+M28+M32</f>
        <v>319876006.33539742</v>
      </c>
    </row>
    <row r="39" spans="1:15" x14ac:dyDescent="0.2">
      <c r="A39" t="s">
        <v>46</v>
      </c>
      <c r="B39" s="6">
        <f>+B24+B33</f>
        <v>198915</v>
      </c>
      <c r="C39" s="6">
        <f t="shared" ref="C39:M39" si="3">+C24+C33</f>
        <v>210389</v>
      </c>
      <c r="D39" s="6">
        <f t="shared" si="3"/>
        <v>218991.6</v>
      </c>
      <c r="E39" s="6">
        <f t="shared" si="3"/>
        <v>212455.1</v>
      </c>
      <c r="F39" s="6">
        <f t="shared" si="3"/>
        <v>236379.08000000002</v>
      </c>
      <c r="G39" s="6">
        <f t="shared" si="3"/>
        <v>244583.88000000006</v>
      </c>
      <c r="H39" s="6">
        <f t="shared" si="3"/>
        <v>234532.85000000003</v>
      </c>
      <c r="I39" s="6">
        <f t="shared" si="3"/>
        <v>253325.26000000004</v>
      </c>
      <c r="J39" s="6">
        <f t="shared" si="3"/>
        <v>262531.99999999988</v>
      </c>
      <c r="K39" s="6">
        <f t="shared" si="3"/>
        <v>279560</v>
      </c>
      <c r="L39" s="6">
        <f>+L24+L33</f>
        <v>291024.38549778506</v>
      </c>
      <c r="M39" s="6">
        <f t="shared" si="3"/>
        <v>378659.50958034786</v>
      </c>
    </row>
    <row r="40" spans="1:15" x14ac:dyDescent="0.2">
      <c r="B40" s="45"/>
      <c r="C40" s="1"/>
      <c r="D40" s="1"/>
      <c r="E40" s="1"/>
    </row>
    <row r="41" spans="1:15" x14ac:dyDescent="0.2">
      <c r="A41" t="s">
        <v>47</v>
      </c>
      <c r="B41" s="6">
        <f>'Rate Class Customer Model'!G3</f>
        <v>12670.083333333334</v>
      </c>
      <c r="C41" s="6">
        <f>'Rate Class Customer Model'!G4</f>
        <v>12674.499999999998</v>
      </c>
      <c r="D41" s="6">
        <f>'Rate Class Customer Model'!G5</f>
        <v>12743.25</v>
      </c>
      <c r="E41" s="6">
        <f>'Rate Class Customer Model'!G6</f>
        <v>12773.833333333334</v>
      </c>
      <c r="F41" s="6">
        <f>'Rate Class Customer Model'!G7</f>
        <v>12783.916666666666</v>
      </c>
      <c r="G41" s="6">
        <f>'Rate Class Customer Model'!G8</f>
        <v>12801</v>
      </c>
      <c r="H41" s="6">
        <f>'Rate Class Customer Model'!G9</f>
        <v>13028</v>
      </c>
      <c r="I41" s="6">
        <f>'Rate Class Customer Model'!G10</f>
        <v>13311.5</v>
      </c>
      <c r="J41" s="6">
        <f>'Rate Class Customer Model'!G11</f>
        <v>13425.5</v>
      </c>
      <c r="K41" s="6">
        <f>'Rate Class Customer Model'!G12</f>
        <v>13511.5</v>
      </c>
      <c r="L41" s="6">
        <f>'Rate Class Customer Model'!G13</f>
        <v>13558.622135142044</v>
      </c>
      <c r="M41" s="6">
        <f>'Rate Class Customer Model'!G14</f>
        <v>13599.38059356039</v>
      </c>
    </row>
    <row r="42" spans="1:15" x14ac:dyDescent="0.2">
      <c r="A42" t="s">
        <v>43</v>
      </c>
      <c r="B42" s="6">
        <f>'Rate Class Energy Model'!G3</f>
        <v>204773501.5</v>
      </c>
      <c r="C42" s="6">
        <f>'Rate Class Energy Model'!G4</f>
        <v>201146570.5</v>
      </c>
      <c r="D42" s="6">
        <f>'Rate Class Energy Model'!G5</f>
        <v>197263064.90000001</v>
      </c>
      <c r="E42" s="6">
        <f>'Rate Class Energy Model'!G6</f>
        <v>203063777.39999998</v>
      </c>
      <c r="F42" s="6">
        <f>'Rate Class Energy Model'!G7</f>
        <v>224565775.07520857</v>
      </c>
      <c r="G42" s="6">
        <f>'Rate Class Energy Model'!G8</f>
        <v>235800480.53377673</v>
      </c>
      <c r="H42" s="6">
        <f>'Rate Class Energy Model'!G9</f>
        <v>229140219.85089642</v>
      </c>
      <c r="I42" s="6">
        <f>'Rate Class Energy Model'!G10</f>
        <v>244314343.79167747</v>
      </c>
      <c r="J42" s="6">
        <f>'Rate Class Energy Model'!G11</f>
        <v>256287580.02670693</v>
      </c>
      <c r="K42" s="6">
        <f>'Rate Class Energy Model'!G12</f>
        <v>259742424</v>
      </c>
      <c r="L42" s="6">
        <f>'Rate Class Energy Model'!M32</f>
        <v>263441796.62702096</v>
      </c>
      <c r="M42" s="6">
        <f>'Rate Class Energy Model'!M33</f>
        <v>319876006.33539742</v>
      </c>
      <c r="N42" s="6"/>
      <c r="O42" s="37"/>
    </row>
    <row r="43" spans="1:15" x14ac:dyDescent="0.2">
      <c r="A43" t="s">
        <v>46</v>
      </c>
      <c r="B43" s="6">
        <f>'Rate Class Load Model'!D2</f>
        <v>198915</v>
      </c>
      <c r="C43" s="6">
        <f>'Rate Class Load Model'!D3</f>
        <v>210389</v>
      </c>
      <c r="D43" s="6">
        <f>'Rate Class Load Model'!D4</f>
        <v>218991.6</v>
      </c>
      <c r="E43" s="6">
        <f>'Rate Class Load Model'!D5</f>
        <v>212455.1</v>
      </c>
      <c r="F43" s="6">
        <f>'Rate Class Load Model'!D6</f>
        <v>236379.08000000002</v>
      </c>
      <c r="G43" s="6">
        <f>'Rate Class Load Model'!D7</f>
        <v>244583.88000000006</v>
      </c>
      <c r="H43" s="6">
        <f>'Rate Class Load Model'!D8</f>
        <v>234532.85000000003</v>
      </c>
      <c r="I43" s="6">
        <f>'Rate Class Load Model'!D9</f>
        <v>253325.26000000004</v>
      </c>
      <c r="J43" s="6">
        <f>'Rate Class Load Model'!D10</f>
        <v>262531.99999999988</v>
      </c>
      <c r="K43" s="6">
        <f>'Rate Class Load Model'!D11</f>
        <v>279560</v>
      </c>
      <c r="L43" s="6">
        <f>'Rate Class Load Model'!D12</f>
        <v>291024.38549778506</v>
      </c>
      <c r="M43" s="6">
        <f>'Rate Class Load Model'!D13</f>
        <v>378659.50958034786</v>
      </c>
    </row>
    <row r="45" spans="1:15" hidden="1" x14ac:dyDescent="0.2">
      <c r="A45" t="s">
        <v>47</v>
      </c>
      <c r="G45" s="6">
        <f>'Rate Class Load Model'!D11</f>
        <v>279560</v>
      </c>
      <c r="H45" s="6" t="e">
        <f>#REF!</f>
        <v>#REF!</v>
      </c>
      <c r="I45" s="6"/>
      <c r="J45" s="6"/>
      <c r="K45" s="6" t="e">
        <f>#REF!</f>
        <v>#REF!</v>
      </c>
      <c r="L45" s="6" t="e">
        <f>#REF!</f>
        <v>#REF!</v>
      </c>
      <c r="M45" s="6"/>
    </row>
    <row r="46" spans="1:15" hidden="1" x14ac:dyDescent="0.2">
      <c r="A46" t="s">
        <v>43</v>
      </c>
      <c r="G46" s="6">
        <f>'Rate Class Load Model'!D12</f>
        <v>291024.38549778506</v>
      </c>
      <c r="H46" s="6" t="e">
        <f>#REF!</f>
        <v>#REF!</v>
      </c>
      <c r="I46" s="6"/>
      <c r="J46" s="6"/>
      <c r="K46" s="6" t="e">
        <f>#REF!</f>
        <v>#REF!</v>
      </c>
      <c r="L46" s="6" t="e">
        <f>#REF!</f>
        <v>#REF!</v>
      </c>
      <c r="M46" s="6"/>
    </row>
    <row r="47" spans="1:15" hidden="1" x14ac:dyDescent="0.2">
      <c r="A47" t="s">
        <v>46</v>
      </c>
      <c r="G47" s="6">
        <f>'Rate Class Load Model'!D14</f>
        <v>0</v>
      </c>
      <c r="H47" s="6" t="e">
        <f>#REF!</f>
        <v>#REF!</v>
      </c>
      <c r="I47" s="6"/>
      <c r="J47" s="6"/>
      <c r="K47" s="6" t="e">
        <f>#REF!</f>
        <v>#REF!</v>
      </c>
      <c r="L47" s="6" t="e">
        <f>#REF!</f>
        <v>#REF!</v>
      </c>
      <c r="M47" s="6"/>
    </row>
    <row r="48" spans="1:15" hidden="1" x14ac:dyDescent="0.2">
      <c r="G48" s="6">
        <f>'Rate Class Load Model'!D15</f>
        <v>0</v>
      </c>
    </row>
    <row r="49" spans="1:13" hidden="1" x14ac:dyDescent="0.2">
      <c r="A49" t="s">
        <v>47</v>
      </c>
      <c r="G49" s="6" t="e">
        <f>'Rate Class Load Model'!#REF!</f>
        <v>#REF!</v>
      </c>
      <c r="H49" s="6" t="e">
        <f>#REF!-H45</f>
        <v>#REF!</v>
      </c>
      <c r="I49" s="6"/>
      <c r="J49" s="6"/>
      <c r="K49" s="6" t="e">
        <f>#REF!-K45</f>
        <v>#REF!</v>
      </c>
      <c r="L49" s="6" t="e">
        <f>#REF!-L45</f>
        <v>#REF!</v>
      </c>
      <c r="M49" s="6"/>
    </row>
    <row r="50" spans="1:13" hidden="1" x14ac:dyDescent="0.2">
      <c r="A50" t="s">
        <v>43</v>
      </c>
      <c r="G50" s="6">
        <f>'Rate Class Load Model'!C16</f>
        <v>2.8651610440507897E-3</v>
      </c>
      <c r="H50" s="6" t="e">
        <f>#REF!-H46</f>
        <v>#REF!</v>
      </c>
      <c r="I50" s="6"/>
      <c r="J50" s="6"/>
      <c r="K50" s="6" t="e">
        <f>#REF!-K46</f>
        <v>#REF!</v>
      </c>
      <c r="L50" s="6" t="e">
        <f>#REF!-L46</f>
        <v>#REF!</v>
      </c>
      <c r="M50" s="6"/>
    </row>
    <row r="51" spans="1:13" hidden="1" x14ac:dyDescent="0.2">
      <c r="A51" t="s">
        <v>46</v>
      </c>
      <c r="G51" s="6">
        <f>'Rate Class Load Model'!C17</f>
        <v>2.8652357632588175E-3</v>
      </c>
      <c r="H51" s="6" t="e">
        <f>#REF!-H47</f>
        <v>#REF!</v>
      </c>
      <c r="I51" s="6"/>
      <c r="J51" s="6"/>
      <c r="K51" s="6" t="e">
        <f>#REF!-K47</f>
        <v>#REF!</v>
      </c>
      <c r="L51" s="6" t="e">
        <f>#REF!-L47</f>
        <v>#REF!</v>
      </c>
      <c r="M51" s="6"/>
    </row>
    <row r="52" spans="1:13" hidden="1" x14ac:dyDescent="0.2">
      <c r="G52" s="6">
        <f>'Rate Class Load Model'!C18</f>
        <v>2.7763740999022539E-3</v>
      </c>
    </row>
    <row r="53" spans="1:13" x14ac:dyDescent="0.2">
      <c r="A53" s="44" t="s">
        <v>13</v>
      </c>
      <c r="G53" s="6"/>
    </row>
    <row r="54" spans="1:13" x14ac:dyDescent="0.2">
      <c r="A54" t="s">
        <v>47</v>
      </c>
      <c r="B54" s="6">
        <f t="shared" ref="B54:L54" si="4">B37-B41</f>
        <v>0</v>
      </c>
      <c r="C54" s="6">
        <f t="shared" si="4"/>
        <v>0</v>
      </c>
      <c r="D54" s="6">
        <f t="shared" si="4"/>
        <v>0</v>
      </c>
      <c r="E54" s="6">
        <f t="shared" si="4"/>
        <v>0</v>
      </c>
      <c r="F54" s="6">
        <f t="shared" si="4"/>
        <v>0</v>
      </c>
      <c r="G54" s="6">
        <f t="shared" si="4"/>
        <v>0</v>
      </c>
      <c r="H54" s="6">
        <f t="shared" si="4"/>
        <v>0</v>
      </c>
      <c r="I54" s="6">
        <f t="shared" ref="I54:J56" si="5">I37-I41</f>
        <v>0</v>
      </c>
      <c r="J54" s="6">
        <f t="shared" si="5"/>
        <v>0</v>
      </c>
      <c r="K54" s="6">
        <f t="shared" si="4"/>
        <v>0</v>
      </c>
      <c r="L54" s="6">
        <f t="shared" si="4"/>
        <v>0</v>
      </c>
      <c r="M54" s="6">
        <f t="shared" ref="M54" si="6">M37-M41</f>
        <v>0</v>
      </c>
    </row>
    <row r="55" spans="1:13" x14ac:dyDescent="0.2">
      <c r="A55" t="s">
        <v>43</v>
      </c>
      <c r="B55" s="6">
        <f t="shared" ref="B55:L55" si="7">B38-B42</f>
        <v>0</v>
      </c>
      <c r="C55" s="6">
        <f t="shared" si="7"/>
        <v>0</v>
      </c>
      <c r="D55" s="6">
        <f t="shared" si="7"/>
        <v>0</v>
      </c>
      <c r="E55" s="6">
        <f t="shared" si="7"/>
        <v>0</v>
      </c>
      <c r="F55" s="6">
        <f t="shared" si="7"/>
        <v>0</v>
      </c>
      <c r="G55" s="6">
        <f t="shared" si="7"/>
        <v>0</v>
      </c>
      <c r="H55" s="6">
        <f t="shared" si="7"/>
        <v>0</v>
      </c>
      <c r="I55" s="6">
        <f t="shared" si="5"/>
        <v>0</v>
      </c>
      <c r="J55" s="6">
        <f t="shared" si="5"/>
        <v>0</v>
      </c>
      <c r="K55" s="6">
        <f t="shared" si="7"/>
        <v>0</v>
      </c>
      <c r="L55" s="6">
        <f t="shared" si="7"/>
        <v>0</v>
      </c>
      <c r="M55" s="6">
        <f t="shared" ref="M55" si="8">M38-M42</f>
        <v>0</v>
      </c>
    </row>
    <row r="56" spans="1:13" x14ac:dyDescent="0.2">
      <c r="A56" t="s">
        <v>46</v>
      </c>
      <c r="B56" s="6">
        <f t="shared" ref="B56:L56" si="9">B39-B43</f>
        <v>0</v>
      </c>
      <c r="C56" s="6">
        <f t="shared" si="9"/>
        <v>0</v>
      </c>
      <c r="D56" s="6">
        <f t="shared" si="9"/>
        <v>0</v>
      </c>
      <c r="E56" s="6">
        <f t="shared" si="9"/>
        <v>0</v>
      </c>
      <c r="F56" s="6">
        <f t="shared" si="9"/>
        <v>0</v>
      </c>
      <c r="G56" s="6">
        <f t="shared" si="9"/>
        <v>0</v>
      </c>
      <c r="H56" s="6">
        <f t="shared" si="9"/>
        <v>0</v>
      </c>
      <c r="I56" s="6">
        <f t="shared" si="5"/>
        <v>0</v>
      </c>
      <c r="J56" s="6">
        <f t="shared" si="5"/>
        <v>0</v>
      </c>
      <c r="K56" s="6">
        <f t="shared" si="9"/>
        <v>0</v>
      </c>
      <c r="L56" s="6">
        <f t="shared" si="9"/>
        <v>0</v>
      </c>
      <c r="M56" s="6">
        <f t="shared" ref="M56" si="10">M39-M43</f>
        <v>0</v>
      </c>
    </row>
  </sheetData>
  <phoneticPr fontId="0" type="noConversion"/>
  <pageMargins left="0.38" right="0.75" top="0.73" bottom="0.74" header="0.5" footer="0.5"/>
  <pageSetup scale="74" fitToHeight="2" orientation="landscape" r:id="rId1"/>
  <headerFooter alignWithMargins="0">
    <oddFooter>&amp;L&amp;Z&amp;F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7B346-ED58-44B3-9FDD-A0A09AC813AF}">
  <dimension ref="A1:N31"/>
  <sheetViews>
    <sheetView topLeftCell="A2" zoomScale="150" zoomScaleNormal="150" workbookViewId="0">
      <selection activeCell="F42" sqref="F42"/>
    </sheetView>
  </sheetViews>
  <sheetFormatPr defaultRowHeight="12.75" x14ac:dyDescent="0.2"/>
  <cols>
    <col min="2" max="2" width="11.42578125" bestFit="1" customWidth="1"/>
    <col min="9" max="9" width="15.42578125" customWidth="1"/>
    <col min="12" max="12" width="22.42578125" customWidth="1"/>
    <col min="14" max="14" width="16.5703125" customWidth="1"/>
  </cols>
  <sheetData>
    <row r="1" spans="1:14" x14ac:dyDescent="0.2">
      <c r="A1" t="s">
        <v>191</v>
      </c>
    </row>
    <row r="2" spans="1:14" ht="51" x14ac:dyDescent="0.2">
      <c r="A2" s="276"/>
      <c r="B2" s="277" t="s">
        <v>60</v>
      </c>
      <c r="C2" s="278" t="s">
        <v>3</v>
      </c>
      <c r="D2" s="278" t="s">
        <v>4</v>
      </c>
      <c r="E2" s="278" t="s">
        <v>73</v>
      </c>
      <c r="F2" s="279" t="s">
        <v>14</v>
      </c>
      <c r="G2" s="278" t="s">
        <v>85</v>
      </c>
      <c r="H2" s="278" t="s">
        <v>9</v>
      </c>
      <c r="I2" s="280" t="s">
        <v>179</v>
      </c>
      <c r="J2" s="278" t="s">
        <v>180</v>
      </c>
      <c r="K2" s="245" t="s">
        <v>181</v>
      </c>
      <c r="L2" s="244" t="s">
        <v>173</v>
      </c>
      <c r="M2" s="244" t="s">
        <v>175</v>
      </c>
      <c r="N2" s="244" t="s">
        <v>176</v>
      </c>
    </row>
    <row r="3" spans="1:14" x14ac:dyDescent="0.2">
      <c r="A3" s="281">
        <v>41305</v>
      </c>
      <c r="B3" s="282">
        <v>22920544</v>
      </c>
      <c r="C3" s="282">
        <v>778.70001220703125</v>
      </c>
      <c r="D3" s="282">
        <v>0</v>
      </c>
      <c r="E3" s="282">
        <v>31</v>
      </c>
      <c r="F3" s="283">
        <v>0</v>
      </c>
      <c r="G3" s="282">
        <v>11639</v>
      </c>
      <c r="H3" s="282">
        <f t="shared" ref="H3:H14" si="0">$Q$20+$Q$21*C3+$Q$22*D3+$Q$23*E3+$Q$24*F3+$Q$25*G3</f>
        <v>0</v>
      </c>
      <c r="I3" s="33">
        <f t="shared" ref="I3:I14" si="1">H3-B3</f>
        <v>-22920544</v>
      </c>
      <c r="J3" s="42">
        <f t="shared" ref="J3:J14" si="2">I3/B3</f>
        <v>-1</v>
      </c>
      <c r="K3" s="284">
        <f>ABS(J3)</f>
        <v>1</v>
      </c>
      <c r="L3" s="285">
        <f>I3*I3</f>
        <v>525351337255936</v>
      </c>
      <c r="M3" s="284"/>
      <c r="N3" s="284"/>
    </row>
    <row r="4" spans="1:14" x14ac:dyDescent="0.2">
      <c r="A4" s="281">
        <v>41333</v>
      </c>
      <c r="B4" s="282">
        <v>20421552</v>
      </c>
      <c r="C4" s="282">
        <v>759.0999755859375</v>
      </c>
      <c r="D4" s="282">
        <v>0</v>
      </c>
      <c r="E4" s="282">
        <v>28</v>
      </c>
      <c r="F4" s="283">
        <v>0</v>
      </c>
      <c r="G4" s="282">
        <v>11639</v>
      </c>
      <c r="H4" s="282">
        <f t="shared" si="0"/>
        <v>0</v>
      </c>
      <c r="I4" s="33">
        <f t="shared" si="1"/>
        <v>-20421552</v>
      </c>
      <c r="J4" s="42">
        <f t="shared" si="2"/>
        <v>-1</v>
      </c>
      <c r="K4" s="284">
        <f t="shared" ref="K4:K14" si="3">ABS(J4)</f>
        <v>1</v>
      </c>
      <c r="L4" s="285">
        <f t="shared" ref="L4:L14" si="4">I4*I4</f>
        <v>417039786088704</v>
      </c>
      <c r="M4" s="285">
        <f>I4-I3</f>
        <v>2498992</v>
      </c>
      <c r="N4" s="285">
        <f>M4*M4</f>
        <v>6244961016064</v>
      </c>
    </row>
    <row r="5" spans="1:14" x14ac:dyDescent="0.2">
      <c r="A5" s="281">
        <v>41364</v>
      </c>
      <c r="B5" s="282">
        <v>20297290</v>
      </c>
      <c r="C5" s="282">
        <v>721.0999755859375</v>
      </c>
      <c r="D5" s="282">
        <v>0</v>
      </c>
      <c r="E5" s="282">
        <v>31</v>
      </c>
      <c r="F5" s="283">
        <v>1</v>
      </c>
      <c r="G5" s="282">
        <v>11635</v>
      </c>
      <c r="H5" s="282">
        <f t="shared" si="0"/>
        <v>0</v>
      </c>
      <c r="I5" s="33">
        <f t="shared" si="1"/>
        <v>-20297290</v>
      </c>
      <c r="J5" s="42">
        <f t="shared" si="2"/>
        <v>-1</v>
      </c>
      <c r="K5" s="284">
        <f t="shared" si="3"/>
        <v>1</v>
      </c>
      <c r="L5" s="285">
        <f t="shared" si="4"/>
        <v>411979981344100</v>
      </c>
      <c r="M5" s="285">
        <f t="shared" ref="M5:M14" si="5">I5-I4</f>
        <v>124262</v>
      </c>
      <c r="N5" s="285">
        <f t="shared" ref="N5:N14" si="6">M5*M5</f>
        <v>15441044644</v>
      </c>
    </row>
    <row r="6" spans="1:14" x14ac:dyDescent="0.2">
      <c r="A6" s="281">
        <v>41394</v>
      </c>
      <c r="B6" s="282">
        <v>18263961</v>
      </c>
      <c r="C6" s="282">
        <v>547.79998779296875</v>
      </c>
      <c r="D6" s="282">
        <v>0</v>
      </c>
      <c r="E6" s="282">
        <v>30</v>
      </c>
      <c r="F6" s="283">
        <v>1</v>
      </c>
      <c r="G6" s="282">
        <v>11620</v>
      </c>
      <c r="H6" s="282">
        <f t="shared" si="0"/>
        <v>0</v>
      </c>
      <c r="I6" s="33">
        <f t="shared" si="1"/>
        <v>-18263961</v>
      </c>
      <c r="J6" s="42">
        <f t="shared" si="2"/>
        <v>-1</v>
      </c>
      <c r="K6" s="284">
        <f t="shared" si="3"/>
        <v>1</v>
      </c>
      <c r="L6" s="285">
        <f t="shared" si="4"/>
        <v>333572271409521</v>
      </c>
      <c r="M6" s="285">
        <f t="shared" si="5"/>
        <v>2033329</v>
      </c>
      <c r="N6" s="285">
        <f t="shared" si="6"/>
        <v>4134426822241</v>
      </c>
    </row>
    <row r="7" spans="1:14" x14ac:dyDescent="0.2">
      <c r="A7" s="281">
        <v>41425</v>
      </c>
      <c r="B7" s="282">
        <v>15457378</v>
      </c>
      <c r="C7" s="282">
        <v>249.5</v>
      </c>
      <c r="D7" s="282">
        <v>3</v>
      </c>
      <c r="E7" s="282">
        <v>31</v>
      </c>
      <c r="F7" s="283">
        <v>1</v>
      </c>
      <c r="G7" s="282">
        <v>11620</v>
      </c>
      <c r="H7" s="282">
        <f t="shared" si="0"/>
        <v>0</v>
      </c>
      <c r="I7" s="33">
        <f t="shared" si="1"/>
        <v>-15457378</v>
      </c>
      <c r="J7" s="42">
        <f t="shared" si="2"/>
        <v>-1</v>
      </c>
      <c r="K7" s="284">
        <f t="shared" si="3"/>
        <v>1</v>
      </c>
      <c r="L7" s="285">
        <f t="shared" si="4"/>
        <v>238930534634884</v>
      </c>
      <c r="M7" s="285">
        <f t="shared" si="5"/>
        <v>2806583</v>
      </c>
      <c r="N7" s="285">
        <f t="shared" si="6"/>
        <v>7876908135889</v>
      </c>
    </row>
    <row r="8" spans="1:14" x14ac:dyDescent="0.2">
      <c r="A8" s="281">
        <v>41455</v>
      </c>
      <c r="B8" s="282">
        <v>14409566</v>
      </c>
      <c r="C8" s="282">
        <v>106.19999694824219</v>
      </c>
      <c r="D8" s="282">
        <v>12.399999618530273</v>
      </c>
      <c r="E8" s="282">
        <v>30</v>
      </c>
      <c r="F8" s="283">
        <v>0</v>
      </c>
      <c r="G8" s="282">
        <v>11619</v>
      </c>
      <c r="H8" s="282">
        <f t="shared" si="0"/>
        <v>0</v>
      </c>
      <c r="I8" s="33">
        <f t="shared" si="1"/>
        <v>-14409566</v>
      </c>
      <c r="J8" s="42">
        <f t="shared" si="2"/>
        <v>-1</v>
      </c>
      <c r="K8" s="284">
        <f t="shared" si="3"/>
        <v>1</v>
      </c>
      <c r="L8" s="285">
        <f t="shared" si="4"/>
        <v>207635592308356</v>
      </c>
      <c r="M8" s="285">
        <f t="shared" si="5"/>
        <v>1047812</v>
      </c>
      <c r="N8" s="285">
        <f t="shared" si="6"/>
        <v>1097909987344</v>
      </c>
    </row>
    <row r="9" spans="1:14" x14ac:dyDescent="0.2">
      <c r="A9" s="281">
        <v>41486</v>
      </c>
      <c r="B9" s="282">
        <v>15764667</v>
      </c>
      <c r="C9" s="282">
        <v>45</v>
      </c>
      <c r="D9" s="282">
        <v>51.799999237060547</v>
      </c>
      <c r="E9" s="282">
        <v>31</v>
      </c>
      <c r="F9" s="283">
        <v>0</v>
      </c>
      <c r="G9" s="282">
        <v>11613</v>
      </c>
      <c r="H9" s="282">
        <f t="shared" si="0"/>
        <v>0</v>
      </c>
      <c r="I9" s="33">
        <f t="shared" si="1"/>
        <v>-15764667</v>
      </c>
      <c r="J9" s="42">
        <f t="shared" si="2"/>
        <v>-1</v>
      </c>
      <c r="K9" s="284">
        <f t="shared" si="3"/>
        <v>1</v>
      </c>
      <c r="L9" s="285">
        <f t="shared" si="4"/>
        <v>248524725620889</v>
      </c>
      <c r="M9" s="285">
        <f t="shared" si="5"/>
        <v>-1355101</v>
      </c>
      <c r="N9" s="285">
        <f t="shared" si="6"/>
        <v>1836298720201</v>
      </c>
    </row>
    <row r="10" spans="1:14" x14ac:dyDescent="0.2">
      <c r="A10" s="281">
        <v>41517</v>
      </c>
      <c r="B10" s="282">
        <v>15264028</v>
      </c>
      <c r="C10" s="282">
        <v>58.099998474121094</v>
      </c>
      <c r="D10" s="282">
        <v>27.100000381469727</v>
      </c>
      <c r="E10" s="282">
        <v>31</v>
      </c>
      <c r="F10" s="283">
        <v>0</v>
      </c>
      <c r="G10" s="282">
        <v>11624</v>
      </c>
      <c r="H10" s="282">
        <f t="shared" si="0"/>
        <v>0</v>
      </c>
      <c r="I10" s="33">
        <f t="shared" si="1"/>
        <v>-15264028</v>
      </c>
      <c r="J10" s="42">
        <f t="shared" si="2"/>
        <v>-1</v>
      </c>
      <c r="K10" s="284">
        <f t="shared" si="3"/>
        <v>1</v>
      </c>
      <c r="L10" s="285">
        <f t="shared" si="4"/>
        <v>232990550784784</v>
      </c>
      <c r="M10" s="285">
        <f t="shared" si="5"/>
        <v>500639</v>
      </c>
      <c r="N10" s="285">
        <f t="shared" si="6"/>
        <v>250639408321</v>
      </c>
    </row>
    <row r="11" spans="1:14" x14ac:dyDescent="0.2">
      <c r="A11" s="281">
        <v>41547</v>
      </c>
      <c r="B11" s="282">
        <v>15271378</v>
      </c>
      <c r="C11" s="282">
        <v>165.60000610351563</v>
      </c>
      <c r="D11" s="282">
        <v>5.8000001907348633</v>
      </c>
      <c r="E11" s="282">
        <v>30</v>
      </c>
      <c r="F11" s="283">
        <v>1</v>
      </c>
      <c r="G11" s="282">
        <v>11625</v>
      </c>
      <c r="H11" s="282">
        <f t="shared" si="0"/>
        <v>0</v>
      </c>
      <c r="I11" s="33">
        <f t="shared" si="1"/>
        <v>-15271378</v>
      </c>
      <c r="J11" s="42">
        <f t="shared" si="2"/>
        <v>-1</v>
      </c>
      <c r="K11" s="284">
        <f t="shared" si="3"/>
        <v>1</v>
      </c>
      <c r="L11" s="285">
        <f t="shared" si="4"/>
        <v>233214986018884</v>
      </c>
      <c r="M11" s="285">
        <f t="shared" si="5"/>
        <v>-7350</v>
      </c>
      <c r="N11" s="285">
        <f t="shared" si="6"/>
        <v>54022500</v>
      </c>
    </row>
    <row r="12" spans="1:14" x14ac:dyDescent="0.2">
      <c r="A12" s="281">
        <v>41578</v>
      </c>
      <c r="B12" s="282">
        <v>17048823</v>
      </c>
      <c r="C12" s="282">
        <v>319</v>
      </c>
      <c r="D12" s="282">
        <v>0</v>
      </c>
      <c r="E12" s="282">
        <v>31</v>
      </c>
      <c r="F12" s="283">
        <v>1</v>
      </c>
      <c r="G12" s="282">
        <v>11621</v>
      </c>
      <c r="H12" s="282">
        <f t="shared" si="0"/>
        <v>0</v>
      </c>
      <c r="I12" s="33">
        <f t="shared" si="1"/>
        <v>-17048823</v>
      </c>
      <c r="J12" s="42">
        <f t="shared" si="2"/>
        <v>-1</v>
      </c>
      <c r="K12" s="284">
        <f t="shared" si="3"/>
        <v>1</v>
      </c>
      <c r="L12" s="285">
        <f t="shared" si="4"/>
        <v>290662365685329</v>
      </c>
      <c r="M12" s="285">
        <f t="shared" si="5"/>
        <v>-1777445</v>
      </c>
      <c r="N12" s="285">
        <f t="shared" si="6"/>
        <v>3159310728025</v>
      </c>
    </row>
    <row r="13" spans="1:14" x14ac:dyDescent="0.2">
      <c r="A13" s="281">
        <v>41608</v>
      </c>
      <c r="B13" s="282">
        <v>19410046</v>
      </c>
      <c r="C13" s="282">
        <v>543.70001220703125</v>
      </c>
      <c r="D13" s="282">
        <v>0</v>
      </c>
      <c r="E13" s="282">
        <v>30</v>
      </c>
      <c r="F13" s="283">
        <v>0</v>
      </c>
      <c r="G13" s="282">
        <v>11639</v>
      </c>
      <c r="H13" s="282">
        <f t="shared" si="0"/>
        <v>0</v>
      </c>
      <c r="I13" s="33">
        <f t="shared" si="1"/>
        <v>-19410046</v>
      </c>
      <c r="J13" s="42">
        <f t="shared" si="2"/>
        <v>-1</v>
      </c>
      <c r="K13" s="284">
        <f t="shared" si="3"/>
        <v>1</v>
      </c>
      <c r="L13" s="285">
        <f t="shared" si="4"/>
        <v>376749885722116</v>
      </c>
      <c r="M13" s="285">
        <f t="shared" si="5"/>
        <v>-2361223</v>
      </c>
      <c r="N13" s="285">
        <f t="shared" si="6"/>
        <v>5575374055729</v>
      </c>
    </row>
    <row r="14" spans="1:14" x14ac:dyDescent="0.2">
      <c r="A14" s="281">
        <v>41639</v>
      </c>
      <c r="B14" s="282">
        <v>24133258</v>
      </c>
      <c r="C14" s="282">
        <v>904.5999755859375</v>
      </c>
      <c r="D14" s="282">
        <v>0</v>
      </c>
      <c r="E14" s="282">
        <v>31</v>
      </c>
      <c r="F14" s="283">
        <v>0</v>
      </c>
      <c r="G14" s="282">
        <v>11661</v>
      </c>
      <c r="H14" s="282">
        <f t="shared" si="0"/>
        <v>0</v>
      </c>
      <c r="I14" s="33">
        <f t="shared" si="1"/>
        <v>-24133258</v>
      </c>
      <c r="J14" s="42">
        <f t="shared" si="2"/>
        <v>-1</v>
      </c>
      <c r="K14" s="284">
        <f t="shared" si="3"/>
        <v>1</v>
      </c>
      <c r="L14" s="285">
        <f t="shared" si="4"/>
        <v>582414141694564</v>
      </c>
      <c r="M14" s="285">
        <f t="shared" si="5"/>
        <v>-4723212</v>
      </c>
      <c r="N14" s="285">
        <f t="shared" si="6"/>
        <v>22308731596944</v>
      </c>
    </row>
    <row r="15" spans="1:14" x14ac:dyDescent="0.2">
      <c r="B15" s="240">
        <f>SUM(B3:B14)</f>
        <v>218662491</v>
      </c>
    </row>
    <row r="17" spans="1:14" x14ac:dyDescent="0.2">
      <c r="A17" t="s">
        <v>192</v>
      </c>
    </row>
    <row r="18" spans="1:14" ht="51" x14ac:dyDescent="0.2">
      <c r="A18" s="276"/>
      <c r="B18" s="277" t="s">
        <v>60</v>
      </c>
      <c r="C18" s="278" t="s">
        <v>3</v>
      </c>
      <c r="D18" s="278" t="s">
        <v>4</v>
      </c>
      <c r="E18" s="278" t="s">
        <v>73</v>
      </c>
      <c r="F18" s="279" t="s">
        <v>14</v>
      </c>
      <c r="G18" s="278" t="s">
        <v>85</v>
      </c>
      <c r="H18" s="278" t="s">
        <v>9</v>
      </c>
      <c r="I18" s="280" t="s">
        <v>179</v>
      </c>
      <c r="J18" s="278" t="s">
        <v>180</v>
      </c>
      <c r="K18" s="245" t="s">
        <v>181</v>
      </c>
      <c r="L18" s="244" t="s">
        <v>173</v>
      </c>
      <c r="M18" s="244" t="s">
        <v>175</v>
      </c>
      <c r="N18" s="244" t="s">
        <v>176</v>
      </c>
    </row>
    <row r="19" spans="1:14" x14ac:dyDescent="0.2">
      <c r="A19" s="281">
        <v>41305</v>
      </c>
      <c r="B19" s="282">
        <v>22920544</v>
      </c>
      <c r="C19" s="282">
        <v>498.90000427246093</v>
      </c>
      <c r="D19" s="282">
        <v>0</v>
      </c>
      <c r="E19" s="282">
        <v>31</v>
      </c>
      <c r="F19" s="283">
        <v>0</v>
      </c>
      <c r="G19" s="282">
        <v>11639</v>
      </c>
      <c r="H19" s="282">
        <f t="shared" ref="H19:H30" si="7">$Q$19+$Q$20*C19+$Q$21*D19+$Q$22*E19+$Q$23*F19+$Q$24*G19</f>
        <v>0</v>
      </c>
      <c r="I19" s="33">
        <f t="shared" ref="I19:I30" si="8">H19-B19</f>
        <v>-22920544</v>
      </c>
      <c r="J19" s="42">
        <f t="shared" ref="J19:J30" si="9">I19/B19</f>
        <v>-1</v>
      </c>
      <c r="K19" s="284">
        <f>ABS(J19)</f>
        <v>1</v>
      </c>
      <c r="L19" s="285">
        <f>I19*I19</f>
        <v>525351337255936</v>
      </c>
      <c r="M19" s="284"/>
      <c r="N19" s="284"/>
    </row>
    <row r="20" spans="1:14" x14ac:dyDescent="0.2">
      <c r="A20" s="281">
        <v>41333</v>
      </c>
      <c r="B20" s="282">
        <v>20421552</v>
      </c>
      <c r="C20" s="282">
        <v>281.87999725341797</v>
      </c>
      <c r="D20" s="282">
        <v>1.9499999940395356</v>
      </c>
      <c r="E20" s="282">
        <v>28</v>
      </c>
      <c r="F20" s="283">
        <v>0</v>
      </c>
      <c r="G20" s="282">
        <v>11639</v>
      </c>
      <c r="H20" s="282">
        <f t="shared" si="7"/>
        <v>0</v>
      </c>
      <c r="I20" s="33">
        <f t="shared" si="8"/>
        <v>-20421552</v>
      </c>
      <c r="J20" s="42">
        <f t="shared" si="9"/>
        <v>-1</v>
      </c>
      <c r="K20" s="284">
        <f t="shared" ref="K20:K30" si="10">ABS(J20)</f>
        <v>1</v>
      </c>
      <c r="L20" s="285">
        <f t="shared" ref="L20:L30" si="11">I20*I20</f>
        <v>417039786088704</v>
      </c>
      <c r="M20" s="285">
        <f>I20-I19</f>
        <v>2498992</v>
      </c>
      <c r="N20" s="285">
        <f>M20*M20</f>
        <v>6244961016064</v>
      </c>
    </row>
    <row r="21" spans="1:14" x14ac:dyDescent="0.2">
      <c r="A21" s="281">
        <v>41364</v>
      </c>
      <c r="B21" s="282">
        <v>20297290</v>
      </c>
      <c r="C21" s="282">
        <v>126.93000061035154</v>
      </c>
      <c r="D21" s="282">
        <v>7.2900000768899913</v>
      </c>
      <c r="E21" s="282">
        <v>31</v>
      </c>
      <c r="F21" s="283">
        <v>1</v>
      </c>
      <c r="G21" s="282">
        <v>11635</v>
      </c>
      <c r="H21" s="282">
        <f t="shared" si="7"/>
        <v>0</v>
      </c>
      <c r="I21" s="33">
        <f t="shared" si="8"/>
        <v>-20297290</v>
      </c>
      <c r="J21" s="42">
        <f t="shared" si="9"/>
        <v>-1</v>
      </c>
      <c r="K21" s="284">
        <f t="shared" si="10"/>
        <v>1</v>
      </c>
      <c r="L21" s="285">
        <f t="shared" si="11"/>
        <v>411979981344100</v>
      </c>
      <c r="M21" s="285">
        <f t="shared" ref="M21:M30" si="12">I21-I20</f>
        <v>124262</v>
      </c>
      <c r="N21" s="285">
        <f t="shared" ref="N21:N30" si="13">M21*M21</f>
        <v>15441044644</v>
      </c>
    </row>
    <row r="22" spans="1:14" x14ac:dyDescent="0.2">
      <c r="A22" s="281">
        <v>41394</v>
      </c>
      <c r="B22" s="282">
        <v>18263961</v>
      </c>
      <c r="C22" s="282">
        <v>59.829999809265146</v>
      </c>
      <c r="D22" s="282">
        <v>18.570000028610231</v>
      </c>
      <c r="E22" s="282">
        <v>30</v>
      </c>
      <c r="F22" s="283">
        <v>1</v>
      </c>
      <c r="G22" s="282">
        <v>11620</v>
      </c>
      <c r="H22" s="282">
        <f t="shared" si="7"/>
        <v>0</v>
      </c>
      <c r="I22" s="33">
        <f t="shared" si="8"/>
        <v>-18263961</v>
      </c>
      <c r="J22" s="42">
        <f t="shared" si="9"/>
        <v>-1</v>
      </c>
      <c r="K22" s="284">
        <f t="shared" si="10"/>
        <v>1</v>
      </c>
      <c r="L22" s="285">
        <f t="shared" si="11"/>
        <v>333572271409521</v>
      </c>
      <c r="M22" s="285">
        <f t="shared" si="12"/>
        <v>2033329</v>
      </c>
      <c r="N22" s="285">
        <f t="shared" si="13"/>
        <v>4134426822241</v>
      </c>
    </row>
    <row r="23" spans="1:14" x14ac:dyDescent="0.2">
      <c r="A23" s="281">
        <v>41425</v>
      </c>
      <c r="B23" s="282">
        <v>15457378</v>
      </c>
      <c r="C23" s="282">
        <v>54.610000228881837</v>
      </c>
      <c r="D23" s="282">
        <v>20.229999904632567</v>
      </c>
      <c r="E23" s="282">
        <v>31</v>
      </c>
      <c r="F23" s="283">
        <v>1</v>
      </c>
      <c r="G23" s="282">
        <v>11620</v>
      </c>
      <c r="H23" s="282">
        <f t="shared" si="7"/>
        <v>0</v>
      </c>
      <c r="I23" s="33">
        <f t="shared" si="8"/>
        <v>-15457378</v>
      </c>
      <c r="J23" s="42">
        <f t="shared" si="9"/>
        <v>-1</v>
      </c>
      <c r="K23" s="284">
        <f t="shared" si="10"/>
        <v>1</v>
      </c>
      <c r="L23" s="285">
        <f t="shared" si="11"/>
        <v>238930534634884</v>
      </c>
      <c r="M23" s="285">
        <f t="shared" si="12"/>
        <v>2806583</v>
      </c>
      <c r="N23" s="285">
        <f t="shared" si="13"/>
        <v>7876908135889</v>
      </c>
    </row>
    <row r="24" spans="1:14" x14ac:dyDescent="0.2">
      <c r="A24" s="281">
        <v>41455</v>
      </c>
      <c r="B24" s="282">
        <v>14409566</v>
      </c>
      <c r="C24" s="282">
        <v>112.7</v>
      </c>
      <c r="D24" s="282">
        <v>10.3</v>
      </c>
      <c r="E24" s="282">
        <v>30</v>
      </c>
      <c r="F24" s="283">
        <v>0</v>
      </c>
      <c r="G24" s="282">
        <v>11619</v>
      </c>
      <c r="H24" s="282">
        <f t="shared" si="7"/>
        <v>0</v>
      </c>
      <c r="I24" s="33">
        <f t="shared" si="8"/>
        <v>-14409566</v>
      </c>
      <c r="J24" s="42">
        <f t="shared" si="9"/>
        <v>-1</v>
      </c>
      <c r="K24" s="284">
        <f t="shared" si="10"/>
        <v>1</v>
      </c>
      <c r="L24" s="285">
        <f t="shared" si="11"/>
        <v>207635592308356</v>
      </c>
      <c r="M24" s="285">
        <f t="shared" si="12"/>
        <v>1047812</v>
      </c>
      <c r="N24" s="285">
        <f t="shared" si="13"/>
        <v>1097909987344</v>
      </c>
    </row>
    <row r="25" spans="1:14" x14ac:dyDescent="0.2">
      <c r="A25" s="281">
        <v>41486</v>
      </c>
      <c r="B25" s="282">
        <v>15764667</v>
      </c>
      <c r="C25" s="282">
        <v>344.3</v>
      </c>
      <c r="D25" s="282">
        <v>3.7</v>
      </c>
      <c r="E25" s="282">
        <v>31</v>
      </c>
      <c r="F25" s="283">
        <v>0</v>
      </c>
      <c r="G25" s="282">
        <v>11613</v>
      </c>
      <c r="H25" s="282">
        <f t="shared" si="7"/>
        <v>0</v>
      </c>
      <c r="I25" s="33">
        <f t="shared" si="8"/>
        <v>-15764667</v>
      </c>
      <c r="J25" s="42">
        <f t="shared" si="9"/>
        <v>-1</v>
      </c>
      <c r="K25" s="284">
        <f t="shared" si="10"/>
        <v>1</v>
      </c>
      <c r="L25" s="285">
        <f t="shared" si="11"/>
        <v>248524725620889</v>
      </c>
      <c r="M25" s="285">
        <f t="shared" si="12"/>
        <v>-1355101</v>
      </c>
      <c r="N25" s="285">
        <f t="shared" si="13"/>
        <v>1836298720201</v>
      </c>
    </row>
    <row r="26" spans="1:14" x14ac:dyDescent="0.2">
      <c r="A26" s="281">
        <v>41517</v>
      </c>
      <c r="B26" s="282">
        <v>15264028</v>
      </c>
      <c r="C26" s="282">
        <v>586.4</v>
      </c>
      <c r="D26" s="282">
        <v>0</v>
      </c>
      <c r="E26" s="282">
        <v>31</v>
      </c>
      <c r="F26" s="283">
        <v>0</v>
      </c>
      <c r="G26" s="282">
        <v>11624</v>
      </c>
      <c r="H26" s="282">
        <f t="shared" si="7"/>
        <v>0</v>
      </c>
      <c r="I26" s="33">
        <f t="shared" si="8"/>
        <v>-15264028</v>
      </c>
      <c r="J26" s="42">
        <f t="shared" si="9"/>
        <v>-1</v>
      </c>
      <c r="K26" s="284">
        <f t="shared" si="10"/>
        <v>1</v>
      </c>
      <c r="L26" s="285">
        <f t="shared" si="11"/>
        <v>232990550784784</v>
      </c>
      <c r="M26" s="285">
        <f t="shared" si="12"/>
        <v>500639</v>
      </c>
      <c r="N26" s="285">
        <f t="shared" si="13"/>
        <v>250639408321</v>
      </c>
    </row>
    <row r="27" spans="1:14" x14ac:dyDescent="0.2">
      <c r="A27" s="281">
        <v>41547</v>
      </c>
      <c r="B27" s="282">
        <v>15271378</v>
      </c>
      <c r="C27" s="282">
        <v>603.9</v>
      </c>
      <c r="D27" s="282">
        <v>0</v>
      </c>
      <c r="E27" s="282">
        <v>30</v>
      </c>
      <c r="F27" s="283">
        <v>1</v>
      </c>
      <c r="G27" s="282">
        <v>11625</v>
      </c>
      <c r="H27" s="282">
        <f t="shared" si="7"/>
        <v>0</v>
      </c>
      <c r="I27" s="33">
        <f t="shared" si="8"/>
        <v>-15271378</v>
      </c>
      <c r="J27" s="42">
        <f t="shared" si="9"/>
        <v>-1</v>
      </c>
      <c r="K27" s="284">
        <f t="shared" si="10"/>
        <v>1</v>
      </c>
      <c r="L27" s="285">
        <f t="shared" si="11"/>
        <v>233214986018884</v>
      </c>
      <c r="M27" s="285">
        <f t="shared" si="12"/>
        <v>-7350</v>
      </c>
      <c r="N27" s="285">
        <f t="shared" si="13"/>
        <v>54022500</v>
      </c>
    </row>
    <row r="28" spans="1:14" x14ac:dyDescent="0.2">
      <c r="A28" s="281">
        <v>41578</v>
      </c>
      <c r="B28" s="282">
        <v>17048823</v>
      </c>
      <c r="C28" s="282">
        <v>0</v>
      </c>
      <c r="D28" s="282">
        <v>0</v>
      </c>
      <c r="E28" s="282">
        <v>31</v>
      </c>
      <c r="F28" s="283">
        <v>1</v>
      </c>
      <c r="G28" s="282">
        <v>11621</v>
      </c>
      <c r="H28" s="282">
        <f t="shared" si="7"/>
        <v>0</v>
      </c>
      <c r="I28" s="33">
        <f t="shared" si="8"/>
        <v>-17048823</v>
      </c>
      <c r="J28" s="42">
        <f t="shared" si="9"/>
        <v>-1</v>
      </c>
      <c r="K28" s="284">
        <f t="shared" si="10"/>
        <v>1</v>
      </c>
      <c r="L28" s="285">
        <f t="shared" si="11"/>
        <v>290662365685329</v>
      </c>
      <c r="M28" s="285">
        <f t="shared" si="12"/>
        <v>-1777445</v>
      </c>
      <c r="N28" s="285">
        <f t="shared" si="13"/>
        <v>3159310728025</v>
      </c>
    </row>
    <row r="29" spans="1:14" x14ac:dyDescent="0.2">
      <c r="A29" s="281">
        <v>41608</v>
      </c>
      <c r="B29" s="282">
        <v>19410046</v>
      </c>
      <c r="C29" s="282">
        <v>0</v>
      </c>
      <c r="D29" s="282">
        <v>0</v>
      </c>
      <c r="E29" s="282">
        <v>30</v>
      </c>
      <c r="F29" s="283">
        <v>0</v>
      </c>
      <c r="G29" s="282">
        <v>11639</v>
      </c>
      <c r="H29" s="282">
        <f t="shared" si="7"/>
        <v>0</v>
      </c>
      <c r="I29" s="33">
        <f t="shared" si="8"/>
        <v>-19410046</v>
      </c>
      <c r="J29" s="42">
        <f t="shared" si="9"/>
        <v>-1</v>
      </c>
      <c r="K29" s="284">
        <f t="shared" si="10"/>
        <v>1</v>
      </c>
      <c r="L29" s="285">
        <f t="shared" si="11"/>
        <v>376749885722116</v>
      </c>
      <c r="M29" s="285">
        <f t="shared" si="12"/>
        <v>-2361223</v>
      </c>
      <c r="N29" s="285">
        <f t="shared" si="13"/>
        <v>5575374055729</v>
      </c>
    </row>
    <row r="30" spans="1:14" x14ac:dyDescent="0.2">
      <c r="A30" s="281">
        <v>41639</v>
      </c>
      <c r="B30" s="282">
        <v>24133258</v>
      </c>
      <c r="C30" s="282" t="s">
        <v>72</v>
      </c>
      <c r="D30" s="282">
        <v>0</v>
      </c>
      <c r="E30" s="282">
        <v>31</v>
      </c>
      <c r="F30" s="283">
        <v>0</v>
      </c>
      <c r="G30" s="282">
        <v>11661</v>
      </c>
      <c r="H30" s="282" t="e">
        <f t="shared" si="7"/>
        <v>#VALUE!</v>
      </c>
      <c r="I30" s="33" t="e">
        <f t="shared" si="8"/>
        <v>#VALUE!</v>
      </c>
      <c r="J30" s="42" t="e">
        <f t="shared" si="9"/>
        <v>#VALUE!</v>
      </c>
      <c r="K30" s="284" t="e">
        <f t="shared" si="10"/>
        <v>#VALUE!</v>
      </c>
      <c r="L30" s="285" t="e">
        <f t="shared" si="11"/>
        <v>#VALUE!</v>
      </c>
      <c r="M30" s="285" t="e">
        <f t="shared" si="12"/>
        <v>#VALUE!</v>
      </c>
      <c r="N30" s="285" t="e">
        <f t="shared" si="13"/>
        <v>#VALUE!</v>
      </c>
    </row>
    <row r="31" spans="1:14" x14ac:dyDescent="0.2">
      <c r="B31" s="240">
        <f>SUM(B19:B30)</f>
        <v>218662491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2F267-DA32-4ADE-BE6A-084B7A2AAE21}">
  <sheetPr>
    <tabColor rgb="FF00B0F0"/>
    <pageSetUpPr fitToPage="1"/>
  </sheetPr>
  <dimension ref="A2:V209"/>
  <sheetViews>
    <sheetView zoomScaleNormal="100" workbookViewId="0">
      <pane xSplit="1" ySplit="2" topLeftCell="B149" activePane="bottomRight" state="frozen"/>
      <selection pane="topRight" activeCell="C1" sqref="C1"/>
      <selection pane="bottomLeft" activeCell="A3" sqref="A3"/>
      <selection pane="bottomRight" activeCell="L153" sqref="L153:L164"/>
    </sheetView>
  </sheetViews>
  <sheetFormatPr defaultRowHeight="12.75" x14ac:dyDescent="0.2"/>
  <cols>
    <col min="1" max="1" width="11.85546875" style="25" customWidth="1"/>
    <col min="2" max="2" width="16.85546875" style="6" customWidth="1"/>
    <col min="3" max="3" width="11.5703125" style="1" customWidth="1"/>
    <col min="4" max="4" width="13.42578125" style="1" customWidth="1"/>
    <col min="5" max="5" width="10.140625" style="1" customWidth="1"/>
    <col min="6" max="6" width="10.28515625" style="59" customWidth="1"/>
    <col min="7" max="7" width="13" style="1" customWidth="1"/>
    <col min="8" max="8" width="15.5703125" style="1" bestFit="1" customWidth="1"/>
    <col min="9" max="9" width="17.140625" style="1" customWidth="1"/>
    <col min="10" max="10" width="10.28515625" style="1" customWidth="1"/>
    <col min="11" max="11" width="10.140625" style="1" customWidth="1"/>
    <col min="12" max="12" width="20.28515625" style="1" bestFit="1" customWidth="1"/>
    <col min="13" max="13" width="17.7109375" style="1" bestFit="1" customWidth="1"/>
    <col min="14" max="14" width="19.7109375" style="1" customWidth="1"/>
    <col min="15" max="15" width="4.85546875" style="1" customWidth="1"/>
    <col min="16" max="16" width="44.42578125" customWidth="1"/>
    <col min="17" max="17" width="20.140625" customWidth="1"/>
    <col min="18" max="20" width="12.5703125" customWidth="1"/>
    <col min="21" max="21" width="15.5703125" bestFit="1" customWidth="1"/>
    <col min="22" max="23" width="14.5703125" bestFit="1" customWidth="1"/>
    <col min="24" max="24" width="19.28515625" bestFit="1" customWidth="1"/>
    <col min="25" max="25" width="19" bestFit="1" customWidth="1"/>
    <col min="26" max="26" width="18.85546875" bestFit="1" customWidth="1"/>
    <col min="27" max="27" width="13" bestFit="1" customWidth="1"/>
    <col min="28" max="28" width="14.28515625" bestFit="1" customWidth="1"/>
    <col min="29" max="29" width="19.42578125" bestFit="1" customWidth="1"/>
    <col min="30" max="30" width="6.140625" bestFit="1" customWidth="1"/>
  </cols>
  <sheetData>
    <row r="2" spans="1:21" ht="38.25" x14ac:dyDescent="0.2">
      <c r="A2" s="68"/>
      <c r="B2" s="69" t="s">
        <v>60</v>
      </c>
      <c r="C2" s="70" t="s">
        <v>3</v>
      </c>
      <c r="D2" s="70" t="s">
        <v>4</v>
      </c>
      <c r="E2" s="70" t="s">
        <v>73</v>
      </c>
      <c r="F2" s="71" t="s">
        <v>14</v>
      </c>
      <c r="G2" s="70" t="s">
        <v>85</v>
      </c>
      <c r="H2" s="70" t="s">
        <v>9</v>
      </c>
      <c r="I2" s="72" t="s">
        <v>179</v>
      </c>
      <c r="J2" s="70" t="s">
        <v>180</v>
      </c>
      <c r="K2" s="245" t="s">
        <v>181</v>
      </c>
      <c r="L2" s="244" t="s">
        <v>173</v>
      </c>
      <c r="M2" s="244" t="s">
        <v>175</v>
      </c>
      <c r="N2" s="244" t="s">
        <v>176</v>
      </c>
      <c r="O2"/>
      <c r="P2" s="44" t="s">
        <v>15</v>
      </c>
    </row>
    <row r="3" spans="1:21" ht="13.5" thickBot="1" x14ac:dyDescent="0.25">
      <c r="A3" s="49">
        <v>41670</v>
      </c>
      <c r="B3" s="50">
        <v>24988491</v>
      </c>
      <c r="C3" s="50">
        <v>980.29998779296875</v>
      </c>
      <c r="D3" s="50">
        <v>0</v>
      </c>
      <c r="E3" s="50">
        <v>31</v>
      </c>
      <c r="F3" s="79">
        <v>0</v>
      </c>
      <c r="G3" s="50">
        <v>11661</v>
      </c>
      <c r="H3" s="50">
        <f t="shared" ref="H3:H22" si="0">$Q$18+$Q$19*C3+$Q$20*D3+$Q$21*E3+$Q$22*F3+$Q$23*G3</f>
        <v>25197219.16486264</v>
      </c>
      <c r="I3" s="33">
        <f t="shared" ref="I3:I22" si="1">H3-B3</f>
        <v>208728.1648626402</v>
      </c>
      <c r="J3" s="42">
        <f t="shared" ref="J3:J22" si="2">I3/B3</f>
        <v>8.35297196868111E-3</v>
      </c>
      <c r="K3" s="12">
        <f t="shared" ref="K3:K55" si="3">ABS(J3)</f>
        <v>8.35297196868111E-3</v>
      </c>
      <c r="L3" s="10">
        <f t="shared" ref="L3:L55" si="4">I3*I3</f>
        <v>43567446806.925507</v>
      </c>
      <c r="M3" s="10"/>
      <c r="N3" s="10"/>
      <c r="O3" s="12"/>
    </row>
    <row r="4" spans="1:21" x14ac:dyDescent="0.2">
      <c r="A4" s="49">
        <v>41698</v>
      </c>
      <c r="B4" s="50">
        <v>22046480</v>
      </c>
      <c r="C4" s="50">
        <v>912</v>
      </c>
      <c r="D4" s="50">
        <v>0</v>
      </c>
      <c r="E4" s="50">
        <v>28</v>
      </c>
      <c r="F4" s="79">
        <v>0</v>
      </c>
      <c r="G4" s="50">
        <v>11654</v>
      </c>
      <c r="H4" s="50">
        <f t="shared" si="0"/>
        <v>22290315.180637643</v>
      </c>
      <c r="I4" s="33">
        <f t="shared" si="1"/>
        <v>243835.18063764274</v>
      </c>
      <c r="J4" s="42">
        <f t="shared" si="2"/>
        <v>1.1060050431526608E-2</v>
      </c>
      <c r="K4" s="12">
        <f t="shared" si="3"/>
        <v>1.1060050431526608E-2</v>
      </c>
      <c r="L4" s="10">
        <f t="shared" si="4"/>
        <v>59455595316.591866</v>
      </c>
      <c r="M4" s="10">
        <f t="shared" ref="M4:M56" si="5">I4-I3</f>
        <v>35107.015775002539</v>
      </c>
      <c r="N4" s="10">
        <f t="shared" ref="N4:N56" si="6">M4*M4</f>
        <v>1232502556.6262772</v>
      </c>
      <c r="O4" s="12"/>
      <c r="P4" s="267" t="s">
        <v>16</v>
      </c>
      <c r="Q4" s="267"/>
    </row>
    <row r="5" spans="1:21" x14ac:dyDescent="0.2">
      <c r="A5" s="49">
        <v>41729</v>
      </c>
      <c r="B5" s="50">
        <v>23041535</v>
      </c>
      <c r="C5" s="50">
        <v>895</v>
      </c>
      <c r="D5" s="50">
        <v>0</v>
      </c>
      <c r="E5" s="50">
        <v>31</v>
      </c>
      <c r="F5" s="79">
        <v>1</v>
      </c>
      <c r="G5" s="50">
        <v>11654</v>
      </c>
      <c r="H5" s="50">
        <f t="shared" si="0"/>
        <v>23405400.321227841</v>
      </c>
      <c r="I5" s="33">
        <f t="shared" si="1"/>
        <v>363865.32122784108</v>
      </c>
      <c r="J5" s="42">
        <f t="shared" si="2"/>
        <v>1.5791713582790429E-2</v>
      </c>
      <c r="K5" s="12">
        <f t="shared" si="3"/>
        <v>1.5791713582790429E-2</v>
      </c>
      <c r="L5" s="10">
        <f t="shared" si="4"/>
        <v>132397971992.23997</v>
      </c>
      <c r="M5" s="10">
        <f t="shared" si="5"/>
        <v>120030.14059019834</v>
      </c>
      <c r="N5" s="10">
        <f t="shared" si="6"/>
        <v>14407234650.102779</v>
      </c>
      <c r="O5" s="12"/>
      <c r="P5" t="s">
        <v>17</v>
      </c>
      <c r="Q5" s="288">
        <v>0.97011781845074263</v>
      </c>
    </row>
    <row r="6" spans="1:21" x14ac:dyDescent="0.2">
      <c r="A6" s="49">
        <v>41759</v>
      </c>
      <c r="B6" s="50">
        <v>18510176</v>
      </c>
      <c r="C6" s="50">
        <v>511.10000610351563</v>
      </c>
      <c r="D6" s="50">
        <v>0</v>
      </c>
      <c r="E6" s="50">
        <v>30</v>
      </c>
      <c r="F6" s="79">
        <v>1</v>
      </c>
      <c r="G6" s="50">
        <v>11646</v>
      </c>
      <c r="H6" s="50">
        <f t="shared" si="0"/>
        <v>18575596.452053696</v>
      </c>
      <c r="I6" s="33">
        <f t="shared" si="1"/>
        <v>65420.452053695917</v>
      </c>
      <c r="J6" s="42">
        <f t="shared" si="2"/>
        <v>3.5342965973795127E-3</v>
      </c>
      <c r="K6" s="12">
        <f t="shared" si="3"/>
        <v>3.5342965973795127E-3</v>
      </c>
      <c r="L6" s="10">
        <f t="shared" si="4"/>
        <v>4279835546.9099264</v>
      </c>
      <c r="M6" s="10">
        <f t="shared" si="5"/>
        <v>-298444.86917414516</v>
      </c>
      <c r="N6" s="10">
        <f t="shared" si="6"/>
        <v>89069339936.37262</v>
      </c>
      <c r="O6" s="12"/>
      <c r="P6" t="s">
        <v>18</v>
      </c>
      <c r="Q6" s="288">
        <v>0.94112858167562796</v>
      </c>
    </row>
    <row r="7" spans="1:21" x14ac:dyDescent="0.2">
      <c r="A7" s="49">
        <v>41790</v>
      </c>
      <c r="B7" s="50">
        <v>16410299</v>
      </c>
      <c r="C7" s="50">
        <v>267.89999389648438</v>
      </c>
      <c r="D7" s="50">
        <v>0.80000001192092896</v>
      </c>
      <c r="E7" s="50">
        <v>31</v>
      </c>
      <c r="F7" s="79">
        <v>1</v>
      </c>
      <c r="G7" s="50">
        <v>11637</v>
      </c>
      <c r="H7" s="50">
        <f t="shared" si="0"/>
        <v>16671729.074196883</v>
      </c>
      <c r="I7" s="33">
        <f t="shared" si="1"/>
        <v>261430.07419688255</v>
      </c>
      <c r="J7" s="42">
        <f t="shared" si="2"/>
        <v>1.5930853800828527E-2</v>
      </c>
      <c r="K7" s="12">
        <f t="shared" si="3"/>
        <v>1.5930853800828527E-2</v>
      </c>
      <c r="L7" s="10">
        <f t="shared" si="4"/>
        <v>68345683694.587517</v>
      </c>
      <c r="M7" s="10">
        <f t="shared" si="5"/>
        <v>196009.62214318663</v>
      </c>
      <c r="N7" s="10">
        <f t="shared" si="6"/>
        <v>38419771972.714798</v>
      </c>
      <c r="O7" s="12"/>
      <c r="P7" t="s">
        <v>19</v>
      </c>
      <c r="Q7" s="288">
        <v>0.93867560591211252</v>
      </c>
    </row>
    <row r="8" spans="1:21" x14ac:dyDescent="0.2">
      <c r="A8" s="49">
        <v>41820</v>
      </c>
      <c r="B8" s="50">
        <v>13841155</v>
      </c>
      <c r="C8" s="50">
        <v>96.900001525878906</v>
      </c>
      <c r="D8" s="50">
        <v>12</v>
      </c>
      <c r="E8" s="50">
        <v>30</v>
      </c>
      <c r="F8" s="79">
        <v>0</v>
      </c>
      <c r="G8" s="50">
        <v>11645</v>
      </c>
      <c r="H8" s="50">
        <f t="shared" si="0"/>
        <v>15322023.36301434</v>
      </c>
      <c r="I8" s="33">
        <f t="shared" si="1"/>
        <v>1480868.3630143404</v>
      </c>
      <c r="J8" s="42">
        <f t="shared" si="2"/>
        <v>0.10699023044062005</v>
      </c>
      <c r="K8" s="12">
        <f t="shared" si="3"/>
        <v>0.10699023044062005</v>
      </c>
      <c r="L8" s="10">
        <f t="shared" si="4"/>
        <v>2192971108576.7722</v>
      </c>
      <c r="M8" s="10">
        <f t="shared" si="5"/>
        <v>1219438.2888174579</v>
      </c>
      <c r="N8" s="10">
        <f t="shared" si="6"/>
        <v>1487029740234.0498</v>
      </c>
      <c r="O8" s="12"/>
      <c r="P8" t="s">
        <v>20</v>
      </c>
      <c r="Q8" s="289">
        <v>934831.86228345358</v>
      </c>
    </row>
    <row r="9" spans="1:21" ht="13.5" thickBot="1" x14ac:dyDescent="0.25">
      <c r="A9" s="49">
        <v>41851</v>
      </c>
      <c r="B9" s="50">
        <v>15069489</v>
      </c>
      <c r="C9" s="50">
        <v>88.099998474121094</v>
      </c>
      <c r="D9" s="50">
        <v>6.4000000953674316</v>
      </c>
      <c r="E9" s="50">
        <v>31</v>
      </c>
      <c r="F9" s="79">
        <v>0</v>
      </c>
      <c r="G9" s="50">
        <v>11645</v>
      </c>
      <c r="H9" s="50">
        <f t="shared" si="0"/>
        <v>15802852.90844021</v>
      </c>
      <c r="I9" s="33">
        <f t="shared" si="1"/>
        <v>733363.90844020993</v>
      </c>
      <c r="J9" s="42">
        <f t="shared" si="2"/>
        <v>4.8665479528881832E-2</v>
      </c>
      <c r="K9" s="12">
        <f t="shared" si="3"/>
        <v>4.8665479528881832E-2</v>
      </c>
      <c r="L9" s="10">
        <f t="shared" si="4"/>
        <v>537822622202.70062</v>
      </c>
      <c r="M9" s="10">
        <f t="shared" si="5"/>
        <v>-747504.45457413048</v>
      </c>
      <c r="N9" s="10">
        <f t="shared" si="6"/>
        <v>558762909608.16833</v>
      </c>
      <c r="O9" s="12"/>
      <c r="P9" s="265" t="s">
        <v>21</v>
      </c>
      <c r="Q9" s="265">
        <v>126</v>
      </c>
    </row>
    <row r="10" spans="1:21" x14ac:dyDescent="0.2">
      <c r="A10" s="49">
        <v>41882</v>
      </c>
      <c r="B10" s="50">
        <v>15429842</v>
      </c>
      <c r="C10" s="50">
        <v>63.400001525878906</v>
      </c>
      <c r="D10" s="50">
        <v>13.5</v>
      </c>
      <c r="E10" s="50">
        <v>31</v>
      </c>
      <c r="F10" s="79">
        <v>0</v>
      </c>
      <c r="G10" s="50">
        <v>11655</v>
      </c>
      <c r="H10" s="50">
        <f t="shared" si="0"/>
        <v>15785101.513817616</v>
      </c>
      <c r="I10" s="33">
        <f t="shared" si="1"/>
        <v>355259.51381761581</v>
      </c>
      <c r="J10" s="42">
        <f t="shared" si="2"/>
        <v>2.3024183515140066E-2</v>
      </c>
      <c r="K10" s="12">
        <f t="shared" si="3"/>
        <v>2.3024183515140066E-2</v>
      </c>
      <c r="L10" s="10">
        <f t="shared" si="4"/>
        <v>126209322157.92876</v>
      </c>
      <c r="M10" s="10">
        <f t="shared" si="5"/>
        <v>-378104.39462259412</v>
      </c>
      <c r="N10" s="10">
        <f t="shared" si="6"/>
        <v>142962933232.91837</v>
      </c>
      <c r="O10" s="12"/>
    </row>
    <row r="11" spans="1:21" ht="13.5" thickBot="1" x14ac:dyDescent="0.25">
      <c r="A11" s="49">
        <v>41912</v>
      </c>
      <c r="B11" s="50">
        <v>14760249</v>
      </c>
      <c r="C11" s="50">
        <v>158.19999694824219</v>
      </c>
      <c r="D11" s="50">
        <v>1.3999999761581421</v>
      </c>
      <c r="E11" s="50">
        <v>30</v>
      </c>
      <c r="F11" s="79">
        <v>1</v>
      </c>
      <c r="G11" s="50">
        <v>11646</v>
      </c>
      <c r="H11" s="50">
        <f t="shared" si="0"/>
        <v>14875296.512833238</v>
      </c>
      <c r="I11" s="33">
        <f t="shared" si="1"/>
        <v>115047.51283323765</v>
      </c>
      <c r="J11" s="42">
        <f t="shared" si="2"/>
        <v>7.7944154487663217E-3</v>
      </c>
      <c r="K11" s="12">
        <f t="shared" si="3"/>
        <v>7.7944154487663217E-3</v>
      </c>
      <c r="L11" s="10">
        <f t="shared" si="4"/>
        <v>13235930209.113981</v>
      </c>
      <c r="M11" s="10">
        <f t="shared" si="5"/>
        <v>-240212.00098437816</v>
      </c>
      <c r="N11" s="10">
        <f t="shared" si="6"/>
        <v>57701805416.918892</v>
      </c>
      <c r="O11" s="12"/>
      <c r="P11" t="s">
        <v>22</v>
      </c>
    </row>
    <row r="12" spans="1:21" x14ac:dyDescent="0.2">
      <c r="A12" s="49">
        <v>41943</v>
      </c>
      <c r="B12" s="50">
        <v>17103906</v>
      </c>
      <c r="C12" s="50">
        <v>341</v>
      </c>
      <c r="D12" s="50">
        <v>0</v>
      </c>
      <c r="E12" s="50">
        <v>31</v>
      </c>
      <c r="F12" s="79">
        <v>1</v>
      </c>
      <c r="G12" s="50">
        <v>11659</v>
      </c>
      <c r="H12" s="50">
        <f t="shared" si="0"/>
        <v>17576619.8561415</v>
      </c>
      <c r="I12" s="33">
        <f t="shared" si="1"/>
        <v>472713.85614150017</v>
      </c>
      <c r="J12" s="42">
        <f t="shared" si="2"/>
        <v>2.7637772105476969E-2</v>
      </c>
      <c r="K12" s="12">
        <f t="shared" si="3"/>
        <v>2.7637772105476969E-2</v>
      </c>
      <c r="L12" s="10">
        <f t="shared" si="4"/>
        <v>223458389788.16693</v>
      </c>
      <c r="M12" s="10">
        <f t="shared" si="5"/>
        <v>357666.34330826253</v>
      </c>
      <c r="N12" s="10">
        <f t="shared" si="6"/>
        <v>127925213135.50391</v>
      </c>
      <c r="O12" s="12"/>
      <c r="P12" s="266"/>
      <c r="Q12" s="266" t="s">
        <v>26</v>
      </c>
      <c r="R12" s="266" t="s">
        <v>27</v>
      </c>
      <c r="S12" s="266" t="s">
        <v>28</v>
      </c>
      <c r="T12" s="266" t="s">
        <v>29</v>
      </c>
      <c r="U12" s="266" t="s">
        <v>30</v>
      </c>
    </row>
    <row r="13" spans="1:21" x14ac:dyDescent="0.2">
      <c r="A13" s="49">
        <v>41973</v>
      </c>
      <c r="B13" s="50">
        <v>19716721</v>
      </c>
      <c r="C13" s="50">
        <v>616.0999755859375</v>
      </c>
      <c r="D13" s="50">
        <v>0</v>
      </c>
      <c r="E13" s="50">
        <v>30</v>
      </c>
      <c r="F13" s="79">
        <v>0</v>
      </c>
      <c r="G13" s="50">
        <v>11657</v>
      </c>
      <c r="H13" s="50">
        <f t="shared" si="0"/>
        <v>20603355.081539288</v>
      </c>
      <c r="I13" s="33">
        <f t="shared" si="1"/>
        <v>886634.08153928816</v>
      </c>
      <c r="J13" s="42">
        <f t="shared" si="2"/>
        <v>4.4968637611664142E-2</v>
      </c>
      <c r="K13" s="12">
        <f t="shared" si="3"/>
        <v>4.4968637611664142E-2</v>
      </c>
      <c r="L13" s="10">
        <f t="shared" si="4"/>
        <v>786119994547.01709</v>
      </c>
      <c r="M13" s="10">
        <f t="shared" si="5"/>
        <v>413920.22539778799</v>
      </c>
      <c r="N13" s="10">
        <f t="shared" si="6"/>
        <v>171329952993.35562</v>
      </c>
      <c r="O13" s="12"/>
      <c r="P13" t="s">
        <v>23</v>
      </c>
      <c r="Q13">
        <v>5</v>
      </c>
      <c r="R13">
        <v>1676458173436310.8</v>
      </c>
      <c r="S13">
        <v>335291634687262.13</v>
      </c>
      <c r="T13" s="268">
        <v>383.66811269543166</v>
      </c>
      <c r="U13">
        <v>5.1573325554424306E-72</v>
      </c>
    </row>
    <row r="14" spans="1:21" x14ac:dyDescent="0.2">
      <c r="A14" s="49">
        <v>42004</v>
      </c>
      <c r="B14" s="50">
        <v>21926505</v>
      </c>
      <c r="C14" s="50">
        <v>691.4000244140625</v>
      </c>
      <c r="D14" s="50">
        <v>0</v>
      </c>
      <c r="E14" s="50">
        <v>31</v>
      </c>
      <c r="F14" s="79">
        <v>0</v>
      </c>
      <c r="G14" s="50">
        <v>11659</v>
      </c>
      <c r="H14" s="50">
        <f t="shared" si="0"/>
        <v>22126006.95655819</v>
      </c>
      <c r="I14" s="33">
        <f t="shared" si="1"/>
        <v>199501.95655819029</v>
      </c>
      <c r="J14" s="42">
        <f t="shared" si="2"/>
        <v>9.0986665023992785E-3</v>
      </c>
      <c r="K14" s="12">
        <f t="shared" si="3"/>
        <v>9.0986665023992785E-3</v>
      </c>
      <c r="L14" s="10">
        <f t="shared" si="4"/>
        <v>39801030670.546043</v>
      </c>
      <c r="M14" s="10">
        <f t="shared" si="5"/>
        <v>-687132.12498109788</v>
      </c>
      <c r="N14" s="10">
        <f t="shared" si="6"/>
        <v>472150557181.03912</v>
      </c>
      <c r="O14" s="12"/>
      <c r="P14" t="s">
        <v>24</v>
      </c>
      <c r="Q14">
        <v>120</v>
      </c>
      <c r="R14">
        <v>104869273288842</v>
      </c>
      <c r="S14">
        <v>873910610740.34998</v>
      </c>
      <c r="T14" s="268"/>
      <c r="U14" s="268"/>
    </row>
    <row r="15" spans="1:21" ht="13.5" thickBot="1" x14ac:dyDescent="0.25">
      <c r="A15" s="49">
        <v>42035</v>
      </c>
      <c r="B15" s="50">
        <v>24303546</v>
      </c>
      <c r="C15" s="50">
        <v>957.5</v>
      </c>
      <c r="D15" s="50">
        <v>0</v>
      </c>
      <c r="E15" s="50">
        <v>31</v>
      </c>
      <c r="F15" s="79">
        <v>0</v>
      </c>
      <c r="G15" s="50">
        <v>11659</v>
      </c>
      <c r="H15" s="50">
        <f t="shared" si="0"/>
        <v>24942196.834252812</v>
      </c>
      <c r="I15" s="33">
        <f t="shared" si="1"/>
        <v>638650.83425281197</v>
      </c>
      <c r="J15" s="42">
        <f t="shared" si="2"/>
        <v>2.6278092680500697E-2</v>
      </c>
      <c r="K15" s="12">
        <f t="shared" si="3"/>
        <v>2.6278092680500697E-2</v>
      </c>
      <c r="L15" s="10">
        <f t="shared" si="4"/>
        <v>407874888091.81268</v>
      </c>
      <c r="M15" s="10">
        <f t="shared" si="5"/>
        <v>439148.87769462168</v>
      </c>
      <c r="N15" s="10">
        <f t="shared" si="6"/>
        <v>192851736780.4458</v>
      </c>
      <c r="O15" s="12"/>
      <c r="P15" s="265" t="s">
        <v>8</v>
      </c>
      <c r="Q15" s="265">
        <v>125</v>
      </c>
      <c r="R15" s="265">
        <v>1781327446725152.8</v>
      </c>
      <c r="S15" s="265"/>
      <c r="T15" s="290"/>
      <c r="U15" s="290"/>
    </row>
    <row r="16" spans="1:21" ht="13.5" thickBot="1" x14ac:dyDescent="0.25">
      <c r="A16" s="49">
        <v>42063</v>
      </c>
      <c r="B16" s="50">
        <v>23231362</v>
      </c>
      <c r="C16" s="50">
        <v>1015.2000122070313</v>
      </c>
      <c r="D16" s="50">
        <v>0</v>
      </c>
      <c r="E16" s="50">
        <v>28</v>
      </c>
      <c r="F16" s="79">
        <v>0</v>
      </c>
      <c r="G16" s="50">
        <v>11653</v>
      </c>
      <c r="H16" s="50">
        <f t="shared" si="0"/>
        <v>23375639.065248922</v>
      </c>
      <c r="I16" s="33">
        <f t="shared" si="1"/>
        <v>144277.06524892151</v>
      </c>
      <c r="J16" s="42">
        <f t="shared" si="2"/>
        <v>6.2104436773410664E-3</v>
      </c>
      <c r="K16" s="12">
        <f t="shared" si="3"/>
        <v>6.2104436773410664E-3</v>
      </c>
      <c r="L16" s="10">
        <f t="shared" si="4"/>
        <v>20815871556.841557</v>
      </c>
      <c r="M16" s="10">
        <f t="shared" si="5"/>
        <v>-494373.76900389045</v>
      </c>
      <c r="N16" s="10">
        <f t="shared" si="6"/>
        <v>244405423479.11203</v>
      </c>
      <c r="O16" s="12"/>
    </row>
    <row r="17" spans="1:22" x14ac:dyDescent="0.2">
      <c r="A17" s="49">
        <v>42094</v>
      </c>
      <c r="B17" s="50">
        <v>21902978</v>
      </c>
      <c r="C17" s="50">
        <v>786.5999755859375</v>
      </c>
      <c r="D17" s="50">
        <v>0</v>
      </c>
      <c r="E17" s="50">
        <v>31</v>
      </c>
      <c r="F17" s="79">
        <v>1</v>
      </c>
      <c r="G17" s="50">
        <v>11642</v>
      </c>
      <c r="H17" s="50">
        <f t="shared" si="0"/>
        <v>22175828.249804638</v>
      </c>
      <c r="I17" s="33">
        <f t="shared" si="1"/>
        <v>272850.24980463833</v>
      </c>
      <c r="J17" s="42">
        <f t="shared" si="2"/>
        <v>1.2457221561590315E-2</v>
      </c>
      <c r="K17" s="12">
        <f t="shared" si="3"/>
        <v>1.2457221561590315E-2</v>
      </c>
      <c r="L17" s="10">
        <f t="shared" si="4"/>
        <v>74447258818.453537</v>
      </c>
      <c r="M17" s="10">
        <f t="shared" si="5"/>
        <v>128573.18455571681</v>
      </c>
      <c r="N17" s="10">
        <f t="shared" si="6"/>
        <v>16531063786.798416</v>
      </c>
      <c r="O17" s="12"/>
      <c r="P17" s="266"/>
      <c r="Q17" s="266" t="s">
        <v>31</v>
      </c>
      <c r="R17" s="266" t="s">
        <v>20</v>
      </c>
      <c r="S17" s="266" t="s">
        <v>32</v>
      </c>
      <c r="T17" s="266" t="s">
        <v>33</v>
      </c>
      <c r="U17" s="266" t="s">
        <v>34</v>
      </c>
      <c r="V17" s="266" t="s">
        <v>35</v>
      </c>
    </row>
    <row r="18" spans="1:22" x14ac:dyDescent="0.2">
      <c r="A18" s="49">
        <v>42124</v>
      </c>
      <c r="B18" s="50">
        <v>17767380</v>
      </c>
      <c r="C18" s="50">
        <v>474.39999389648438</v>
      </c>
      <c r="D18" s="50">
        <v>0</v>
      </c>
      <c r="E18" s="50">
        <v>30</v>
      </c>
      <c r="F18" s="79">
        <v>1</v>
      </c>
      <c r="G18" s="50">
        <v>11632</v>
      </c>
      <c r="H18" s="50">
        <f t="shared" si="0"/>
        <v>18091114.668806657</v>
      </c>
      <c r="I18" s="33">
        <f t="shared" si="1"/>
        <v>323734.6688066572</v>
      </c>
      <c r="J18" s="42">
        <f t="shared" si="2"/>
        <v>1.8220731970985997E-2</v>
      </c>
      <c r="K18" s="12">
        <f t="shared" si="3"/>
        <v>1.8220731970985997E-2</v>
      </c>
      <c r="L18" s="10">
        <f t="shared" si="4"/>
        <v>104804135787.35602</v>
      </c>
      <c r="M18" s="10">
        <f t="shared" si="5"/>
        <v>50884.419002018869</v>
      </c>
      <c r="N18" s="10">
        <f t="shared" si="6"/>
        <v>2589224097.1730189</v>
      </c>
      <c r="O18" s="12"/>
      <c r="P18" t="s">
        <v>25</v>
      </c>
      <c r="Q18" s="289">
        <v>-87276046.82821615</v>
      </c>
      <c r="R18" s="289">
        <v>4768383.7345148716</v>
      </c>
      <c r="S18" s="268">
        <v>-18.3030669693146</v>
      </c>
      <c r="T18" s="268">
        <v>1.5729792603562189E-36</v>
      </c>
      <c r="U18" s="289">
        <v>-96717114.767282709</v>
      </c>
      <c r="V18" s="289">
        <v>-77834978.889149591</v>
      </c>
    </row>
    <row r="19" spans="1:22" x14ac:dyDescent="0.2">
      <c r="A19" s="49">
        <v>42155</v>
      </c>
      <c r="B19" s="50">
        <v>15576646</v>
      </c>
      <c r="C19" s="50">
        <v>242.89999389648438</v>
      </c>
      <c r="D19" s="50">
        <v>1.1000000238418579</v>
      </c>
      <c r="E19" s="50">
        <v>31</v>
      </c>
      <c r="F19" s="79">
        <v>1</v>
      </c>
      <c r="G19" s="50">
        <v>11648</v>
      </c>
      <c r="H19" s="50">
        <f t="shared" si="0"/>
        <v>16490034.458458312</v>
      </c>
      <c r="I19" s="33">
        <f t="shared" si="1"/>
        <v>913388.45845831186</v>
      </c>
      <c r="J19" s="42">
        <f t="shared" si="2"/>
        <v>5.86383267911662E-2</v>
      </c>
      <c r="K19" s="12">
        <f t="shared" si="3"/>
        <v>5.86383267911662E-2</v>
      </c>
      <c r="L19" s="10">
        <f t="shared" si="4"/>
        <v>834278476044.85132</v>
      </c>
      <c r="M19" s="10">
        <f t="shared" si="5"/>
        <v>589653.78965165466</v>
      </c>
      <c r="N19" s="10">
        <f t="shared" si="6"/>
        <v>347691591650.5578</v>
      </c>
      <c r="O19" s="12"/>
      <c r="P19" t="s">
        <v>3</v>
      </c>
      <c r="Q19" s="289">
        <v>10583.202315195767</v>
      </c>
      <c r="R19" s="289">
        <v>340.72046996595094</v>
      </c>
      <c r="S19" s="268">
        <v>31.061245942321499</v>
      </c>
      <c r="T19" s="268">
        <v>3.2834419269806474E-59</v>
      </c>
      <c r="U19" s="289">
        <v>9908.5994970762022</v>
      </c>
      <c r="V19" s="289">
        <v>11257.805133315333</v>
      </c>
    </row>
    <row r="20" spans="1:22" x14ac:dyDescent="0.2">
      <c r="A20" s="49">
        <v>42185</v>
      </c>
      <c r="B20" s="50">
        <v>14364571</v>
      </c>
      <c r="C20" s="50">
        <v>141.80000305175781</v>
      </c>
      <c r="D20" s="50">
        <v>0.40000000596046448</v>
      </c>
      <c r="E20" s="50">
        <v>30</v>
      </c>
      <c r="F20" s="79">
        <v>0</v>
      </c>
      <c r="G20" s="50">
        <v>11644</v>
      </c>
      <c r="H20" s="50">
        <f t="shared" si="0"/>
        <v>15504387.753050894</v>
      </c>
      <c r="I20" s="33">
        <f t="shared" si="1"/>
        <v>1139816.7530508935</v>
      </c>
      <c r="J20" s="42">
        <f t="shared" si="2"/>
        <v>7.9349167688397629E-2</v>
      </c>
      <c r="K20" s="12">
        <f t="shared" si="3"/>
        <v>7.9349167688397629E-2</v>
      </c>
      <c r="L20" s="10">
        <f t="shared" si="4"/>
        <v>1299182230535.4817</v>
      </c>
      <c r="M20" s="10">
        <f t="shared" si="5"/>
        <v>226428.29459258169</v>
      </c>
      <c r="N20" s="10">
        <f t="shared" si="6"/>
        <v>51269772592.104958</v>
      </c>
      <c r="O20" s="12"/>
      <c r="P20" t="s">
        <v>4</v>
      </c>
      <c r="Q20" s="289">
        <v>24651.610922839776</v>
      </c>
      <c r="R20" s="289">
        <v>9635.7756690481037</v>
      </c>
      <c r="S20" s="268">
        <v>2.5583421376262749</v>
      </c>
      <c r="T20" s="268">
        <v>1.1761470259307134E-2</v>
      </c>
      <c r="U20" s="289">
        <v>5573.445699137832</v>
      </c>
      <c r="V20" s="289">
        <v>43729.776146541721</v>
      </c>
    </row>
    <row r="21" spans="1:22" x14ac:dyDescent="0.2">
      <c r="A21" s="49">
        <v>42216</v>
      </c>
      <c r="B21" s="50">
        <v>15194721</v>
      </c>
      <c r="C21" s="50">
        <v>52.599998474121094</v>
      </c>
      <c r="D21" s="50">
        <v>29.200000762939453</v>
      </c>
      <c r="E21" s="50">
        <v>31</v>
      </c>
      <c r="F21" s="79">
        <v>0</v>
      </c>
      <c r="G21" s="50">
        <v>11652</v>
      </c>
      <c r="H21" s="50">
        <f t="shared" si="0"/>
        <v>16037245.036293156</v>
      </c>
      <c r="I21" s="33">
        <f t="shared" si="1"/>
        <v>842524.03629315645</v>
      </c>
      <c r="J21" s="42">
        <f t="shared" si="2"/>
        <v>5.5448470313680422E-2</v>
      </c>
      <c r="K21" s="12">
        <f t="shared" si="3"/>
        <v>5.5448470313680422E-2</v>
      </c>
      <c r="L21" s="10">
        <f t="shared" si="4"/>
        <v>709846751731.71204</v>
      </c>
      <c r="M21" s="10">
        <f t="shared" si="5"/>
        <v>-297292.7167577371</v>
      </c>
      <c r="N21" s="10">
        <f t="shared" si="6"/>
        <v>88382959437.196091</v>
      </c>
      <c r="O21" s="12"/>
      <c r="P21" t="s">
        <v>73</v>
      </c>
      <c r="Q21" s="289">
        <v>712010.77691388875</v>
      </c>
      <c r="R21" s="289">
        <v>105728.88782322183</v>
      </c>
      <c r="S21" s="268">
        <v>6.7343068821868934</v>
      </c>
      <c r="T21" s="268">
        <v>6.0238475901268296E-10</v>
      </c>
      <c r="U21" s="289">
        <v>502674.93721714115</v>
      </c>
      <c r="V21" s="289">
        <v>921346.61661063635</v>
      </c>
    </row>
    <row r="22" spans="1:22" x14ac:dyDescent="0.2">
      <c r="A22" s="49">
        <v>42247</v>
      </c>
      <c r="B22" s="50">
        <v>15927099</v>
      </c>
      <c r="C22" s="50">
        <v>37.5</v>
      </c>
      <c r="D22" s="50">
        <v>35.599998474121094</v>
      </c>
      <c r="E22" s="50">
        <v>31</v>
      </c>
      <c r="F22" s="79">
        <v>0</v>
      </c>
      <c r="G22" s="50">
        <v>11654</v>
      </c>
      <c r="H22" s="50">
        <f t="shared" si="0"/>
        <v>16048934.397978328</v>
      </c>
      <c r="I22" s="33">
        <f t="shared" si="1"/>
        <v>121835.39797832817</v>
      </c>
      <c r="J22" s="42">
        <f t="shared" si="2"/>
        <v>7.6495661876860421E-3</v>
      </c>
      <c r="K22" s="12">
        <f t="shared" si="3"/>
        <v>7.6495661876860421E-3</v>
      </c>
      <c r="L22" s="10">
        <f t="shared" si="4"/>
        <v>14843864200.537611</v>
      </c>
      <c r="M22" s="10">
        <f t="shared" si="5"/>
        <v>-720688.63831482828</v>
      </c>
      <c r="N22" s="10">
        <f t="shared" si="6"/>
        <v>519392113396.08136</v>
      </c>
      <c r="O22" s="12"/>
      <c r="P22" t="s">
        <v>14</v>
      </c>
      <c r="Q22" s="289">
        <v>-841032.75079312653</v>
      </c>
      <c r="R22" s="289">
        <v>178658.50671462683</v>
      </c>
      <c r="S22" s="268">
        <v>-4.7074878563522153</v>
      </c>
      <c r="T22" s="268">
        <v>6.7868726722928796E-6</v>
      </c>
      <c r="U22" s="289">
        <v>-1194764.1603640416</v>
      </c>
      <c r="V22" s="289">
        <v>-487301.34122221137</v>
      </c>
    </row>
    <row r="23" spans="1:22" ht="13.5" thickBot="1" x14ac:dyDescent="0.25">
      <c r="A23" s="49">
        <v>42277</v>
      </c>
      <c r="B23" s="50">
        <v>15311739</v>
      </c>
      <c r="C23" s="50">
        <v>75.5</v>
      </c>
      <c r="D23" s="50">
        <v>31.399999618530273</v>
      </c>
      <c r="E23" s="50">
        <v>30</v>
      </c>
      <c r="F23" s="79">
        <v>1</v>
      </c>
      <c r="G23" s="50">
        <v>11658</v>
      </c>
      <c r="H23" s="50">
        <f t="shared" ref="H23:H54" si="7">$Q$18+$Q$19*C23+$Q$20*D23+$Q$21*E23+$Q$22*F23+$Q$23*G23</f>
        <v>14821966.714610025</v>
      </c>
      <c r="I23" s="33">
        <f t="shared" ref="I23:I54" si="8">H23-B23</f>
        <v>-489772.28538997471</v>
      </c>
      <c r="J23" s="42">
        <f t="shared" ref="J23:J54" si="9">I23/B23</f>
        <v>-3.1986718516425518E-2</v>
      </c>
      <c r="K23" s="12">
        <f t="shared" si="3"/>
        <v>3.1986718516425518E-2</v>
      </c>
      <c r="L23" s="10">
        <f t="shared" si="4"/>
        <v>239876891536.11884</v>
      </c>
      <c r="M23" s="10">
        <f t="shared" si="5"/>
        <v>-611607.68336830288</v>
      </c>
      <c r="N23" s="10">
        <f t="shared" si="6"/>
        <v>374063958355.14221</v>
      </c>
      <c r="O23" s="12"/>
      <c r="P23" s="265" t="s">
        <v>85</v>
      </c>
      <c r="Q23" s="291">
        <v>6862.7235064189435</v>
      </c>
      <c r="R23" s="291">
        <v>295.82340200528387</v>
      </c>
      <c r="S23" s="290">
        <v>23.198717410113364</v>
      </c>
      <c r="T23" s="290">
        <v>3.5853989559864063E-46</v>
      </c>
      <c r="U23" s="291">
        <v>6277.0137582537564</v>
      </c>
      <c r="V23" s="291">
        <v>7448.4332545841307</v>
      </c>
    </row>
    <row r="24" spans="1:22" x14ac:dyDescent="0.2">
      <c r="A24" s="49">
        <v>42308</v>
      </c>
      <c r="B24" s="50">
        <v>15644030</v>
      </c>
      <c r="C24" s="50">
        <v>331.20001220703125</v>
      </c>
      <c r="D24" s="50">
        <v>0</v>
      </c>
      <c r="E24" s="50">
        <v>31</v>
      </c>
      <c r="F24" s="79">
        <v>1</v>
      </c>
      <c r="G24" s="50">
        <v>11660</v>
      </c>
      <c r="H24" s="50">
        <f t="shared" si="7"/>
        <v>17479767.326148473</v>
      </c>
      <c r="I24" s="33">
        <f t="shared" si="8"/>
        <v>1835737.3261484727</v>
      </c>
      <c r="J24" s="42">
        <f t="shared" si="9"/>
        <v>0.11734427293660731</v>
      </c>
      <c r="K24" s="12">
        <f t="shared" si="3"/>
        <v>0.11734427293660731</v>
      </c>
      <c r="L24" s="10">
        <f t="shared" si="4"/>
        <v>3369931530614.7441</v>
      </c>
      <c r="M24" s="10">
        <f t="shared" si="5"/>
        <v>2325509.6115384474</v>
      </c>
      <c r="N24" s="10">
        <f t="shared" si="6"/>
        <v>5407994953357.7012</v>
      </c>
      <c r="O24" s="12"/>
      <c r="P24" s="44"/>
    </row>
    <row r="25" spans="1:22" x14ac:dyDescent="0.2">
      <c r="A25" s="49">
        <v>42338</v>
      </c>
      <c r="B25" s="50">
        <v>17358760</v>
      </c>
      <c r="C25" s="50">
        <v>413</v>
      </c>
      <c r="D25" s="50">
        <v>0</v>
      </c>
      <c r="E25" s="50">
        <v>30</v>
      </c>
      <c r="F25" s="79">
        <v>0</v>
      </c>
      <c r="G25" s="50">
        <v>11660</v>
      </c>
      <c r="H25" s="50">
        <f t="shared" si="7"/>
        <v>18474495.120221257</v>
      </c>
      <c r="I25" s="33">
        <f t="shared" si="8"/>
        <v>1115735.1202212572</v>
      </c>
      <c r="J25" s="42">
        <f t="shared" si="9"/>
        <v>6.4275047308751151E-2</v>
      </c>
      <c r="K25" s="12">
        <f t="shared" si="3"/>
        <v>6.4275047308751151E-2</v>
      </c>
      <c r="L25" s="10">
        <f t="shared" si="4"/>
        <v>1244864858495.1433</v>
      </c>
      <c r="M25" s="10">
        <f t="shared" si="5"/>
        <v>-720002.20592721552</v>
      </c>
      <c r="N25" s="10">
        <f t="shared" si="6"/>
        <v>518403176540.05646</v>
      </c>
      <c r="O25" s="12"/>
      <c r="P25" s="44" t="s">
        <v>220</v>
      </c>
      <c r="Q25" s="247">
        <f>K129</f>
        <v>3.6656817823976437E-2</v>
      </c>
    </row>
    <row r="26" spans="1:22" x14ac:dyDescent="0.2">
      <c r="A26" s="49">
        <v>42369</v>
      </c>
      <c r="B26" s="50">
        <v>19854052</v>
      </c>
      <c r="C26" s="50">
        <v>541.20001220703125</v>
      </c>
      <c r="D26" s="50">
        <v>0</v>
      </c>
      <c r="E26" s="50">
        <v>31</v>
      </c>
      <c r="F26" s="79">
        <v>0</v>
      </c>
      <c r="G26" s="50">
        <v>11660</v>
      </c>
      <c r="H26" s="50">
        <f t="shared" si="7"/>
        <v>20543272.563132726</v>
      </c>
      <c r="I26" s="33">
        <f t="shared" si="8"/>
        <v>689220.56313272566</v>
      </c>
      <c r="J26" s="42">
        <f t="shared" si="9"/>
        <v>3.471435267383835E-2</v>
      </c>
      <c r="K26" s="12">
        <f t="shared" si="3"/>
        <v>3.471435267383835E-2</v>
      </c>
      <c r="L26" s="10">
        <f t="shared" si="4"/>
        <v>475024984644.99146</v>
      </c>
      <c r="M26" s="10">
        <f t="shared" si="5"/>
        <v>-426514.55708853155</v>
      </c>
      <c r="N26" s="10">
        <f t="shared" si="6"/>
        <v>181914667408.42624</v>
      </c>
      <c r="O26" s="12"/>
    </row>
    <row r="27" spans="1:22" x14ac:dyDescent="0.2">
      <c r="A27" s="49">
        <v>42400</v>
      </c>
      <c r="B27" s="50">
        <v>22812626</v>
      </c>
      <c r="C27" s="50">
        <v>794.20001220703125</v>
      </c>
      <c r="D27" s="50">
        <v>0</v>
      </c>
      <c r="E27" s="50">
        <v>31</v>
      </c>
      <c r="F27" s="79">
        <v>0</v>
      </c>
      <c r="G27" s="50">
        <v>11673</v>
      </c>
      <c r="H27" s="50">
        <f t="shared" si="7"/>
        <v>23310038.154460691</v>
      </c>
      <c r="I27" s="33">
        <f t="shared" si="8"/>
        <v>497412.15446069092</v>
      </c>
      <c r="J27" s="42">
        <f t="shared" si="9"/>
        <v>2.1804247983581149E-2</v>
      </c>
      <c r="K27" s="12">
        <f t="shared" si="3"/>
        <v>2.1804247983581149E-2</v>
      </c>
      <c r="L27" s="10">
        <f t="shared" si="4"/>
        <v>247418851405.22623</v>
      </c>
      <c r="M27" s="10">
        <f t="shared" si="5"/>
        <v>-191808.40867203474</v>
      </c>
      <c r="N27" s="10">
        <f t="shared" si="6"/>
        <v>36790465637.298294</v>
      </c>
      <c r="P27" t="s">
        <v>177</v>
      </c>
      <c r="Q27" s="240">
        <f>N129</f>
        <v>74187124050514.891</v>
      </c>
    </row>
    <row r="28" spans="1:22" x14ac:dyDescent="0.2">
      <c r="A28" s="49">
        <v>42429</v>
      </c>
      <c r="B28" s="50">
        <v>20613292</v>
      </c>
      <c r="C28" s="50">
        <v>731.20001220703125</v>
      </c>
      <c r="D28" s="50">
        <v>0</v>
      </c>
      <c r="E28" s="50">
        <v>29</v>
      </c>
      <c r="F28" s="79">
        <v>0</v>
      </c>
      <c r="G28" s="50">
        <v>11668</v>
      </c>
      <c r="H28" s="50">
        <f t="shared" si="7"/>
        <v>21184961.237243496</v>
      </c>
      <c r="I28" s="33">
        <f t="shared" si="8"/>
        <v>571669.23724349588</v>
      </c>
      <c r="J28" s="42">
        <f t="shared" si="9"/>
        <v>2.7733039305099634E-2</v>
      </c>
      <c r="K28" s="12">
        <f t="shared" si="3"/>
        <v>2.7733039305099634E-2</v>
      </c>
      <c r="L28" s="10">
        <f t="shared" si="4"/>
        <v>326805716810.56036</v>
      </c>
      <c r="M28" s="10">
        <f t="shared" si="5"/>
        <v>74257.082782804966</v>
      </c>
      <c r="N28" s="10">
        <f t="shared" si="6"/>
        <v>5514114343.4123497</v>
      </c>
      <c r="P28" t="s">
        <v>174</v>
      </c>
      <c r="Q28" s="240">
        <f>L129</f>
        <v>104869273288842.36</v>
      </c>
    </row>
    <row r="29" spans="1:22" x14ac:dyDescent="0.2">
      <c r="A29" s="49">
        <v>42460</v>
      </c>
      <c r="B29" s="50">
        <v>19595000</v>
      </c>
      <c r="C29" s="50">
        <v>588.79998779296875</v>
      </c>
      <c r="D29" s="50">
        <v>0</v>
      </c>
      <c r="E29" s="50">
        <v>31</v>
      </c>
      <c r="F29" s="79">
        <v>1</v>
      </c>
      <c r="G29" s="50">
        <v>11670</v>
      </c>
      <c r="H29" s="50">
        <f t="shared" si="7"/>
        <v>20274627.219228126</v>
      </c>
      <c r="I29" s="33">
        <f t="shared" si="8"/>
        <v>679627.21922812611</v>
      </c>
      <c r="J29" s="42">
        <f t="shared" si="9"/>
        <v>3.468370600806972E-2</v>
      </c>
      <c r="K29" s="12">
        <f t="shared" si="3"/>
        <v>3.468370600806972E-2</v>
      </c>
      <c r="L29" s="10">
        <f t="shared" si="4"/>
        <v>461893157115.75537</v>
      </c>
      <c r="M29" s="10">
        <f t="shared" si="5"/>
        <v>107957.98198463023</v>
      </c>
      <c r="N29" s="10">
        <f t="shared" si="6"/>
        <v>11654925874.193745</v>
      </c>
    </row>
    <row r="30" spans="1:22" x14ac:dyDescent="0.2">
      <c r="A30" s="49">
        <v>42490</v>
      </c>
      <c r="B30" s="50">
        <v>17806355</v>
      </c>
      <c r="C30" s="50">
        <v>499.70001220703125</v>
      </c>
      <c r="D30" s="50">
        <v>0</v>
      </c>
      <c r="E30" s="50">
        <v>30</v>
      </c>
      <c r="F30" s="79">
        <v>1</v>
      </c>
      <c r="G30" s="50">
        <v>11669</v>
      </c>
      <c r="H30" s="50">
        <f t="shared" si="7"/>
        <v>18612790.650902838</v>
      </c>
      <c r="I30" s="33">
        <f t="shared" si="8"/>
        <v>806435.65090283751</v>
      </c>
      <c r="J30" s="42">
        <f t="shared" si="9"/>
        <v>4.5289204382527336E-2</v>
      </c>
      <c r="K30" s="12">
        <f t="shared" si="3"/>
        <v>4.5289204382527336E-2</v>
      </c>
      <c r="L30" s="10">
        <f t="shared" si="4"/>
        <v>650338459047.08325</v>
      </c>
      <c r="M30" s="10">
        <f t="shared" si="5"/>
        <v>126808.43167471141</v>
      </c>
      <c r="N30" s="10">
        <f t="shared" si="6"/>
        <v>16080378343.799952</v>
      </c>
      <c r="P30" t="s">
        <v>178</v>
      </c>
      <c r="Q30" s="246">
        <f>Q27/Q28</f>
        <v>0.70742479397354685</v>
      </c>
    </row>
    <row r="31" spans="1:22" x14ac:dyDescent="0.2">
      <c r="A31" s="49">
        <v>42521</v>
      </c>
      <c r="B31" s="50">
        <v>15620269</v>
      </c>
      <c r="C31" s="50">
        <v>241.19999694824219</v>
      </c>
      <c r="D31" s="50">
        <v>3.5</v>
      </c>
      <c r="E31" s="50">
        <v>31</v>
      </c>
      <c r="F31" s="79">
        <v>1</v>
      </c>
      <c r="G31" s="50">
        <v>11671</v>
      </c>
      <c r="H31" s="50">
        <f t="shared" si="7"/>
        <v>16689049.553094544</v>
      </c>
      <c r="I31" s="33">
        <f t="shared" si="8"/>
        <v>1068780.5530945435</v>
      </c>
      <c r="J31" s="42">
        <f t="shared" si="9"/>
        <v>6.8422672688578129E-2</v>
      </c>
      <c r="K31" s="12">
        <f t="shared" si="3"/>
        <v>6.8422672688578129E-2</v>
      </c>
      <c r="L31" s="10">
        <f t="shared" si="4"/>
        <v>1142291870673.0784</v>
      </c>
      <c r="M31" s="10">
        <f t="shared" si="5"/>
        <v>262344.902191706</v>
      </c>
      <c r="N31" s="10">
        <f t="shared" si="6"/>
        <v>68824847705.975784</v>
      </c>
    </row>
    <row r="32" spans="1:22" x14ac:dyDescent="0.2">
      <c r="A32" s="49">
        <v>42551</v>
      </c>
      <c r="B32" s="50">
        <v>15053727</v>
      </c>
      <c r="C32" s="50">
        <v>116.80000305175781</v>
      </c>
      <c r="D32" s="50">
        <v>8.6000003814697266</v>
      </c>
      <c r="E32" s="50">
        <v>30</v>
      </c>
      <c r="F32" s="79">
        <v>0</v>
      </c>
      <c r="G32" s="50">
        <v>11665</v>
      </c>
      <c r="H32" s="50">
        <f t="shared" si="7"/>
        <v>15586068.107629985</v>
      </c>
      <c r="I32" s="33">
        <f t="shared" si="8"/>
        <v>532341.10762998462</v>
      </c>
      <c r="J32" s="42">
        <f t="shared" si="9"/>
        <v>3.5362744895665016E-2</v>
      </c>
      <c r="K32" s="12">
        <f t="shared" si="3"/>
        <v>3.5362744895665016E-2</v>
      </c>
      <c r="L32" s="10">
        <f t="shared" si="4"/>
        <v>283387054872.71887</v>
      </c>
      <c r="M32" s="10">
        <f t="shared" si="5"/>
        <v>-536439.4454645589</v>
      </c>
      <c r="N32" s="10">
        <f t="shared" si="6"/>
        <v>287767278650.32349</v>
      </c>
    </row>
    <row r="33" spans="1:15" x14ac:dyDescent="0.2">
      <c r="A33" s="49">
        <v>42582</v>
      </c>
      <c r="B33" s="50">
        <v>15175029</v>
      </c>
      <c r="C33" s="50">
        <v>27.200000762939453</v>
      </c>
      <c r="D33" s="50">
        <v>44.200000762939453</v>
      </c>
      <c r="E33" s="50">
        <v>31</v>
      </c>
      <c r="F33" s="79">
        <v>0</v>
      </c>
      <c r="G33" s="50">
        <v>11670</v>
      </c>
      <c r="H33" s="50">
        <f t="shared" si="7"/>
        <v>16261734.908668347</v>
      </c>
      <c r="I33" s="33">
        <f t="shared" si="8"/>
        <v>1086705.9086683467</v>
      </c>
      <c r="J33" s="42">
        <f t="shared" si="9"/>
        <v>7.161145515229965E-2</v>
      </c>
      <c r="K33" s="12">
        <f t="shared" si="3"/>
        <v>7.161145515229965E-2</v>
      </c>
      <c r="L33" s="10">
        <f t="shared" si="4"/>
        <v>1180929731934.697</v>
      </c>
      <c r="M33" s="10">
        <f t="shared" si="5"/>
        <v>554364.80103836209</v>
      </c>
      <c r="N33" s="10">
        <f t="shared" si="6"/>
        <v>307320332630.3028</v>
      </c>
      <c r="O33"/>
    </row>
    <row r="34" spans="1:15" x14ac:dyDescent="0.2">
      <c r="A34" s="49">
        <v>42613</v>
      </c>
      <c r="B34" s="50">
        <v>14040928</v>
      </c>
      <c r="C34" s="50">
        <v>17.100000381469727</v>
      </c>
      <c r="D34" s="50">
        <v>51.700000762939453</v>
      </c>
      <c r="E34" s="50">
        <v>31</v>
      </c>
      <c r="F34" s="79">
        <v>0</v>
      </c>
      <c r="G34" s="50">
        <v>11677</v>
      </c>
      <c r="H34" s="50">
        <f t="shared" si="7"/>
        <v>16387770.707713924</v>
      </c>
      <c r="I34" s="33">
        <f t="shared" si="8"/>
        <v>2346842.7077139243</v>
      </c>
      <c r="J34" s="42">
        <f t="shared" si="9"/>
        <v>0.16714299138304281</v>
      </c>
      <c r="K34" s="12">
        <f t="shared" si="3"/>
        <v>0.16714299138304281</v>
      </c>
      <c r="L34" s="10">
        <f t="shared" si="4"/>
        <v>5507670694750.0244</v>
      </c>
      <c r="M34" s="10">
        <f t="shared" si="5"/>
        <v>1260136.7990455776</v>
      </c>
      <c r="N34" s="10">
        <f t="shared" si="6"/>
        <v>1587944752308.8345</v>
      </c>
      <c r="O34"/>
    </row>
    <row r="35" spans="1:15" x14ac:dyDescent="0.2">
      <c r="A35" s="49">
        <v>42643</v>
      </c>
      <c r="B35" s="50">
        <v>14592632</v>
      </c>
      <c r="C35" s="50">
        <v>65.099998474121094</v>
      </c>
      <c r="D35" s="50">
        <v>12.800000190734863</v>
      </c>
      <c r="E35" s="50">
        <v>30</v>
      </c>
      <c r="F35" s="79">
        <v>1</v>
      </c>
      <c r="G35" s="50">
        <v>11679</v>
      </c>
      <c r="H35" s="50">
        <f t="shared" si="7"/>
        <v>14397498.63895905</v>
      </c>
      <c r="I35" s="33">
        <f t="shared" si="8"/>
        <v>-195133.36104094982</v>
      </c>
      <c r="J35" s="42">
        <f t="shared" si="9"/>
        <v>-1.3372047005704648E-2</v>
      </c>
      <c r="K35" s="12">
        <f t="shared" si="3"/>
        <v>1.3372047005704648E-2</v>
      </c>
      <c r="L35" s="10">
        <f t="shared" si="4"/>
        <v>38077028591.137672</v>
      </c>
      <c r="M35" s="10">
        <f t="shared" si="5"/>
        <v>-2541976.0687548742</v>
      </c>
      <c r="N35" s="10">
        <f t="shared" si="6"/>
        <v>6461642334122.4844</v>
      </c>
      <c r="O35"/>
    </row>
    <row r="36" spans="1:15" x14ac:dyDescent="0.2">
      <c r="A36" s="49">
        <v>42674</v>
      </c>
      <c r="B36" s="50">
        <v>16660127</v>
      </c>
      <c r="C36" s="50">
        <v>277.39999389648438</v>
      </c>
      <c r="D36" s="50">
        <v>0</v>
      </c>
      <c r="E36" s="50">
        <v>31</v>
      </c>
      <c r="F36" s="79">
        <v>1</v>
      </c>
      <c r="G36" s="50">
        <v>11680</v>
      </c>
      <c r="H36" s="50">
        <f t="shared" si="7"/>
        <v>17047645.317935102</v>
      </c>
      <c r="I36" s="33">
        <f t="shared" si="8"/>
        <v>387518.31793510169</v>
      </c>
      <c r="J36" s="42">
        <f t="shared" si="9"/>
        <v>2.3260225923553986E-2</v>
      </c>
      <c r="K36" s="12">
        <f t="shared" si="3"/>
        <v>2.3260225923553986E-2</v>
      </c>
      <c r="L36" s="10">
        <f t="shared" si="4"/>
        <v>150170446735.25055</v>
      </c>
      <c r="M36" s="10">
        <f t="shared" si="5"/>
        <v>582651.67897605151</v>
      </c>
      <c r="N36" s="10">
        <f t="shared" si="6"/>
        <v>339482979013.61176</v>
      </c>
      <c r="O36"/>
    </row>
    <row r="37" spans="1:15" x14ac:dyDescent="0.2">
      <c r="A37" s="49">
        <v>42704</v>
      </c>
      <c r="B37" s="50">
        <v>17571648</v>
      </c>
      <c r="C37" s="50">
        <v>391.5</v>
      </c>
      <c r="D37" s="50">
        <v>0</v>
      </c>
      <c r="E37" s="50">
        <v>30</v>
      </c>
      <c r="F37" s="79">
        <v>0</v>
      </c>
      <c r="G37" s="50">
        <v>11694</v>
      </c>
      <c r="H37" s="50">
        <f t="shared" si="7"/>
        <v>18480288.869662777</v>
      </c>
      <c r="I37" s="33">
        <f t="shared" si="8"/>
        <v>908640.86966277659</v>
      </c>
      <c r="J37" s="42">
        <f t="shared" si="9"/>
        <v>5.1710623253025362E-2</v>
      </c>
      <c r="K37" s="12">
        <f t="shared" si="3"/>
        <v>5.1710623253025362E-2</v>
      </c>
      <c r="L37" s="10">
        <f t="shared" si="4"/>
        <v>825628230021.52698</v>
      </c>
      <c r="M37" s="10">
        <f t="shared" si="5"/>
        <v>521122.5517276749</v>
      </c>
      <c r="N37" s="10">
        <f t="shared" si="6"/>
        <v>271568713919.16321</v>
      </c>
      <c r="O37"/>
    </row>
    <row r="38" spans="1:15" x14ac:dyDescent="0.2">
      <c r="A38" s="49">
        <v>42735</v>
      </c>
      <c r="B38" s="50">
        <v>21508613</v>
      </c>
      <c r="C38" s="50">
        <v>689.79998779296875</v>
      </c>
      <c r="D38" s="50">
        <v>0</v>
      </c>
      <c r="E38" s="50">
        <v>31</v>
      </c>
      <c r="F38" s="79">
        <v>0</v>
      </c>
      <c r="G38" s="50">
        <v>11707</v>
      </c>
      <c r="H38" s="50">
        <f t="shared" si="7"/>
        <v>22438484.173593543</v>
      </c>
      <c r="I38" s="33">
        <f t="shared" si="8"/>
        <v>929871.17359354347</v>
      </c>
      <c r="J38" s="42">
        <f t="shared" si="9"/>
        <v>4.3232502885869183E-2</v>
      </c>
      <c r="K38" s="12">
        <f t="shared" si="3"/>
        <v>4.3232502885869183E-2</v>
      </c>
      <c r="L38" s="10">
        <f t="shared" si="4"/>
        <v>864660399480.23389</v>
      </c>
      <c r="M38" s="10">
        <f t="shared" si="5"/>
        <v>21230.303930766881</v>
      </c>
      <c r="N38" s="10">
        <f t="shared" si="6"/>
        <v>450725804.99273568</v>
      </c>
      <c r="O38"/>
    </row>
    <row r="39" spans="1:15" x14ac:dyDescent="0.2">
      <c r="A39" s="49">
        <v>42766</v>
      </c>
      <c r="B39" s="50">
        <v>21467580.559999999</v>
      </c>
      <c r="C39" s="50">
        <v>710.9000244140625</v>
      </c>
      <c r="D39" s="50">
        <v>0</v>
      </c>
      <c r="E39" s="50">
        <v>31</v>
      </c>
      <c r="F39" s="79">
        <v>0</v>
      </c>
      <c r="G39" s="50">
        <v>11705</v>
      </c>
      <c r="H39" s="50">
        <f t="shared" si="7"/>
        <v>22648064.682999767</v>
      </c>
      <c r="I39" s="33">
        <f t="shared" si="8"/>
        <v>1180484.1229997687</v>
      </c>
      <c r="J39" s="42">
        <f t="shared" si="9"/>
        <v>5.4989155377822826E-2</v>
      </c>
      <c r="K39" s="12">
        <f t="shared" si="3"/>
        <v>5.4989155377822826E-2</v>
      </c>
      <c r="L39" s="10">
        <f t="shared" si="4"/>
        <v>1393542764654.533</v>
      </c>
      <c r="M39" s="10">
        <f t="shared" si="5"/>
        <v>250612.94940622523</v>
      </c>
      <c r="N39" s="10">
        <f t="shared" si="6"/>
        <v>62806850410.087212</v>
      </c>
      <c r="O39"/>
    </row>
    <row r="40" spans="1:15" x14ac:dyDescent="0.2">
      <c r="A40" s="49">
        <v>42794</v>
      </c>
      <c r="B40" s="50">
        <v>19505516.77</v>
      </c>
      <c r="C40" s="50">
        <v>638.70001220703125</v>
      </c>
      <c r="D40" s="50">
        <v>0</v>
      </c>
      <c r="E40" s="50">
        <v>28</v>
      </c>
      <c r="F40" s="79">
        <v>0</v>
      </c>
      <c r="G40" s="50">
        <v>11705</v>
      </c>
      <c r="H40" s="50">
        <f t="shared" si="7"/>
        <v>19747925.01591149</v>
      </c>
      <c r="I40" s="33">
        <f t="shared" si="8"/>
        <v>242408.24591149017</v>
      </c>
      <c r="J40" s="42">
        <f t="shared" si="9"/>
        <v>1.2427676168227465E-2</v>
      </c>
      <c r="K40" s="12">
        <f t="shared" si="3"/>
        <v>1.2427676168227465E-2</v>
      </c>
      <c r="L40" s="10">
        <f t="shared" si="4"/>
        <v>58761757685.88549</v>
      </c>
      <c r="M40" s="10">
        <f t="shared" si="5"/>
        <v>-938075.87708827853</v>
      </c>
      <c r="N40" s="10">
        <f t="shared" si="6"/>
        <v>879986351174.94299</v>
      </c>
      <c r="O40"/>
    </row>
    <row r="41" spans="1:15" x14ac:dyDescent="0.2">
      <c r="A41" s="49">
        <v>42825</v>
      </c>
      <c r="B41" s="50">
        <v>21065920</v>
      </c>
      <c r="C41" s="50">
        <v>706.20001220703125</v>
      </c>
      <c r="D41" s="50">
        <v>0</v>
      </c>
      <c r="E41" s="50">
        <v>31</v>
      </c>
      <c r="F41" s="79">
        <v>1</v>
      </c>
      <c r="G41" s="50">
        <v>11705</v>
      </c>
      <c r="H41" s="50">
        <f t="shared" si="7"/>
        <v>21757290.752135746</v>
      </c>
      <c r="I41" s="33">
        <f t="shared" si="8"/>
        <v>691370.75213574618</v>
      </c>
      <c r="J41" s="42">
        <f t="shared" si="9"/>
        <v>3.2819395124245518E-2</v>
      </c>
      <c r="K41" s="12">
        <f t="shared" si="3"/>
        <v>3.2819395124245518E-2</v>
      </c>
      <c r="L41" s="10">
        <f t="shared" si="4"/>
        <v>477993516908.74738</v>
      </c>
      <c r="M41" s="10">
        <f t="shared" si="5"/>
        <v>448962.50622425601</v>
      </c>
      <c r="N41" s="10">
        <f t="shared" si="6"/>
        <v>201567331995.16513</v>
      </c>
      <c r="O41"/>
    </row>
    <row r="42" spans="1:15" x14ac:dyDescent="0.2">
      <c r="A42" s="49">
        <v>42855</v>
      </c>
      <c r="B42" s="50">
        <v>17169201</v>
      </c>
      <c r="C42" s="50">
        <v>392.10000610351563</v>
      </c>
      <c r="D42" s="50">
        <v>0</v>
      </c>
      <c r="E42" s="50">
        <v>30</v>
      </c>
      <c r="F42" s="79">
        <v>1</v>
      </c>
      <c r="G42" s="50">
        <v>11706</v>
      </c>
      <c r="H42" s="50">
        <f t="shared" si="7"/>
        <v>17727958.786930546</v>
      </c>
      <c r="I42" s="33">
        <f t="shared" si="8"/>
        <v>558757.78693054616</v>
      </c>
      <c r="J42" s="42">
        <f t="shared" si="9"/>
        <v>3.2544192762991482E-2</v>
      </c>
      <c r="K42" s="12">
        <f t="shared" si="3"/>
        <v>3.2544192762991482E-2</v>
      </c>
      <c r="L42" s="10">
        <f t="shared" si="4"/>
        <v>312210264455.52161</v>
      </c>
      <c r="M42" s="10">
        <f t="shared" si="5"/>
        <v>-132612.96520520002</v>
      </c>
      <c r="N42" s="10">
        <f t="shared" si="6"/>
        <v>17586198540.515591</v>
      </c>
      <c r="O42"/>
    </row>
    <row r="43" spans="1:15" x14ac:dyDescent="0.2">
      <c r="A43" s="49">
        <v>42886</v>
      </c>
      <c r="B43" s="50">
        <v>16857588.595495854</v>
      </c>
      <c r="C43" s="50">
        <v>273.79998779296875</v>
      </c>
      <c r="D43" s="50">
        <v>0</v>
      </c>
      <c r="E43" s="50">
        <v>31</v>
      </c>
      <c r="F43" s="79">
        <v>1</v>
      </c>
      <c r="G43" s="50">
        <v>11687</v>
      </c>
      <c r="H43" s="50">
        <f t="shared" si="7"/>
        <v>17057584.78955058</v>
      </c>
      <c r="I43" s="33">
        <f t="shared" si="8"/>
        <v>199996.19405472651</v>
      </c>
      <c r="J43" s="42">
        <f t="shared" si="9"/>
        <v>1.1863867297613557E-2</v>
      </c>
      <c r="K43" s="12">
        <f t="shared" si="3"/>
        <v>1.1863867297613557E-2</v>
      </c>
      <c r="L43" s="10">
        <f t="shared" si="4"/>
        <v>39998477636.375824</v>
      </c>
      <c r="M43" s="10">
        <f t="shared" si="5"/>
        <v>-358761.59287581965</v>
      </c>
      <c r="N43" s="10">
        <f t="shared" si="6"/>
        <v>128709880522.79536</v>
      </c>
      <c r="O43"/>
    </row>
    <row r="44" spans="1:15" x14ac:dyDescent="0.2">
      <c r="A44" s="49">
        <v>42916</v>
      </c>
      <c r="B44" s="50">
        <v>15263333.301115217</v>
      </c>
      <c r="C44" s="50">
        <v>104.09999847412109</v>
      </c>
      <c r="D44" s="50">
        <v>3.5</v>
      </c>
      <c r="E44" s="50">
        <v>30</v>
      </c>
      <c r="F44" s="79">
        <v>0</v>
      </c>
      <c r="G44" s="50">
        <v>11681</v>
      </c>
      <c r="H44" s="50">
        <f t="shared" si="7"/>
        <v>15435741.74077332</v>
      </c>
      <c r="I44" s="33">
        <f t="shared" si="8"/>
        <v>172408.43965810351</v>
      </c>
      <c r="J44" s="42">
        <f t="shared" si="9"/>
        <v>1.1295595546321882E-2</v>
      </c>
      <c r="K44" s="12">
        <f t="shared" si="3"/>
        <v>1.1295595546321882E-2</v>
      </c>
      <c r="L44" s="10">
        <f t="shared" si="4"/>
        <v>29724670065.341919</v>
      </c>
      <c r="M44" s="10">
        <f t="shared" si="5"/>
        <v>-27587.754396623001</v>
      </c>
      <c r="N44" s="10">
        <f t="shared" si="6"/>
        <v>761084192.64839172</v>
      </c>
      <c r="O44"/>
    </row>
    <row r="45" spans="1:15" x14ac:dyDescent="0.2">
      <c r="A45" s="49">
        <v>42947</v>
      </c>
      <c r="B45" s="50">
        <v>15899251.466712737</v>
      </c>
      <c r="C45" s="50">
        <v>42</v>
      </c>
      <c r="D45" s="50">
        <v>13.800000190734863</v>
      </c>
      <c r="E45" s="50">
        <v>31</v>
      </c>
      <c r="F45" s="79">
        <v>0</v>
      </c>
      <c r="G45" s="50">
        <v>11698</v>
      </c>
      <c r="H45" s="50">
        <f t="shared" si="7"/>
        <v>15861113.566878535</v>
      </c>
      <c r="I45" s="33">
        <f t="shared" si="8"/>
        <v>-38137.899834202603</v>
      </c>
      <c r="J45" s="42">
        <f t="shared" si="9"/>
        <v>-2.3987229785030774E-3</v>
      </c>
      <c r="K45" s="12">
        <f t="shared" si="3"/>
        <v>2.3987229785030774E-3</v>
      </c>
      <c r="L45" s="10">
        <f t="shared" si="4"/>
        <v>1454499403.7636709</v>
      </c>
      <c r="M45" s="10">
        <f t="shared" si="5"/>
        <v>-210546.33949230611</v>
      </c>
      <c r="N45" s="10">
        <f t="shared" si="6"/>
        <v>44329761073.609421</v>
      </c>
      <c r="O45"/>
    </row>
    <row r="46" spans="1:15" x14ac:dyDescent="0.2">
      <c r="A46" s="49">
        <v>42978</v>
      </c>
      <c r="B46" s="50">
        <v>15367347.487313259</v>
      </c>
      <c r="C46" s="50">
        <v>55.5</v>
      </c>
      <c r="D46" s="50">
        <v>9.1999998092651367</v>
      </c>
      <c r="E46" s="50">
        <v>31</v>
      </c>
      <c r="F46" s="79">
        <v>0</v>
      </c>
      <c r="G46" s="50">
        <v>11698</v>
      </c>
      <c r="H46" s="50">
        <f t="shared" si="7"/>
        <v>15890589.378484778</v>
      </c>
      <c r="I46" s="33">
        <f t="shared" si="8"/>
        <v>523241.89117151871</v>
      </c>
      <c r="J46" s="42">
        <f t="shared" si="9"/>
        <v>3.4048939909993498E-2</v>
      </c>
      <c r="K46" s="12">
        <f t="shared" si="3"/>
        <v>3.4048939909993498E-2</v>
      </c>
      <c r="L46" s="10">
        <f>I46*I46</f>
        <v>273782076676.74744</v>
      </c>
      <c r="M46" s="10">
        <f t="shared" si="5"/>
        <v>561379.79100572132</v>
      </c>
      <c r="N46" s="10">
        <f t="shared" si="6"/>
        <v>315147269749.62732</v>
      </c>
      <c r="O46"/>
    </row>
    <row r="47" spans="1:15" x14ac:dyDescent="0.2">
      <c r="A47" s="49">
        <v>43008</v>
      </c>
      <c r="B47" s="50">
        <v>14966550.43</v>
      </c>
      <c r="C47" s="50">
        <v>112.69999694824219</v>
      </c>
      <c r="D47" s="50">
        <v>33.299999237060547</v>
      </c>
      <c r="E47" s="50">
        <v>30</v>
      </c>
      <c r="F47" s="79">
        <v>1</v>
      </c>
      <c r="G47" s="50">
        <v>11707</v>
      </c>
      <c r="H47" s="50">
        <f t="shared" si="7"/>
        <v>15598773.311602026</v>
      </c>
      <c r="I47" s="33">
        <f t="shared" si="8"/>
        <v>632222.88160202652</v>
      </c>
      <c r="J47" s="42">
        <f t="shared" si="9"/>
        <v>4.2242391428739305E-2</v>
      </c>
      <c r="K47" s="12">
        <f t="shared" si="3"/>
        <v>4.2242391428739305E-2</v>
      </c>
      <c r="L47" s="10">
        <f t="shared" si="4"/>
        <v>399705772021.17004</v>
      </c>
      <c r="M47" s="10">
        <f t="shared" si="5"/>
        <v>108980.99043050781</v>
      </c>
      <c r="N47" s="10">
        <f t="shared" si="6"/>
        <v>11876856275.214436</v>
      </c>
      <c r="O47"/>
    </row>
    <row r="48" spans="1:15" x14ac:dyDescent="0.2">
      <c r="A48" s="49">
        <v>43039</v>
      </c>
      <c r="B48" s="50">
        <v>16411903.51</v>
      </c>
      <c r="C48" s="50">
        <v>266.29998779296875</v>
      </c>
      <c r="D48" s="50">
        <v>1.8999999761581421</v>
      </c>
      <c r="E48" s="50">
        <v>31</v>
      </c>
      <c r="F48" s="79">
        <v>1</v>
      </c>
      <c r="G48" s="50">
        <v>11712</v>
      </c>
      <c r="H48" s="50">
        <f t="shared" si="7"/>
        <v>17196616.92001275</v>
      </c>
      <c r="I48" s="33">
        <f t="shared" si="8"/>
        <v>784713.41001274996</v>
      </c>
      <c r="J48" s="42">
        <f t="shared" si="9"/>
        <v>4.7813674357432896E-2</v>
      </c>
      <c r="K48" s="12">
        <f t="shared" si="3"/>
        <v>4.7813674357432896E-2</v>
      </c>
      <c r="L48" s="10">
        <f t="shared" si="4"/>
        <v>615775135853.83826</v>
      </c>
      <c r="M48" s="10">
        <f t="shared" si="5"/>
        <v>152490.52841072343</v>
      </c>
      <c r="N48" s="10">
        <f t="shared" si="6"/>
        <v>23253361254.981651</v>
      </c>
      <c r="O48"/>
    </row>
    <row r="49" spans="1:15" x14ac:dyDescent="0.2">
      <c r="A49" s="49">
        <v>43069</v>
      </c>
      <c r="B49" s="50">
        <v>19237914.300000001</v>
      </c>
      <c r="C49" s="50">
        <v>497.39999389648438</v>
      </c>
      <c r="D49" s="50">
        <v>0</v>
      </c>
      <c r="E49" s="50">
        <v>30</v>
      </c>
      <c r="F49" s="79">
        <v>0</v>
      </c>
      <c r="G49" s="50">
        <v>11718</v>
      </c>
      <c r="H49" s="50">
        <f t="shared" si="7"/>
        <v>19765755.294401318</v>
      </c>
      <c r="I49" s="33">
        <f t="shared" si="8"/>
        <v>527840.99440131709</v>
      </c>
      <c r="J49" s="42">
        <f t="shared" si="9"/>
        <v>2.7437537467422706E-2</v>
      </c>
      <c r="K49" s="12">
        <f t="shared" si="3"/>
        <v>2.7437537467422706E-2</v>
      </c>
      <c r="L49" s="10">
        <f t="shared" si="4"/>
        <v>278616115370.57129</v>
      </c>
      <c r="M49" s="10">
        <f t="shared" si="5"/>
        <v>-256872.41561143287</v>
      </c>
      <c r="N49" s="10">
        <f t="shared" si="6"/>
        <v>65983437902.052696</v>
      </c>
      <c r="O49"/>
    </row>
    <row r="50" spans="1:15" x14ac:dyDescent="0.2">
      <c r="A50" s="49">
        <v>43100</v>
      </c>
      <c r="B50" s="50">
        <v>24068887.60324087</v>
      </c>
      <c r="C50" s="50">
        <v>849.9000244140625</v>
      </c>
      <c r="D50" s="50">
        <v>0</v>
      </c>
      <c r="E50" s="50">
        <v>31</v>
      </c>
      <c r="F50" s="79">
        <v>0</v>
      </c>
      <c r="G50" s="50">
        <v>11724</v>
      </c>
      <c r="H50" s="50">
        <f t="shared" si="7"/>
        <v>24249521.551433928</v>
      </c>
      <c r="I50" s="33">
        <f t="shared" si="8"/>
        <v>180633.94819305837</v>
      </c>
      <c r="J50" s="42">
        <f t="shared" si="9"/>
        <v>7.5048731445626115E-3</v>
      </c>
      <c r="K50" s="12">
        <f t="shared" si="3"/>
        <v>7.5048731445626115E-3</v>
      </c>
      <c r="L50" s="10">
        <f t="shared" si="4"/>
        <v>32628623239.812496</v>
      </c>
      <c r="M50" s="10">
        <f t="shared" si="5"/>
        <v>-347207.04620825872</v>
      </c>
      <c r="N50" s="10">
        <f t="shared" si="6"/>
        <v>120552732936.66391</v>
      </c>
      <c r="O50"/>
    </row>
    <row r="51" spans="1:15" x14ac:dyDescent="0.2">
      <c r="A51" s="49">
        <v>43131</v>
      </c>
      <c r="B51" s="50">
        <v>24569279.800000001</v>
      </c>
      <c r="C51" s="50">
        <v>860.4000244140625</v>
      </c>
      <c r="D51" s="50">
        <v>0</v>
      </c>
      <c r="E51" s="50">
        <v>31</v>
      </c>
      <c r="F51" s="79">
        <v>0</v>
      </c>
      <c r="G51" s="50">
        <v>11725</v>
      </c>
      <c r="H51" s="50">
        <f t="shared" si="7"/>
        <v>24367507.899249919</v>
      </c>
      <c r="I51" s="33">
        <f t="shared" si="8"/>
        <v>-201771.90075008199</v>
      </c>
      <c r="J51" s="42">
        <f t="shared" si="9"/>
        <v>-8.2123652948948873E-3</v>
      </c>
      <c r="K51" s="12">
        <f t="shared" si="3"/>
        <v>8.2123652948948873E-3</v>
      </c>
      <c r="L51" s="10">
        <f t="shared" si="4"/>
        <v>40711899932.300934</v>
      </c>
      <c r="M51" s="10">
        <f t="shared" si="5"/>
        <v>-382405.84894314036</v>
      </c>
      <c r="N51" s="10">
        <f t="shared" si="6"/>
        <v>146234233305.92389</v>
      </c>
      <c r="O51"/>
    </row>
    <row r="52" spans="1:15" x14ac:dyDescent="0.2">
      <c r="A52" s="49">
        <v>43159</v>
      </c>
      <c r="B52" s="50">
        <v>21339233.539999999</v>
      </c>
      <c r="C52" s="50">
        <v>769</v>
      </c>
      <c r="D52" s="50">
        <v>0</v>
      </c>
      <c r="E52" s="50">
        <v>28</v>
      </c>
      <c r="F52" s="79">
        <v>0</v>
      </c>
      <c r="G52" s="50">
        <v>11725</v>
      </c>
      <c r="H52" s="50">
        <f t="shared" si="7"/>
        <v>21264170.618520394</v>
      </c>
      <c r="I52" s="33">
        <f t="shared" si="8"/>
        <v>-75062.921479605138</v>
      </c>
      <c r="J52" s="42">
        <f t="shared" si="9"/>
        <v>-3.5176015735945286E-3</v>
      </c>
      <c r="K52" s="12">
        <f t="shared" si="3"/>
        <v>3.5176015735945286E-3</v>
      </c>
      <c r="L52" s="10">
        <f t="shared" si="4"/>
        <v>5634442181.0533667</v>
      </c>
      <c r="M52" s="10">
        <f t="shared" si="5"/>
        <v>126708.97927047685</v>
      </c>
      <c r="N52" s="10">
        <f t="shared" si="6"/>
        <v>16055165427.766132</v>
      </c>
      <c r="O52"/>
    </row>
    <row r="53" spans="1:15" x14ac:dyDescent="0.2">
      <c r="A53" s="49">
        <v>43190</v>
      </c>
      <c r="B53" s="50">
        <v>21499910.469999999</v>
      </c>
      <c r="C53" s="50">
        <v>737.70001220703125</v>
      </c>
      <c r="D53" s="50">
        <v>0</v>
      </c>
      <c r="E53" s="50">
        <v>31</v>
      </c>
      <c r="F53" s="79">
        <v>1</v>
      </c>
      <c r="G53" s="50">
        <v>11721</v>
      </c>
      <c r="H53" s="50">
        <f t="shared" si="7"/>
        <v>22200465.201167114</v>
      </c>
      <c r="I53" s="33">
        <f t="shared" si="8"/>
        <v>700554.73116711527</v>
      </c>
      <c r="J53" s="42">
        <f t="shared" si="9"/>
        <v>3.2584076670674401E-2</v>
      </c>
      <c r="K53" s="12">
        <f t="shared" si="3"/>
        <v>3.2584076670674401E-2</v>
      </c>
      <c r="L53" s="10">
        <f t="shared" si="4"/>
        <v>490776931360.62915</v>
      </c>
      <c r="M53" s="10">
        <f t="shared" si="5"/>
        <v>775617.65264672041</v>
      </c>
      <c r="N53" s="10">
        <f t="shared" si="6"/>
        <v>601582743097.20862</v>
      </c>
      <c r="O53"/>
    </row>
    <row r="54" spans="1:15" x14ac:dyDescent="0.2">
      <c r="A54" s="49">
        <v>43220</v>
      </c>
      <c r="B54" s="50">
        <v>19888070.98</v>
      </c>
      <c r="C54" s="50">
        <v>585.9000244140625</v>
      </c>
      <c r="D54" s="50">
        <v>0</v>
      </c>
      <c r="E54" s="50">
        <v>30</v>
      </c>
      <c r="F54" s="79">
        <v>1</v>
      </c>
      <c r="G54" s="50">
        <v>11721</v>
      </c>
      <c r="H54" s="50">
        <f t="shared" si="7"/>
        <v>19881924.441995993</v>
      </c>
      <c r="I54" s="33">
        <f t="shared" si="8"/>
        <v>-6146.5380040071905</v>
      </c>
      <c r="J54" s="42">
        <f t="shared" si="9"/>
        <v>-3.0905651987004273E-4</v>
      </c>
      <c r="K54" s="12">
        <f t="shared" si="3"/>
        <v>3.0905651987004273E-4</v>
      </c>
      <c r="L54" s="10">
        <f t="shared" si="4"/>
        <v>37779929.434704699</v>
      </c>
      <c r="M54" s="10">
        <f t="shared" si="5"/>
        <v>-706701.26917112246</v>
      </c>
      <c r="N54" s="10">
        <f t="shared" si="6"/>
        <v>499426683848.07526</v>
      </c>
      <c r="O54"/>
    </row>
    <row r="55" spans="1:15" x14ac:dyDescent="0.2">
      <c r="A55" s="49">
        <v>43251</v>
      </c>
      <c r="B55" s="50">
        <v>16896990.010000002</v>
      </c>
      <c r="C55" s="50">
        <v>214</v>
      </c>
      <c r="D55" s="50">
        <v>5.5999999046325684</v>
      </c>
      <c r="E55" s="50">
        <v>31</v>
      </c>
      <c r="F55" s="79">
        <v>1</v>
      </c>
      <c r="G55" s="50">
        <v>11697</v>
      </c>
      <c r="H55" s="50">
        <f t="shared" ref="H55:H86" si="10">$Q$18+$Q$19*C55+$Q$20*D55+$Q$21*E55+$Q$22*F55+$Q$23*G55</f>
        <v>16631385.674172498</v>
      </c>
      <c r="I55" s="33">
        <f t="shared" ref="I55:I86" si="11">H55-B55</f>
        <v>-265604.33582750335</v>
      </c>
      <c r="J55" s="42">
        <f t="shared" ref="J55:J86" si="12">I55/B55</f>
        <v>-1.5719032541909123E-2</v>
      </c>
      <c r="K55" s="12">
        <f t="shared" si="3"/>
        <v>1.5719032541909123E-2</v>
      </c>
      <c r="L55" s="10">
        <f t="shared" si="4"/>
        <v>70545663210.369186</v>
      </c>
      <c r="M55" s="10">
        <f t="shared" si="5"/>
        <v>-259457.79782349616</v>
      </c>
      <c r="N55" s="10">
        <f t="shared" si="6"/>
        <v>67318348851.418213</v>
      </c>
      <c r="O55"/>
    </row>
    <row r="56" spans="1:15" x14ac:dyDescent="0.2">
      <c r="A56" s="49">
        <v>43281</v>
      </c>
      <c r="B56" s="50">
        <v>16335114.92</v>
      </c>
      <c r="C56" s="50">
        <v>104.5</v>
      </c>
      <c r="D56" s="50">
        <v>17.100000381469727</v>
      </c>
      <c r="E56" s="50">
        <v>30</v>
      </c>
      <c r="F56" s="79">
        <v>0</v>
      </c>
      <c r="G56" s="50">
        <v>11711</v>
      </c>
      <c r="H56" s="50">
        <f t="shared" si="10"/>
        <v>15981118.660995111</v>
      </c>
      <c r="I56" s="33">
        <f t="shared" si="11"/>
        <v>-353996.25900488906</v>
      </c>
      <c r="J56" s="42">
        <f t="shared" si="12"/>
        <v>-2.1670876558785118E-2</v>
      </c>
      <c r="K56" s="12">
        <f t="shared" ref="K56:K119" si="13">ABS(J56)</f>
        <v>2.1670876558785118E-2</v>
      </c>
      <c r="L56" s="10">
        <f t="shared" ref="L56:L119" si="14">I56*I56</f>
        <v>125313351389.4565</v>
      </c>
      <c r="M56" s="10">
        <f t="shared" si="5"/>
        <v>-88391.923177385703</v>
      </c>
      <c r="N56" s="10">
        <f t="shared" si="6"/>
        <v>7813132082.9968557</v>
      </c>
      <c r="O56"/>
    </row>
    <row r="57" spans="1:15" x14ac:dyDescent="0.2">
      <c r="A57" s="49">
        <v>43312</v>
      </c>
      <c r="B57" s="50">
        <v>17644004.329999998</v>
      </c>
      <c r="C57" s="50">
        <v>19.600000381469727</v>
      </c>
      <c r="D57" s="50">
        <v>59.599998474121094</v>
      </c>
      <c r="E57" s="50">
        <v>31</v>
      </c>
      <c r="F57" s="79">
        <v>0</v>
      </c>
      <c r="G57" s="50">
        <v>11710</v>
      </c>
      <c r="H57" s="50">
        <f t="shared" si="10"/>
        <v>16835446.259081103</v>
      </c>
      <c r="I57" s="33">
        <f t="shared" si="11"/>
        <v>-808558.0709188953</v>
      </c>
      <c r="J57" s="42">
        <f t="shared" si="12"/>
        <v>-4.5826222653103113E-2</v>
      </c>
      <c r="K57" s="12">
        <f t="shared" si="13"/>
        <v>4.5826222653103113E-2</v>
      </c>
      <c r="L57" s="10">
        <f t="shared" si="14"/>
        <v>653766154048.08533</v>
      </c>
      <c r="M57" s="10">
        <f t="shared" ref="M57:M120" si="15">I57-I56</f>
        <v>-454561.81191400625</v>
      </c>
      <c r="N57" s="10">
        <f t="shared" ref="N57:N120" si="16">M57*M57</f>
        <v>206626440850.5444</v>
      </c>
      <c r="O57"/>
    </row>
    <row r="58" spans="1:15" x14ac:dyDescent="0.2">
      <c r="A58" s="49">
        <v>43343</v>
      </c>
      <c r="B58" s="50">
        <v>18345159.469999999</v>
      </c>
      <c r="C58" s="50">
        <v>24.600000381469727</v>
      </c>
      <c r="D58" s="50">
        <v>45.5</v>
      </c>
      <c r="E58" s="50">
        <v>31</v>
      </c>
      <c r="F58" s="79">
        <v>0</v>
      </c>
      <c r="G58" s="50">
        <v>11708</v>
      </c>
      <c r="H58" s="50">
        <f t="shared" si="10"/>
        <v>16527049.147247575</v>
      </c>
      <c r="I58" s="33">
        <f t="shared" si="11"/>
        <v>-1818110.3227524236</v>
      </c>
      <c r="J58" s="42">
        <f t="shared" si="12"/>
        <v>-9.9105724631371864E-2</v>
      </c>
      <c r="K58" s="12">
        <f t="shared" si="13"/>
        <v>9.9105724631371864E-2</v>
      </c>
      <c r="L58" s="10">
        <f t="shared" si="14"/>
        <v>3305525145698.9219</v>
      </c>
      <c r="M58" s="10">
        <f t="shared" si="15"/>
        <v>-1009552.2518335283</v>
      </c>
      <c r="N58" s="10">
        <f t="shared" si="16"/>
        <v>1019195749182.1477</v>
      </c>
      <c r="O58"/>
    </row>
    <row r="59" spans="1:15" x14ac:dyDescent="0.2">
      <c r="A59" s="49">
        <v>43373</v>
      </c>
      <c r="B59" s="50">
        <v>17579532.199999999</v>
      </c>
      <c r="C59" s="50">
        <v>135</v>
      </c>
      <c r="D59" s="50">
        <v>22.5</v>
      </c>
      <c r="E59" s="50">
        <v>30</v>
      </c>
      <c r="F59" s="79">
        <v>1</v>
      </c>
      <c r="G59" s="50">
        <v>11719</v>
      </c>
      <c r="H59" s="50">
        <f t="shared" si="10"/>
        <v>15650894.058446303</v>
      </c>
      <c r="I59" s="33">
        <f t="shared" si="11"/>
        <v>-1928638.1415536962</v>
      </c>
      <c r="J59" s="42">
        <f t="shared" si="12"/>
        <v>-0.10970929826868182</v>
      </c>
      <c r="K59" s="12">
        <f t="shared" si="13"/>
        <v>0.10970929826868182</v>
      </c>
      <c r="L59" s="10">
        <f t="shared" si="14"/>
        <v>3719645081055.6953</v>
      </c>
      <c r="M59" s="10">
        <f t="shared" si="15"/>
        <v>-110527.81880127266</v>
      </c>
      <c r="N59" s="10">
        <f t="shared" si="16"/>
        <v>12216398728.966963</v>
      </c>
      <c r="O59"/>
    </row>
    <row r="60" spans="1:15" x14ac:dyDescent="0.2">
      <c r="A60" s="49">
        <v>43404</v>
      </c>
      <c r="B60" s="50">
        <v>20524533.829999998</v>
      </c>
      <c r="C60" s="50">
        <v>376.39999389648438</v>
      </c>
      <c r="D60" s="50">
        <v>0</v>
      </c>
      <c r="E60" s="50">
        <v>31</v>
      </c>
      <c r="F60" s="79">
        <v>1</v>
      </c>
      <c r="G60" s="50">
        <v>11716</v>
      </c>
      <c r="H60" s="50">
        <f t="shared" si="10"/>
        <v>18342440.393370546</v>
      </c>
      <c r="I60" s="33">
        <f t="shared" si="11"/>
        <v>-2182093.4366294518</v>
      </c>
      <c r="J60" s="42">
        <f t="shared" si="12"/>
        <v>-0.10631634582803345</v>
      </c>
      <c r="K60" s="12">
        <f t="shared" si="13"/>
        <v>0.10631634582803345</v>
      </c>
      <c r="L60" s="10">
        <f t="shared" si="14"/>
        <v>4761531766181.3311</v>
      </c>
      <c r="M60" s="10">
        <f t="shared" si="15"/>
        <v>-253455.29507575557</v>
      </c>
      <c r="N60" s="10">
        <f t="shared" si="16"/>
        <v>64239586601.938324</v>
      </c>
      <c r="O60"/>
    </row>
    <row r="61" spans="1:15" x14ac:dyDescent="0.2">
      <c r="A61" s="49">
        <v>43434</v>
      </c>
      <c r="B61" s="50">
        <v>22392942.079999998</v>
      </c>
      <c r="C61" s="50">
        <v>604.0999755859375</v>
      </c>
      <c r="D61" s="50">
        <v>0</v>
      </c>
      <c r="E61" s="50">
        <v>30</v>
      </c>
      <c r="F61" s="79">
        <v>0</v>
      </c>
      <c r="G61" s="50">
        <v>11726</v>
      </c>
      <c r="H61" s="50">
        <f t="shared" si="10"/>
        <v>20949884.575699836</v>
      </c>
      <c r="I61" s="33">
        <f t="shared" si="11"/>
        <v>-1443057.5043001622</v>
      </c>
      <c r="J61" s="42">
        <f t="shared" si="12"/>
        <v>-6.444251492924695E-2</v>
      </c>
      <c r="K61" s="12">
        <f t="shared" si="13"/>
        <v>6.444251492924695E-2</v>
      </c>
      <c r="L61" s="10">
        <f t="shared" si="14"/>
        <v>2082414960717.0127</v>
      </c>
      <c r="M61" s="10">
        <f t="shared" si="15"/>
        <v>739035.93232928962</v>
      </c>
      <c r="N61" s="10">
        <f t="shared" si="16"/>
        <v>546174109273.82233</v>
      </c>
      <c r="O61"/>
    </row>
    <row r="62" spans="1:15" x14ac:dyDescent="0.2">
      <c r="A62" s="49">
        <v>43465</v>
      </c>
      <c r="B62" s="50">
        <v>24072379.5</v>
      </c>
      <c r="C62" s="50">
        <v>686.5999755859375</v>
      </c>
      <c r="D62" s="50">
        <v>0</v>
      </c>
      <c r="E62" s="50">
        <v>31</v>
      </c>
      <c r="F62" s="79">
        <v>0</v>
      </c>
      <c r="G62" s="50">
        <v>11723</v>
      </c>
      <c r="H62" s="50">
        <f t="shared" si="10"/>
        <v>22514421.373098128</v>
      </c>
      <c r="I62" s="33">
        <f t="shared" si="11"/>
        <v>-1557958.1269018725</v>
      </c>
      <c r="J62" s="42">
        <f t="shared" si="12"/>
        <v>-6.4719739355300232E-2</v>
      </c>
      <c r="K62" s="12">
        <f t="shared" si="13"/>
        <v>6.4719739355300232E-2</v>
      </c>
      <c r="L62" s="10">
        <f t="shared" si="14"/>
        <v>2427233525179.5908</v>
      </c>
      <c r="M62" s="10">
        <f t="shared" si="15"/>
        <v>-114900.62260171026</v>
      </c>
      <c r="N62" s="10">
        <f t="shared" si="16"/>
        <v>13202153074.260651</v>
      </c>
      <c r="O62"/>
    </row>
    <row r="63" spans="1:15" x14ac:dyDescent="0.2">
      <c r="A63" s="49">
        <v>43496</v>
      </c>
      <c r="B63" s="307">
        <v>27236231</v>
      </c>
      <c r="C63" s="50">
        <v>1069.6000000000001</v>
      </c>
      <c r="D63" s="50">
        <v>0</v>
      </c>
      <c r="E63" s="50">
        <v>31</v>
      </c>
      <c r="F63" s="79">
        <v>0</v>
      </c>
      <c r="G63" s="50">
        <f>'Rate Class Customer Model'!N3</f>
        <v>11723.666672897911</v>
      </c>
      <c r="H63" s="50">
        <f t="shared" si="10"/>
        <v>26572363.309964649</v>
      </c>
      <c r="I63" s="33">
        <f t="shared" si="11"/>
        <v>-663867.69003535062</v>
      </c>
      <c r="J63" s="42">
        <f t="shared" si="12"/>
        <v>-2.4374433086404305E-2</v>
      </c>
      <c r="K63" s="12">
        <f t="shared" si="13"/>
        <v>2.4374433086404305E-2</v>
      </c>
      <c r="L63" s="10">
        <f t="shared" si="14"/>
        <v>440720309872.87238</v>
      </c>
      <c r="M63" s="10">
        <f t="shared" si="15"/>
        <v>894090.43686652184</v>
      </c>
      <c r="N63" s="10">
        <f t="shared" si="16"/>
        <v>799397709296.16785</v>
      </c>
      <c r="O63"/>
    </row>
    <row r="64" spans="1:15" x14ac:dyDescent="0.2">
      <c r="A64" s="49">
        <v>43524</v>
      </c>
      <c r="B64" s="307">
        <v>23330992</v>
      </c>
      <c r="C64" s="50">
        <v>889.29999999999984</v>
      </c>
      <c r="D64" s="50">
        <v>0</v>
      </c>
      <c r="E64" s="50">
        <v>28</v>
      </c>
      <c r="F64" s="79">
        <v>0</v>
      </c>
      <c r="G64" s="50">
        <f>'Rate Class Customer Model'!N4</f>
        <v>11724.333383708708</v>
      </c>
      <c r="H64" s="50">
        <f t="shared" si="10"/>
        <v>22532755.053746432</v>
      </c>
      <c r="I64" s="33">
        <f t="shared" si="11"/>
        <v>-798236.94625356793</v>
      </c>
      <c r="J64" s="42">
        <f t="shared" si="12"/>
        <v>-3.4213587928604489E-2</v>
      </c>
      <c r="K64" s="12">
        <f t="shared" si="13"/>
        <v>3.4213587928604489E-2</v>
      </c>
      <c r="L64" s="10">
        <f t="shared" si="14"/>
        <v>637182222364.22156</v>
      </c>
      <c r="M64" s="10">
        <f t="shared" si="15"/>
        <v>-134369.25621821731</v>
      </c>
      <c r="N64" s="10">
        <f t="shared" si="16"/>
        <v>18055097016.636932</v>
      </c>
      <c r="O64"/>
    </row>
    <row r="65" spans="1:15" x14ac:dyDescent="0.2">
      <c r="A65" s="49">
        <v>43555</v>
      </c>
      <c r="B65" s="307">
        <v>23887898</v>
      </c>
      <c r="C65" s="50">
        <v>804.70000000000016</v>
      </c>
      <c r="D65" s="50">
        <v>0</v>
      </c>
      <c r="E65" s="50">
        <v>31</v>
      </c>
      <c r="F65" s="79">
        <v>1</v>
      </c>
      <c r="G65" s="50">
        <f>'Rate Class Customer Model'!N5</f>
        <v>11725.000132434547</v>
      </c>
      <c r="H65" s="50">
        <f t="shared" si="10"/>
        <v>22936991.429983102</v>
      </c>
      <c r="I65" s="33">
        <f t="shared" si="11"/>
        <v>-950906.57001689821</v>
      </c>
      <c r="J65" s="42">
        <f t="shared" si="12"/>
        <v>-3.9807042462124471E-2</v>
      </c>
      <c r="K65" s="12">
        <f t="shared" si="13"/>
        <v>3.9807042462124471E-2</v>
      </c>
      <c r="L65" s="10">
        <f t="shared" si="14"/>
        <v>904223304901.30212</v>
      </c>
      <c r="M65" s="10">
        <f t="shared" si="15"/>
        <v>-152669.62376333028</v>
      </c>
      <c r="N65" s="10">
        <f t="shared" si="16"/>
        <v>23308014020.036823</v>
      </c>
    </row>
    <row r="66" spans="1:15" x14ac:dyDescent="0.2">
      <c r="A66" s="49">
        <v>43585</v>
      </c>
      <c r="B66" s="307">
        <v>20911395</v>
      </c>
      <c r="C66" s="50">
        <v>501.4</v>
      </c>
      <c r="D66" s="50">
        <v>0</v>
      </c>
      <c r="E66" s="50">
        <v>30</v>
      </c>
      <c r="F66" s="79">
        <v>1</v>
      </c>
      <c r="G66" s="50">
        <f>'Rate Class Customer Model'!N6</f>
        <v>11725.666919077583</v>
      </c>
      <c r="H66" s="50">
        <f t="shared" si="10"/>
        <v>19019671.363239259</v>
      </c>
      <c r="I66" s="33">
        <f t="shared" si="11"/>
        <v>-1891723.6367607415</v>
      </c>
      <c r="J66" s="42">
        <f t="shared" si="12"/>
        <v>-9.0463770435245547E-2</v>
      </c>
      <c r="K66" s="12">
        <f t="shared" si="13"/>
        <v>9.0463770435245547E-2</v>
      </c>
      <c r="L66" s="10">
        <f t="shared" si="14"/>
        <v>3578618317879.2856</v>
      </c>
      <c r="M66" s="10">
        <f t="shared" si="15"/>
        <v>-940817.06674384326</v>
      </c>
      <c r="N66" s="10">
        <f t="shared" si="16"/>
        <v>885136753076.48926</v>
      </c>
    </row>
    <row r="67" spans="1:15" x14ac:dyDescent="0.2">
      <c r="A67" s="49">
        <v>43616</v>
      </c>
      <c r="B67" s="307">
        <v>20082531</v>
      </c>
      <c r="C67" s="50">
        <v>377.40000000000003</v>
      </c>
      <c r="D67" s="50">
        <v>0</v>
      </c>
      <c r="E67" s="50">
        <v>31</v>
      </c>
      <c r="F67" s="79">
        <v>1</v>
      </c>
      <c r="G67" s="50">
        <f>'Rate Class Customer Model'!N7</f>
        <v>11726.333743639972</v>
      </c>
      <c r="H67" s="50">
        <f t="shared" si="10"/>
        <v>18423941.285667844</v>
      </c>
      <c r="I67" s="33">
        <f t="shared" si="11"/>
        <v>-1658589.7143321559</v>
      </c>
      <c r="J67" s="42">
        <f t="shared" si="12"/>
        <v>-8.2588679401623025E-2</v>
      </c>
      <c r="K67" s="12">
        <f t="shared" si="13"/>
        <v>8.2588679401623025E-2</v>
      </c>
      <c r="L67" s="10">
        <f t="shared" si="14"/>
        <v>2750919840488.4224</v>
      </c>
      <c r="M67" s="10">
        <f t="shared" si="15"/>
        <v>233133.92242858559</v>
      </c>
      <c r="N67" s="10">
        <f t="shared" si="16"/>
        <v>54351425786.937759</v>
      </c>
    </row>
    <row r="68" spans="1:15" x14ac:dyDescent="0.2">
      <c r="A68" s="49">
        <v>43646</v>
      </c>
      <c r="B68" s="307">
        <v>17847356</v>
      </c>
      <c r="C68" s="50">
        <v>172.10000000000002</v>
      </c>
      <c r="D68" s="50">
        <v>0</v>
      </c>
      <c r="E68" s="50">
        <v>30</v>
      </c>
      <c r="F68" s="79">
        <v>0</v>
      </c>
      <c r="G68" s="50">
        <f>'Rate Class Customer Model'!N8</f>
        <v>11727.000606123871</v>
      </c>
      <c r="H68" s="50">
        <f t="shared" si="10"/>
        <v>16384808.317081183</v>
      </c>
      <c r="I68" s="33">
        <f t="shared" si="11"/>
        <v>-1462547.6829188168</v>
      </c>
      <c r="J68" s="42">
        <f t="shared" si="12"/>
        <v>-8.1947582763453417E-2</v>
      </c>
      <c r="K68" s="12">
        <f t="shared" si="13"/>
        <v>8.1947582763453417E-2</v>
      </c>
      <c r="L68" s="10">
        <f t="shared" si="14"/>
        <v>2139045724811.2</v>
      </c>
      <c r="M68" s="10">
        <f t="shared" si="15"/>
        <v>196042.03141333908</v>
      </c>
      <c r="N68" s="10">
        <f t="shared" si="16"/>
        <v>38432478080.668625</v>
      </c>
    </row>
    <row r="69" spans="1:15" x14ac:dyDescent="0.2">
      <c r="A69" s="49">
        <v>43677</v>
      </c>
      <c r="B69" s="307">
        <v>18330977</v>
      </c>
      <c r="C69" s="50">
        <v>81.800000000000011</v>
      </c>
      <c r="D69" s="50">
        <v>4</v>
      </c>
      <c r="E69" s="50">
        <v>31</v>
      </c>
      <c r="F69" s="79">
        <v>0</v>
      </c>
      <c r="G69" s="50">
        <f>'Rate Class Customer Model'!N9</f>
        <v>11727.667506531438</v>
      </c>
      <c r="H69" s="50">
        <f t="shared" si="10"/>
        <v>16244339.121727712</v>
      </c>
      <c r="I69" s="33">
        <f t="shared" si="11"/>
        <v>-2086637.8782722875</v>
      </c>
      <c r="J69" s="42">
        <f t="shared" si="12"/>
        <v>-0.11383124196120521</v>
      </c>
      <c r="K69" s="12">
        <f t="shared" si="13"/>
        <v>0.11383124196120521</v>
      </c>
      <c r="L69" s="10">
        <f t="shared" si="14"/>
        <v>4354057635040.6738</v>
      </c>
      <c r="M69" s="10">
        <f t="shared" si="15"/>
        <v>-624090.19535347074</v>
      </c>
      <c r="N69" s="10">
        <f t="shared" si="16"/>
        <v>389488571936.33325</v>
      </c>
    </row>
    <row r="70" spans="1:15" x14ac:dyDescent="0.2">
      <c r="A70" s="49">
        <v>43708</v>
      </c>
      <c r="B70" s="307">
        <v>18072676</v>
      </c>
      <c r="C70" s="50">
        <v>101.39999999999998</v>
      </c>
      <c r="D70" s="50">
        <v>0.1</v>
      </c>
      <c r="E70" s="50">
        <v>31</v>
      </c>
      <c r="F70" s="79">
        <v>0</v>
      </c>
      <c r="G70" s="50">
        <f>'Rate Class Customer Model'!N10</f>
        <v>11728.334444864828</v>
      </c>
      <c r="H70" s="50">
        <f t="shared" si="10"/>
        <v>16360205.61788436</v>
      </c>
      <c r="I70" s="33">
        <f t="shared" si="11"/>
        <v>-1712470.3821156397</v>
      </c>
      <c r="J70" s="42">
        <f t="shared" si="12"/>
        <v>-9.4754666221850026E-2</v>
      </c>
      <c r="K70" s="12">
        <f t="shared" si="13"/>
        <v>9.4754666221850026E-2</v>
      </c>
      <c r="L70" s="10">
        <f t="shared" si="14"/>
        <v>2932554809623.2852</v>
      </c>
      <c r="M70" s="10">
        <f t="shared" si="15"/>
        <v>374167.4961566478</v>
      </c>
      <c r="N70" s="10">
        <f t="shared" si="16"/>
        <v>140001315180.13504</v>
      </c>
    </row>
    <row r="71" spans="1:15" x14ac:dyDescent="0.2">
      <c r="A71" s="49">
        <v>43738</v>
      </c>
      <c r="B71" s="307">
        <v>17504594</v>
      </c>
      <c r="C71" s="50">
        <v>165.10000000000002</v>
      </c>
      <c r="D71" s="50">
        <v>3.6</v>
      </c>
      <c r="E71" s="50">
        <v>30</v>
      </c>
      <c r="F71" s="79">
        <v>1</v>
      </c>
      <c r="G71" s="50">
        <f>'Rate Class Customer Model'!N11</f>
        <v>11729.001421126197</v>
      </c>
      <c r="H71" s="50">
        <f t="shared" si="10"/>
        <v>15572169.989552379</v>
      </c>
      <c r="I71" s="33">
        <f t="shared" si="11"/>
        <v>-1932424.0104476213</v>
      </c>
      <c r="J71" s="42">
        <f t="shared" si="12"/>
        <v>-0.11039524883854041</v>
      </c>
      <c r="K71" s="12">
        <f t="shared" si="13"/>
        <v>0.11039524883854041</v>
      </c>
      <c r="L71" s="10">
        <f t="shared" si="14"/>
        <v>3734262556154.4688</v>
      </c>
      <c r="M71" s="10">
        <f t="shared" si="15"/>
        <v>-219953.6283319816</v>
      </c>
      <c r="N71" s="10">
        <f t="shared" si="16"/>
        <v>48379598616.403496</v>
      </c>
    </row>
    <row r="72" spans="1:15" x14ac:dyDescent="0.2">
      <c r="A72" s="49">
        <v>43769</v>
      </c>
      <c r="B72" s="307">
        <v>20050972</v>
      </c>
      <c r="C72" s="50">
        <v>378.6</v>
      </c>
      <c r="D72" s="50">
        <v>0</v>
      </c>
      <c r="E72" s="50">
        <v>31</v>
      </c>
      <c r="F72" s="79">
        <v>1</v>
      </c>
      <c r="G72" s="50">
        <f>'Rate Class Customer Model'!N12</f>
        <v>11729.668435317704</v>
      </c>
      <c r="H72" s="50">
        <f t="shared" si="10"/>
        <v>18459526.195409514</v>
      </c>
      <c r="I72" s="33">
        <f t="shared" si="11"/>
        <v>-1591445.804590486</v>
      </c>
      <c r="J72" s="42">
        <f t="shared" si="12"/>
        <v>-7.9370007827574945E-2</v>
      </c>
      <c r="K72" s="12">
        <f t="shared" si="13"/>
        <v>7.9370007827574945E-2</v>
      </c>
      <c r="L72" s="10">
        <f t="shared" si="14"/>
        <v>2532699748948.6592</v>
      </c>
      <c r="M72" s="10">
        <f t="shared" si="15"/>
        <v>340978.20585713536</v>
      </c>
      <c r="N72" s="10">
        <f t="shared" si="16"/>
        <v>116266136869.55098</v>
      </c>
    </row>
    <row r="73" spans="1:15" x14ac:dyDescent="0.2">
      <c r="A73" s="49">
        <v>43799</v>
      </c>
      <c r="B73" s="307">
        <v>22892474</v>
      </c>
      <c r="C73" s="50">
        <v>701.19999999999982</v>
      </c>
      <c r="D73" s="50">
        <v>0</v>
      </c>
      <c r="E73" s="50">
        <v>30</v>
      </c>
      <c r="F73" s="79">
        <v>0</v>
      </c>
      <c r="G73" s="50">
        <f>'Rate Class Customer Model'!N13</f>
        <v>11730.335487441505</v>
      </c>
      <c r="H73" s="50">
        <f t="shared" si="10"/>
        <v>22007267.030460909</v>
      </c>
      <c r="I73" s="33">
        <f t="shared" si="11"/>
        <v>-885206.96953909099</v>
      </c>
      <c r="J73" s="42">
        <f t="shared" si="12"/>
        <v>-3.8668034286687011E-2</v>
      </c>
      <c r="K73" s="12">
        <f t="shared" si="13"/>
        <v>3.8668034286687011E-2</v>
      </c>
      <c r="L73" s="10">
        <f t="shared" si="14"/>
        <v>783591378920.58118</v>
      </c>
      <c r="M73" s="10">
        <f t="shared" si="15"/>
        <v>706238.835051395</v>
      </c>
      <c r="N73" s="10">
        <f t="shared" si="16"/>
        <v>498773292134.75153</v>
      </c>
    </row>
    <row r="74" spans="1:15" x14ac:dyDescent="0.2">
      <c r="A74" s="49">
        <v>43830</v>
      </c>
      <c r="B74" s="307">
        <v>25775115</v>
      </c>
      <c r="C74" s="50">
        <v>839.2</v>
      </c>
      <c r="D74" s="50">
        <v>0</v>
      </c>
      <c r="E74" s="50">
        <v>31</v>
      </c>
      <c r="F74" s="79">
        <v>0</v>
      </c>
      <c r="G74" s="50">
        <f>'Rate Class Customer Model'!N14</f>
        <v>11731.002577499758</v>
      </c>
      <c r="H74" s="50">
        <f t="shared" si="10"/>
        <v>24184337.781495489</v>
      </c>
      <c r="I74" s="33">
        <f t="shared" si="11"/>
        <v>-1590777.2185045108</v>
      </c>
      <c r="J74" s="42">
        <f t="shared" si="12"/>
        <v>-6.1717560464987678E-2</v>
      </c>
      <c r="K74" s="12">
        <f t="shared" si="13"/>
        <v>6.1717560464987678E-2</v>
      </c>
      <c r="L74" s="10">
        <f t="shared" si="14"/>
        <v>2530572158912.9482</v>
      </c>
      <c r="M74" s="10">
        <f t="shared" si="15"/>
        <v>-705570.24896541983</v>
      </c>
      <c r="N74" s="10">
        <f t="shared" si="16"/>
        <v>497829376225.12451</v>
      </c>
    </row>
    <row r="75" spans="1:15" x14ac:dyDescent="0.2">
      <c r="A75" s="49">
        <v>43861</v>
      </c>
      <c r="B75" s="307">
        <v>25237277</v>
      </c>
      <c r="C75" s="50">
        <v>839.8000000000003</v>
      </c>
      <c r="D75" s="50">
        <v>0</v>
      </c>
      <c r="E75" s="50">
        <v>31</v>
      </c>
      <c r="F75" s="79">
        <v>0</v>
      </c>
      <c r="G75" s="50">
        <f>'Rate Class Customer Model'!O3</f>
        <v>11732.005266549859</v>
      </c>
      <c r="H75" s="50">
        <f t="shared" si="10"/>
        <v>24197568.880598374</v>
      </c>
      <c r="I75" s="33">
        <f t="shared" si="11"/>
        <v>-1039708.1194016263</v>
      </c>
      <c r="J75" s="42">
        <f t="shared" si="12"/>
        <v>-4.1197317737631772E-2</v>
      </c>
      <c r="K75" s="12">
        <f t="shared" si="13"/>
        <v>4.1197317737631772E-2</v>
      </c>
      <c r="L75" s="10">
        <f t="shared" si="14"/>
        <v>1080992973549.6664</v>
      </c>
      <c r="M75" s="10">
        <f t="shared" si="15"/>
        <v>551069.09910288453</v>
      </c>
      <c r="N75" s="10">
        <f t="shared" si="16"/>
        <v>303677151986.06476</v>
      </c>
      <c r="O75" s="43"/>
    </row>
    <row r="76" spans="1:15" x14ac:dyDescent="0.2">
      <c r="A76" s="49">
        <v>43890</v>
      </c>
      <c r="B76" s="307">
        <v>24410849</v>
      </c>
      <c r="C76" s="50">
        <v>827.59999999999991</v>
      </c>
      <c r="D76" s="50">
        <v>0</v>
      </c>
      <c r="E76" s="50">
        <v>29</v>
      </c>
      <c r="F76" s="79">
        <v>0</v>
      </c>
      <c r="G76" s="50">
        <f>'Rate Class Customer Model'!O4</f>
        <v>11763.553216502387</v>
      </c>
      <c r="H76" s="50">
        <f t="shared" si="10"/>
        <v>22860937.116243742</v>
      </c>
      <c r="I76" s="33">
        <f t="shared" si="11"/>
        <v>-1549911.8837562576</v>
      </c>
      <c r="J76" s="42">
        <f t="shared" si="12"/>
        <v>-6.3492747989070661E-2</v>
      </c>
      <c r="K76" s="12">
        <f t="shared" si="13"/>
        <v>6.3492747989070661E-2</v>
      </c>
      <c r="L76" s="10">
        <f t="shared" si="14"/>
        <v>2402226847408.8711</v>
      </c>
      <c r="M76" s="10">
        <f t="shared" si="15"/>
        <v>-510203.7643546313</v>
      </c>
      <c r="N76" s="10">
        <f t="shared" si="16"/>
        <v>260307881161.63614</v>
      </c>
    </row>
    <row r="77" spans="1:15" x14ac:dyDescent="0.2">
      <c r="A77" s="49">
        <v>43921</v>
      </c>
      <c r="B77" s="307">
        <v>22196265</v>
      </c>
      <c r="C77" s="50">
        <v>691.29999999999984</v>
      </c>
      <c r="D77" s="50">
        <v>0</v>
      </c>
      <c r="E77" s="50">
        <v>31</v>
      </c>
      <c r="F77" s="79">
        <v>1</v>
      </c>
      <c r="G77" s="50">
        <f>'Rate Class Customer Model'!O5</f>
        <v>11795.186000472935</v>
      </c>
      <c r="H77" s="50">
        <f t="shared" si="10"/>
        <v>22218522.493845351</v>
      </c>
      <c r="I77" s="33">
        <f t="shared" si="11"/>
        <v>22257.49384535104</v>
      </c>
      <c r="J77" s="42">
        <f t="shared" si="12"/>
        <v>1.0027585201992787E-3</v>
      </c>
      <c r="K77" s="12">
        <f t="shared" si="13"/>
        <v>1.0027585201992787E-3</v>
      </c>
      <c r="L77" s="10">
        <f t="shared" si="14"/>
        <v>495396032.27583945</v>
      </c>
      <c r="M77" s="10">
        <f t="shared" si="15"/>
        <v>1572169.3776016086</v>
      </c>
      <c r="N77" s="10">
        <f t="shared" si="16"/>
        <v>2471716551868.2295</v>
      </c>
    </row>
    <row r="78" spans="1:15" x14ac:dyDescent="0.2">
      <c r="A78" s="49">
        <v>43951</v>
      </c>
      <c r="B78" s="307">
        <v>17675708</v>
      </c>
      <c r="C78" s="50">
        <v>557.99999999999977</v>
      </c>
      <c r="D78" s="50">
        <v>0</v>
      </c>
      <c r="E78" s="50">
        <v>30</v>
      </c>
      <c r="F78" s="79">
        <v>1</v>
      </c>
      <c r="G78" s="50">
        <f>'Rate Class Customer Model'!O6</f>
        <v>11826.90384658443</v>
      </c>
      <c r="H78" s="50">
        <f t="shared" si="10"/>
        <v>20313441.656398207</v>
      </c>
      <c r="I78" s="33">
        <f t="shared" si="11"/>
        <v>2637733.6563982069</v>
      </c>
      <c r="J78" s="42">
        <f t="shared" si="12"/>
        <v>0.14922930704660922</v>
      </c>
      <c r="K78" s="12">
        <f t="shared" si="13"/>
        <v>0.14922930704660922</v>
      </c>
      <c r="L78" s="10">
        <f t="shared" si="14"/>
        <v>6957638842095.8545</v>
      </c>
      <c r="M78" s="10">
        <f t="shared" si="15"/>
        <v>2615476.1625528559</v>
      </c>
      <c r="N78" s="10">
        <f t="shared" si="16"/>
        <v>6840715556882.2129</v>
      </c>
    </row>
    <row r="79" spans="1:15" x14ac:dyDescent="0.2">
      <c r="A79" s="49">
        <v>43982</v>
      </c>
      <c r="B79" s="307">
        <v>20080301</v>
      </c>
      <c r="C79" s="50">
        <v>332.00000000000011</v>
      </c>
      <c r="D79" s="50">
        <v>3.8000000000000003</v>
      </c>
      <c r="E79" s="50">
        <v>31</v>
      </c>
      <c r="F79" s="79">
        <v>1</v>
      </c>
      <c r="G79" s="50">
        <f>'Rate Class Customer Model'!O7</f>
        <v>11858.706983573229</v>
      </c>
      <c r="H79" s="50">
        <f t="shared" si="10"/>
        <v>18945580.967375539</v>
      </c>
      <c r="I79" s="33">
        <f t="shared" si="11"/>
        <v>-1134720.0326244608</v>
      </c>
      <c r="J79" s="42">
        <f t="shared" si="12"/>
        <v>-5.6509114710205824E-2</v>
      </c>
      <c r="K79" s="12">
        <f t="shared" si="13"/>
        <v>5.6509114710205824E-2</v>
      </c>
      <c r="L79" s="10">
        <f t="shared" si="14"/>
        <v>1287589552439.2573</v>
      </c>
      <c r="M79" s="10">
        <f t="shared" si="15"/>
        <v>-3772453.6890226677</v>
      </c>
      <c r="N79" s="10">
        <f t="shared" si="16"/>
        <v>14231406835820.734</v>
      </c>
    </row>
    <row r="80" spans="1:15" x14ac:dyDescent="0.2">
      <c r="A80" s="49">
        <v>44012</v>
      </c>
      <c r="B80" s="307">
        <v>18177041</v>
      </c>
      <c r="C80" s="50">
        <v>148.19999999999999</v>
      </c>
      <c r="D80" s="50">
        <v>6.7</v>
      </c>
      <c r="E80" s="50">
        <v>30</v>
      </c>
      <c r="F80" s="79">
        <v>0</v>
      </c>
      <c r="G80" s="50">
        <f>'Rate Class Customer Model'!O8</f>
        <v>11890.595640790776</v>
      </c>
      <c r="H80" s="50">
        <f t="shared" si="10"/>
        <v>17419743.06487304</v>
      </c>
      <c r="I80" s="33">
        <f t="shared" si="11"/>
        <v>-757297.93512696028</v>
      </c>
      <c r="J80" s="42">
        <f t="shared" si="12"/>
        <v>-4.1662333001667336E-2</v>
      </c>
      <c r="K80" s="12">
        <f t="shared" si="13"/>
        <v>4.1662333001667336E-2</v>
      </c>
      <c r="L80" s="10">
        <f t="shared" si="14"/>
        <v>573500162547.55774</v>
      </c>
      <c r="M80" s="10">
        <f t="shared" si="15"/>
        <v>377422.09749750048</v>
      </c>
      <c r="N80" s="10">
        <f t="shared" si="16"/>
        <v>142447439679.41275</v>
      </c>
    </row>
    <row r="81" spans="1:15" x14ac:dyDescent="0.2">
      <c r="A81" s="49">
        <v>44043</v>
      </c>
      <c r="B81" s="307">
        <v>18679871</v>
      </c>
      <c r="C81" s="50">
        <v>33.200000000000003</v>
      </c>
      <c r="D81" s="50">
        <v>21.599999999999998</v>
      </c>
      <c r="E81" s="50">
        <v>31</v>
      </c>
      <c r="F81" s="79">
        <v>0</v>
      </c>
      <c r="G81" s="50">
        <f>'Rate Class Customer Model'!O9</f>
        <v>11922.570048205249</v>
      </c>
      <c r="H81" s="50">
        <f t="shared" si="10"/>
        <v>17501426.095656835</v>
      </c>
      <c r="I81" s="33">
        <f t="shared" si="11"/>
        <v>-1178444.9043431655</v>
      </c>
      <c r="J81" s="42">
        <f t="shared" si="12"/>
        <v>-6.308635131062551E-2</v>
      </c>
      <c r="K81" s="12">
        <f t="shared" si="13"/>
        <v>6.308635131062551E-2</v>
      </c>
      <c r="L81" s="10">
        <f t="shared" si="14"/>
        <v>1388732392572.3723</v>
      </c>
      <c r="M81" s="10">
        <f t="shared" si="15"/>
        <v>-421146.96921620518</v>
      </c>
      <c r="N81" s="10">
        <f t="shared" si="16"/>
        <v>177364769679.99527</v>
      </c>
      <c r="O81"/>
    </row>
    <row r="82" spans="1:15" x14ac:dyDescent="0.2">
      <c r="A82" s="49">
        <v>44074</v>
      </c>
      <c r="B82" s="307">
        <v>18377276</v>
      </c>
      <c r="C82" s="50">
        <v>69.599999999999994</v>
      </c>
      <c r="D82" s="50">
        <v>11.600000000000001</v>
      </c>
      <c r="E82" s="50">
        <v>31</v>
      </c>
      <c r="F82" s="79">
        <v>0</v>
      </c>
      <c r="G82" s="50">
        <f>'Rate Class Customer Model'!O10</f>
        <v>11954.630436403226</v>
      </c>
      <c r="H82" s="50">
        <f t="shared" si="10"/>
        <v>17860160.13041275</v>
      </c>
      <c r="I82" s="33">
        <f t="shared" si="11"/>
        <v>-517115.86958725005</v>
      </c>
      <c r="J82" s="42">
        <f t="shared" si="12"/>
        <v>-2.813887485758227E-2</v>
      </c>
      <c r="K82" s="12">
        <f t="shared" si="13"/>
        <v>2.813887485758227E-2</v>
      </c>
      <c r="L82" s="10">
        <f t="shared" si="14"/>
        <v>267408822578.97781</v>
      </c>
      <c r="M82" s="10">
        <f t="shared" si="15"/>
        <v>661329.0347559154</v>
      </c>
      <c r="N82" s="10">
        <f t="shared" si="16"/>
        <v>437356092211.19073</v>
      </c>
      <c r="O82"/>
    </row>
    <row r="83" spans="1:15" x14ac:dyDescent="0.2">
      <c r="A83" s="49">
        <v>44104</v>
      </c>
      <c r="B83" s="307">
        <v>18090098</v>
      </c>
      <c r="C83" s="50">
        <v>222.5</v>
      </c>
      <c r="D83" s="50">
        <v>0</v>
      </c>
      <c r="E83" s="50">
        <v>30</v>
      </c>
      <c r="F83" s="79">
        <v>1</v>
      </c>
      <c r="G83" s="50">
        <f>'Rate Class Customer Model'!O11</f>
        <v>11986.777036591338</v>
      </c>
      <c r="H83" s="50">
        <f t="shared" si="10"/>
        <v>17859942.778756618</v>
      </c>
      <c r="I83" s="33">
        <f t="shared" si="11"/>
        <v>-230155.2212433815</v>
      </c>
      <c r="J83" s="42">
        <f t="shared" si="12"/>
        <v>-1.2722718320452521E-2</v>
      </c>
      <c r="K83" s="12">
        <f t="shared" si="13"/>
        <v>1.2722718320452521E-2</v>
      </c>
      <c r="L83" s="10">
        <f t="shared" si="14"/>
        <v>52971425865.58989</v>
      </c>
      <c r="M83" s="10">
        <f t="shared" si="15"/>
        <v>286960.64834386855</v>
      </c>
      <c r="N83" s="10">
        <f t="shared" si="16"/>
        <v>82346413697.933395</v>
      </c>
      <c r="O83"/>
    </row>
    <row r="84" spans="1:15" x14ac:dyDescent="0.2">
      <c r="A84" s="49">
        <v>44135</v>
      </c>
      <c r="B84" s="307">
        <v>21983764</v>
      </c>
      <c r="C84" s="50">
        <v>484.19999999999993</v>
      </c>
      <c r="D84" s="50">
        <v>0</v>
      </c>
      <c r="E84" s="50">
        <v>31</v>
      </c>
      <c r="F84" s="79">
        <v>1</v>
      </c>
      <c r="G84" s="50">
        <f>'Rate Class Customer Model'!O12</f>
        <v>12019.010080597949</v>
      </c>
      <c r="H84" s="50">
        <f t="shared" si="10"/>
        <v>21562784.070344858</v>
      </c>
      <c r="I84" s="33">
        <f t="shared" si="11"/>
        <v>-420979.92965514213</v>
      </c>
      <c r="J84" s="42">
        <f t="shared" si="12"/>
        <v>-1.9149583740761689E-2</v>
      </c>
      <c r="K84" s="12">
        <f t="shared" si="13"/>
        <v>1.9149583740761689E-2</v>
      </c>
      <c r="L84" s="10">
        <f t="shared" si="14"/>
        <v>177224101172.44843</v>
      </c>
      <c r="M84" s="10">
        <f t="shared" si="15"/>
        <v>-190824.70841176063</v>
      </c>
      <c r="N84" s="10">
        <f t="shared" si="16"/>
        <v>36414069340.433464</v>
      </c>
      <c r="O84"/>
    </row>
    <row r="85" spans="1:15" x14ac:dyDescent="0.2">
      <c r="A85" s="49">
        <v>44165</v>
      </c>
      <c r="B85" s="307">
        <v>22215383</v>
      </c>
      <c r="C85" s="50">
        <v>516.6</v>
      </c>
      <c r="D85" s="50">
        <v>0</v>
      </c>
      <c r="E85" s="50">
        <v>30</v>
      </c>
      <c r="F85" s="79">
        <v>0</v>
      </c>
      <c r="G85" s="50">
        <f>'Rate Class Customer Model'!O13</f>
        <v>12051.329800874817</v>
      </c>
      <c r="H85" s="50">
        <f t="shared" si="10"/>
        <v>22256503.103301376</v>
      </c>
      <c r="I85" s="33">
        <f t="shared" si="11"/>
        <v>41120.103301376104</v>
      </c>
      <c r="J85" s="42">
        <f t="shared" si="12"/>
        <v>1.8509743136715718E-3</v>
      </c>
      <c r="K85" s="12">
        <f t="shared" si="13"/>
        <v>1.8509743136715718E-3</v>
      </c>
      <c r="L85" s="10">
        <f t="shared" si="14"/>
        <v>1690862895.515842</v>
      </c>
      <c r="M85" s="10">
        <f t="shared" si="15"/>
        <v>462100.03295651823</v>
      </c>
      <c r="N85" s="10">
        <f t="shared" si="16"/>
        <v>213536440458.41522</v>
      </c>
      <c r="O85"/>
    </row>
    <row r="86" spans="1:15" x14ac:dyDescent="0.2">
      <c r="A86" s="49">
        <v>44196</v>
      </c>
      <c r="B86" s="307">
        <v>25416770</v>
      </c>
      <c r="C86" s="50">
        <v>740.80000000000007</v>
      </c>
      <c r="D86" s="50">
        <v>0</v>
      </c>
      <c r="E86" s="50">
        <v>31</v>
      </c>
      <c r="F86" s="79">
        <v>0</v>
      </c>
      <c r="G86" s="50">
        <f>'Rate Class Customer Model'!O14</f>
        <v>12083.736430498775</v>
      </c>
      <c r="H86" s="50">
        <f t="shared" si="10"/>
        <v>25563665.578166313</v>
      </c>
      <c r="I86" s="33">
        <f t="shared" si="11"/>
        <v>146895.57816631347</v>
      </c>
      <c r="J86" s="42">
        <f t="shared" si="12"/>
        <v>5.7794746604825659E-3</v>
      </c>
      <c r="K86" s="12">
        <f t="shared" si="13"/>
        <v>5.7794746604825659E-3</v>
      </c>
      <c r="L86" s="10">
        <f t="shared" si="14"/>
        <v>21578310884.81551</v>
      </c>
      <c r="M86" s="10">
        <f t="shared" si="15"/>
        <v>105775.47486493737</v>
      </c>
      <c r="N86" s="10">
        <f t="shared" si="16"/>
        <v>11188451082.902996</v>
      </c>
      <c r="O86"/>
    </row>
    <row r="87" spans="1:15" x14ac:dyDescent="0.2">
      <c r="A87" s="49">
        <v>44227</v>
      </c>
      <c r="B87" s="307">
        <v>25867118</v>
      </c>
      <c r="C87" s="50">
        <v>833.7</v>
      </c>
      <c r="D87" s="50">
        <v>0</v>
      </c>
      <c r="E87" s="50">
        <v>31</v>
      </c>
      <c r="F87" s="79">
        <v>0</v>
      </c>
      <c r="G87" s="50">
        <f>'Rate Class Customer Model'!P3</f>
        <v>12084.73761549323</v>
      </c>
      <c r="H87" s="50">
        <f t="shared" ref="H87:H118" si="17">$Q$18+$Q$19*C87+$Q$20*D87+$Q$21*E87+$Q$22*F87+$Q$23*G87</f>
        <v>26553715.929043703</v>
      </c>
      <c r="I87" s="33">
        <f t="shared" ref="I87:I128" si="18">H87-B87</f>
        <v>686597.92904370278</v>
      </c>
      <c r="J87" s="42">
        <f t="shared" ref="J87:J128" si="19">I87/B87</f>
        <v>2.6543271231209552E-2</v>
      </c>
      <c r="K87" s="12">
        <f t="shared" si="13"/>
        <v>2.6543271231209552E-2</v>
      </c>
      <c r="L87" s="10">
        <f t="shared" si="14"/>
        <v>471416716167.1015</v>
      </c>
      <c r="M87" s="10">
        <f t="shared" si="15"/>
        <v>539702.35087738931</v>
      </c>
      <c r="N87" s="10">
        <f t="shared" si="16"/>
        <v>291278627542.58063</v>
      </c>
      <c r="O87"/>
    </row>
    <row r="88" spans="1:15" x14ac:dyDescent="0.2">
      <c r="A88" s="49">
        <v>44255</v>
      </c>
      <c r="B88" s="307">
        <v>24827388</v>
      </c>
      <c r="C88" s="50">
        <v>854.7</v>
      </c>
      <c r="D88" s="50">
        <v>0</v>
      </c>
      <c r="E88" s="50">
        <v>28</v>
      </c>
      <c r="F88" s="79">
        <v>0</v>
      </c>
      <c r="G88" s="50">
        <f>'Rate Class Customer Model'!P4</f>
        <v>12099.057962546922</v>
      </c>
      <c r="H88" s="50">
        <f t="shared" si="17"/>
        <v>24738207.429266617</v>
      </c>
      <c r="I88" s="33">
        <f t="shared" si="18"/>
        <v>-89180.570733383298</v>
      </c>
      <c r="J88" s="42">
        <f t="shared" si="19"/>
        <v>-3.5920238864186318E-3</v>
      </c>
      <c r="K88" s="12">
        <f t="shared" si="13"/>
        <v>3.5920238864186318E-3</v>
      </c>
      <c r="L88" s="10">
        <f t="shared" si="14"/>
        <v>7953174196.3319817</v>
      </c>
      <c r="M88" s="10">
        <f t="shared" si="15"/>
        <v>-775778.49977708608</v>
      </c>
      <c r="N88" s="10">
        <f t="shared" si="16"/>
        <v>601832280716.38635</v>
      </c>
      <c r="O88"/>
    </row>
    <row r="89" spans="1:15" x14ac:dyDescent="0.2">
      <c r="A89" s="49">
        <v>44286</v>
      </c>
      <c r="B89" s="307">
        <v>24583551</v>
      </c>
      <c r="C89" s="50">
        <v>665.09999999999991</v>
      </c>
      <c r="D89" s="50">
        <v>0</v>
      </c>
      <c r="E89" s="50">
        <v>31</v>
      </c>
      <c r="F89" s="79">
        <v>1</v>
      </c>
      <c r="G89" s="50">
        <f>'Rate Class Customer Model'!P5</f>
        <v>12113.395279132452</v>
      </c>
      <c r="H89" s="50">
        <f t="shared" si="17"/>
        <v>24125024.889804505</v>
      </c>
      <c r="I89" s="33">
        <f t="shared" si="18"/>
        <v>-458526.11019549519</v>
      </c>
      <c r="J89" s="42">
        <f t="shared" si="19"/>
        <v>-1.8651744420303446E-2</v>
      </c>
      <c r="K89" s="12">
        <f t="shared" si="13"/>
        <v>1.8651744420303446E-2</v>
      </c>
      <c r="L89" s="10">
        <f t="shared" si="14"/>
        <v>210246193731.01138</v>
      </c>
      <c r="M89" s="10">
        <f t="shared" si="15"/>
        <v>-369345.53946211189</v>
      </c>
      <c r="N89" s="10">
        <f t="shared" si="16"/>
        <v>136416127520.55846</v>
      </c>
      <c r="O89"/>
    </row>
    <row r="90" spans="1:15" x14ac:dyDescent="0.2">
      <c r="A90" s="49">
        <v>44316</v>
      </c>
      <c r="B90" s="307">
        <v>21537012</v>
      </c>
      <c r="C90" s="50">
        <v>441.40000000000009</v>
      </c>
      <c r="D90" s="50">
        <v>0</v>
      </c>
      <c r="E90" s="50">
        <v>30</v>
      </c>
      <c r="F90" s="79">
        <v>1</v>
      </c>
      <c r="G90" s="50">
        <f>'Rate Class Customer Model'!P6</f>
        <v>12127.749585358622</v>
      </c>
      <c r="H90" s="50">
        <f t="shared" si="17"/>
        <v>21144061.389738023</v>
      </c>
      <c r="I90" s="33">
        <f t="shared" si="18"/>
        <v>-392950.61026197672</v>
      </c>
      <c r="J90" s="42">
        <f t="shared" si="19"/>
        <v>-1.8245363389405026E-2</v>
      </c>
      <c r="K90" s="12">
        <f t="shared" si="13"/>
        <v>1.8245363389405026E-2</v>
      </c>
      <c r="L90" s="10">
        <f t="shared" si="14"/>
        <v>154410182105.25992</v>
      </c>
      <c r="M90" s="10">
        <f t="shared" si="15"/>
        <v>65575.499933518469</v>
      </c>
      <c r="N90" s="10">
        <f t="shared" si="16"/>
        <v>4300146191.5308809</v>
      </c>
      <c r="O90"/>
    </row>
    <row r="91" spans="1:15" x14ac:dyDescent="0.2">
      <c r="A91" s="49">
        <v>44347</v>
      </c>
      <c r="B91" s="307">
        <v>20574453</v>
      </c>
      <c r="C91" s="50">
        <v>318.59999999999991</v>
      </c>
      <c r="D91" s="50">
        <v>0</v>
      </c>
      <c r="E91" s="50">
        <v>31</v>
      </c>
      <c r="F91" s="79">
        <v>1</v>
      </c>
      <c r="G91" s="50">
        <f>'Rate Class Customer Model'!P7</f>
        <v>12142.120901358065</v>
      </c>
      <c r="H91" s="50">
        <f t="shared" si="17"/>
        <v>20655081.290473409</v>
      </c>
      <c r="I91" s="33">
        <f t="shared" si="18"/>
        <v>80628.290473408997</v>
      </c>
      <c r="J91" s="42">
        <f t="shared" si="19"/>
        <v>3.9188546336278779E-3</v>
      </c>
      <c r="K91" s="12">
        <f t="shared" si="13"/>
        <v>3.9188546336278779E-3</v>
      </c>
      <c r="L91" s="10">
        <f t="shared" si="14"/>
        <v>6500921224.6644163</v>
      </c>
      <c r="M91" s="10">
        <f t="shared" si="15"/>
        <v>473578.90073538572</v>
      </c>
      <c r="N91" s="10">
        <f t="shared" si="16"/>
        <v>224276975221.73633</v>
      </c>
      <c r="O91"/>
    </row>
    <row r="92" spans="1:15" x14ac:dyDescent="0.2">
      <c r="A92" s="49">
        <v>44377</v>
      </c>
      <c r="B92" s="307">
        <v>19092218</v>
      </c>
      <c r="C92" s="50">
        <v>110.70000000000002</v>
      </c>
      <c r="D92" s="50">
        <v>8.3000000000000007</v>
      </c>
      <c r="E92" s="50">
        <v>30</v>
      </c>
      <c r="F92" s="79">
        <v>0</v>
      </c>
      <c r="G92" s="50">
        <f>'Rate Class Customer Model'!P8</f>
        <v>12156.509247287264</v>
      </c>
      <c r="H92" s="50">
        <f t="shared" si="17"/>
        <v>18887207.113509819</v>
      </c>
      <c r="I92" s="33">
        <f t="shared" si="18"/>
        <v>-205010.88649018109</v>
      </c>
      <c r="J92" s="42">
        <f t="shared" si="19"/>
        <v>-1.0737929269935064E-2</v>
      </c>
      <c r="K92" s="12">
        <f t="shared" si="13"/>
        <v>1.0737929269935064E-2</v>
      </c>
      <c r="L92" s="10">
        <f t="shared" si="14"/>
        <v>42029463579.489914</v>
      </c>
      <c r="M92" s="10">
        <f t="shared" si="15"/>
        <v>-285639.17696359009</v>
      </c>
      <c r="N92" s="10">
        <f t="shared" si="16"/>
        <v>81589739416.437134</v>
      </c>
      <c r="O92"/>
    </row>
    <row r="93" spans="1:15" x14ac:dyDescent="0.2">
      <c r="A93" s="49">
        <v>44408</v>
      </c>
      <c r="B93" s="307">
        <v>19443490</v>
      </c>
      <c r="C93" s="50">
        <v>52.1</v>
      </c>
      <c r="D93" s="50">
        <v>4.2</v>
      </c>
      <c r="E93" s="50">
        <v>31</v>
      </c>
      <c r="F93" s="79">
        <v>0</v>
      </c>
      <c r="G93" s="50">
        <f>'Rate Class Customer Model'!P9</f>
        <v>12170.914643326594</v>
      </c>
      <c r="H93" s="50">
        <f t="shared" si="17"/>
        <v>18976830.879987963</v>
      </c>
      <c r="I93" s="33">
        <f t="shared" si="18"/>
        <v>-466659.12001203746</v>
      </c>
      <c r="J93" s="42">
        <f t="shared" si="19"/>
        <v>-2.4000789982253055E-2</v>
      </c>
      <c r="K93" s="12">
        <f t="shared" si="13"/>
        <v>2.4000789982253055E-2</v>
      </c>
      <c r="L93" s="10">
        <f t="shared" si="14"/>
        <v>217770734290.40918</v>
      </c>
      <c r="M93" s="10">
        <f t="shared" si="15"/>
        <v>-261648.23352185637</v>
      </c>
      <c r="N93" s="10">
        <f t="shared" si="16"/>
        <v>68459798105.10788</v>
      </c>
      <c r="O93"/>
    </row>
    <row r="94" spans="1:15" x14ac:dyDescent="0.2">
      <c r="A94" s="49">
        <v>44439</v>
      </c>
      <c r="B94" s="307">
        <v>20406933</v>
      </c>
      <c r="C94" s="50">
        <v>35.699999999999996</v>
      </c>
      <c r="D94" s="50">
        <v>25.599999999999998</v>
      </c>
      <c r="E94" s="50">
        <v>31</v>
      </c>
      <c r="F94" s="79">
        <v>0</v>
      </c>
      <c r="G94" s="50">
        <f>'Rate Class Customer Model'!P10</f>
        <v>12185.33710968034</v>
      </c>
      <c r="H94" s="50">
        <f t="shared" si="17"/>
        <v>19429788.23463393</v>
      </c>
      <c r="I94" s="33">
        <f t="shared" si="18"/>
        <v>-977144.76536606997</v>
      </c>
      <c r="J94" s="42">
        <f t="shared" si="19"/>
        <v>-4.7882980032622736E-2</v>
      </c>
      <c r="K94" s="12">
        <f t="shared" si="13"/>
        <v>4.7882980032622736E-2</v>
      </c>
      <c r="L94" s="10">
        <f t="shared" si="14"/>
        <v>954811892482.31189</v>
      </c>
      <c r="M94" s="10">
        <f t="shared" si="15"/>
        <v>-510485.64535403252</v>
      </c>
      <c r="N94" s="10">
        <f t="shared" si="16"/>
        <v>260595594112.52307</v>
      </c>
      <c r="O94"/>
    </row>
    <row r="95" spans="1:15" x14ac:dyDescent="0.2">
      <c r="A95" s="49">
        <v>44469</v>
      </c>
      <c r="B95" s="307">
        <v>19210633</v>
      </c>
      <c r="C95" s="50">
        <v>171.4</v>
      </c>
      <c r="D95" s="50">
        <v>3.1</v>
      </c>
      <c r="E95" s="50">
        <v>30</v>
      </c>
      <c r="F95" s="79">
        <v>1</v>
      </c>
      <c r="G95" s="50">
        <f>'Rate Class Customer Model'!P11</f>
        <v>12199.776666576729</v>
      </c>
      <c r="H95" s="50">
        <f t="shared" si="17"/>
        <v>18857318.701870188</v>
      </c>
      <c r="I95" s="33">
        <f t="shared" si="18"/>
        <v>-353314.29812981188</v>
      </c>
      <c r="J95" s="42">
        <f t="shared" si="19"/>
        <v>-1.839160105394819E-2</v>
      </c>
      <c r="K95" s="12">
        <f t="shared" si="13"/>
        <v>1.839160105394819E-2</v>
      </c>
      <c r="L95" s="10">
        <f t="shared" si="14"/>
        <v>124830993262.96159</v>
      </c>
      <c r="M95" s="10">
        <f t="shared" si="15"/>
        <v>623830.46723625809</v>
      </c>
      <c r="N95" s="10">
        <f t="shared" si="16"/>
        <v>389164451852.20807</v>
      </c>
      <c r="O95"/>
    </row>
    <row r="96" spans="1:15" x14ac:dyDescent="0.2">
      <c r="A96" s="49">
        <v>44500</v>
      </c>
      <c r="B96" s="307">
        <v>20195668</v>
      </c>
      <c r="C96" s="50">
        <v>267.60000000000008</v>
      </c>
      <c r="D96" s="50">
        <v>0.7</v>
      </c>
      <c r="E96" s="50">
        <v>31</v>
      </c>
      <c r="F96" s="79">
        <v>1</v>
      </c>
      <c r="G96" s="50">
        <f>'Rate Class Customer Model'!P12</f>
        <v>12214.233334267959</v>
      </c>
      <c r="H96" s="50">
        <f t="shared" si="17"/>
        <v>20627481.7884802</v>
      </c>
      <c r="I96" s="33">
        <f t="shared" si="18"/>
        <v>431813.78848019987</v>
      </c>
      <c r="J96" s="42">
        <f t="shared" si="19"/>
        <v>2.1381505602102384E-2</v>
      </c>
      <c r="K96" s="12">
        <f t="shared" si="13"/>
        <v>2.1381505602102384E-2</v>
      </c>
      <c r="L96" s="10">
        <f t="shared" si="14"/>
        <v>186463147921.6228</v>
      </c>
      <c r="M96" s="10">
        <f t="shared" si="15"/>
        <v>785128.08661001176</v>
      </c>
      <c r="N96" s="10">
        <f t="shared" si="16"/>
        <v>616426112383.89807</v>
      </c>
      <c r="O96"/>
    </row>
    <row r="97" spans="1:15" x14ac:dyDescent="0.2">
      <c r="A97" s="49">
        <v>44530</v>
      </c>
      <c r="B97" s="307">
        <v>23051852</v>
      </c>
      <c r="C97" s="50">
        <v>561.70000000000016</v>
      </c>
      <c r="D97" s="50">
        <v>0</v>
      </c>
      <c r="E97" s="50">
        <v>30</v>
      </c>
      <c r="F97" s="79">
        <v>0</v>
      </c>
      <c r="G97" s="50">
        <f>'Rate Class Customer Model'!P13</f>
        <v>12228.70713303023</v>
      </c>
      <c r="H97" s="50">
        <f t="shared" si="17"/>
        <v>23951097.114605546</v>
      </c>
      <c r="I97" s="33">
        <f t="shared" si="18"/>
        <v>899245.114605546</v>
      </c>
      <c r="J97" s="42">
        <f t="shared" si="19"/>
        <v>3.9009668924021634E-2</v>
      </c>
      <c r="K97" s="12">
        <f t="shared" si="13"/>
        <v>3.9009668924021634E-2</v>
      </c>
      <c r="L97" s="10">
        <f t="shared" si="14"/>
        <v>808641776141.94153</v>
      </c>
      <c r="M97" s="10">
        <f t="shared" si="15"/>
        <v>467431.32612534612</v>
      </c>
      <c r="N97" s="10">
        <f t="shared" si="16"/>
        <v>218492044643.29968</v>
      </c>
      <c r="O97"/>
    </row>
    <row r="98" spans="1:15" x14ac:dyDescent="0.2">
      <c r="A98" s="49">
        <v>44561</v>
      </c>
      <c r="B98" s="307">
        <v>26436572</v>
      </c>
      <c r="C98" s="50">
        <v>786.10000000000036</v>
      </c>
      <c r="D98" s="50">
        <v>0</v>
      </c>
      <c r="E98" s="50">
        <v>31</v>
      </c>
      <c r="F98" s="79">
        <v>0</v>
      </c>
      <c r="G98" s="50">
        <f>'Rate Class Customer Model'!P14</f>
        <v>12243.198083163763</v>
      </c>
      <c r="H98" s="50">
        <f t="shared" si="17"/>
        <v>27137425.875161104</v>
      </c>
      <c r="I98" s="33">
        <f t="shared" si="18"/>
        <v>700853.8751611039</v>
      </c>
      <c r="J98" s="42">
        <f t="shared" si="19"/>
        <v>2.6510769821484568E-2</v>
      </c>
      <c r="K98" s="12">
        <f t="shared" si="13"/>
        <v>2.6510769821484568E-2</v>
      </c>
      <c r="L98" s="10">
        <f t="shared" si="14"/>
        <v>491196154328.33624</v>
      </c>
      <c r="M98" s="10">
        <f t="shared" si="15"/>
        <v>-198391.23944444209</v>
      </c>
      <c r="N98" s="10">
        <f t="shared" si="16"/>
        <v>39359083888.301956</v>
      </c>
      <c r="O98"/>
    </row>
    <row r="99" spans="1:15" x14ac:dyDescent="0.2">
      <c r="A99" s="49">
        <v>44592</v>
      </c>
      <c r="B99" s="308">
        <v>30320977</v>
      </c>
      <c r="C99" s="50">
        <v>1077.8</v>
      </c>
      <c r="D99" s="50">
        <v>0</v>
      </c>
      <c r="E99" s="50">
        <v>31</v>
      </c>
      <c r="F99" s="79">
        <v>0</v>
      </c>
      <c r="G99" s="50">
        <f>'Rate Class Customer Model'!Q3</f>
        <v>12244.198569699198</v>
      </c>
      <c r="H99" s="50">
        <f t="shared" si="17"/>
        <v>30231412.052968301</v>
      </c>
      <c r="I99" s="33">
        <f t="shared" si="18"/>
        <v>-89564.947031699121</v>
      </c>
      <c r="J99" s="42">
        <f t="shared" si="19"/>
        <v>-2.9538938350073323E-3</v>
      </c>
      <c r="K99" s="12">
        <f t="shared" si="13"/>
        <v>2.9538938350073323E-3</v>
      </c>
      <c r="L99" s="10">
        <f t="shared" si="14"/>
        <v>8021879736.791069</v>
      </c>
      <c r="M99" s="10">
        <f t="shared" si="15"/>
        <v>-790418.82219280303</v>
      </c>
      <c r="N99" s="10">
        <f t="shared" si="16"/>
        <v>624761914476.65796</v>
      </c>
      <c r="O99"/>
    </row>
    <row r="100" spans="1:15" x14ac:dyDescent="0.2">
      <c r="A100" s="49">
        <v>44620</v>
      </c>
      <c r="B100" s="308">
        <v>26652765</v>
      </c>
      <c r="C100" s="50">
        <v>936.7</v>
      </c>
      <c r="D100" s="50">
        <v>0</v>
      </c>
      <c r="E100" s="50">
        <v>28</v>
      </c>
      <c r="F100" s="79">
        <v>0</v>
      </c>
      <c r="G100" s="50">
        <f>'Rate Class Customer Model'!Q4</f>
        <v>12250.15580617966</v>
      </c>
      <c r="H100" s="50">
        <f t="shared" si="17"/>
        <v>26642972.742380261</v>
      </c>
      <c r="I100" s="33">
        <f t="shared" si="18"/>
        <v>-9792.2576197385788</v>
      </c>
      <c r="J100" s="42">
        <f t="shared" si="19"/>
        <v>-3.6740119157387905E-4</v>
      </c>
      <c r="K100" s="12">
        <f t="shared" si="13"/>
        <v>3.6740119157387905E-4</v>
      </c>
      <c r="L100" s="10">
        <f t="shared" si="14"/>
        <v>95888309.291328251</v>
      </c>
      <c r="M100" s="10">
        <f t="shared" si="15"/>
        <v>79772.689411960542</v>
      </c>
      <c r="N100" s="10">
        <f t="shared" si="16"/>
        <v>6363681976.0171213</v>
      </c>
      <c r="O100"/>
    </row>
    <row r="101" spans="1:15" x14ac:dyDescent="0.2">
      <c r="A101" s="49">
        <v>44651</v>
      </c>
      <c r="B101" s="308">
        <v>25914442</v>
      </c>
      <c r="C101" s="50">
        <v>746.3</v>
      </c>
      <c r="D101" s="50">
        <v>0</v>
      </c>
      <c r="E101" s="50">
        <v>31</v>
      </c>
      <c r="F101" s="79">
        <v>1</v>
      </c>
      <c r="G101" s="50">
        <f>'Rate Class Customer Model'!Q5</f>
        <v>12256.115941066768</v>
      </c>
      <c r="H101" s="50">
        <f t="shared" si="17"/>
        <v>25963833.359306715</v>
      </c>
      <c r="I101" s="33">
        <f t="shared" si="18"/>
        <v>49391.359306715429</v>
      </c>
      <c r="J101" s="42">
        <f t="shared" si="19"/>
        <v>1.9059395261806305E-3</v>
      </c>
      <c r="K101" s="12">
        <f t="shared" si="13"/>
        <v>1.9059395261806305E-3</v>
      </c>
      <c r="L101" s="10">
        <f t="shared" si="14"/>
        <v>2439506374.1650648</v>
      </c>
      <c r="M101" s="10">
        <f t="shared" si="15"/>
        <v>59183.616926454008</v>
      </c>
      <c r="N101" s="10">
        <f t="shared" si="16"/>
        <v>3502700512.4972534</v>
      </c>
      <c r="O101"/>
    </row>
    <row r="102" spans="1:15" x14ac:dyDescent="0.2">
      <c r="A102" s="49">
        <v>44681</v>
      </c>
      <c r="B102" s="308">
        <v>22945031</v>
      </c>
      <c r="C102" s="50">
        <v>520.50000000000011</v>
      </c>
      <c r="D102" s="50">
        <v>0</v>
      </c>
      <c r="E102" s="50">
        <v>30</v>
      </c>
      <c r="F102" s="79">
        <v>1</v>
      </c>
      <c r="G102" s="50">
        <f>'Rate Class Customer Model'!Q6</f>
        <v>12262.078975770695</v>
      </c>
      <c r="H102" s="50">
        <f t="shared" si="17"/>
        <v>22903058.15805386</v>
      </c>
      <c r="I102" s="33">
        <f t="shared" si="18"/>
        <v>-41972.841946139932</v>
      </c>
      <c r="J102" s="42">
        <f t="shared" si="19"/>
        <v>-1.8292780666166863E-3</v>
      </c>
      <c r="K102" s="12">
        <f t="shared" si="13"/>
        <v>1.8292780666166863E-3</v>
      </c>
      <c r="L102" s="10">
        <f t="shared" si="14"/>
        <v>1761719461.0356438</v>
      </c>
      <c r="M102" s="10">
        <f t="shared" si="15"/>
        <v>-91364.201252855361</v>
      </c>
      <c r="N102" s="10">
        <f t="shared" si="16"/>
        <v>8347417270.572257</v>
      </c>
      <c r="O102"/>
    </row>
    <row r="103" spans="1:15" x14ac:dyDescent="0.2">
      <c r="A103" s="49">
        <v>44712</v>
      </c>
      <c r="B103" s="308">
        <v>19916599</v>
      </c>
      <c r="C103" s="50">
        <v>261.8</v>
      </c>
      <c r="D103" s="50">
        <v>4.0999999999999996</v>
      </c>
      <c r="E103" s="50">
        <v>31</v>
      </c>
      <c r="F103" s="79">
        <v>1</v>
      </c>
      <c r="G103" s="50">
        <f>'Rate Class Customer Model'!Q7</f>
        <v>12268.044911702309</v>
      </c>
      <c r="H103" s="50">
        <f t="shared" si="17"/>
        <v>21019208.669565909</v>
      </c>
      <c r="I103" s="33">
        <f t="shared" si="18"/>
        <v>1102609.6695659086</v>
      </c>
      <c r="J103" s="42">
        <f t="shared" si="19"/>
        <v>5.5361343046868024E-2</v>
      </c>
      <c r="K103" s="12">
        <f t="shared" si="13"/>
        <v>5.5361343046868024E-2</v>
      </c>
      <c r="L103" s="10">
        <f t="shared" si="14"/>
        <v>1215748083420.2422</v>
      </c>
      <c r="M103" s="10">
        <f t="shared" si="15"/>
        <v>1144582.5115120485</v>
      </c>
      <c r="N103" s="10">
        <f t="shared" si="16"/>
        <v>1310069125659.2288</v>
      </c>
      <c r="O103"/>
    </row>
    <row r="104" spans="1:15" x14ac:dyDescent="0.2">
      <c r="A104" s="49">
        <v>44742</v>
      </c>
      <c r="B104" s="308">
        <v>18916028</v>
      </c>
      <c r="C104" s="50">
        <v>187.39999999999995</v>
      </c>
      <c r="D104" s="50">
        <v>9.5</v>
      </c>
      <c r="E104" s="50">
        <v>30</v>
      </c>
      <c r="F104" s="79">
        <v>0</v>
      </c>
      <c r="G104" s="50">
        <f>'Rate Class Customer Model'!Q8</f>
        <v>12274.013750273158</v>
      </c>
      <c r="H104" s="50">
        <f t="shared" si="17"/>
        <v>20534921.578944117</v>
      </c>
      <c r="I104" s="33">
        <f t="shared" si="18"/>
        <v>1618893.5789441168</v>
      </c>
      <c r="J104" s="42">
        <f t="shared" si="19"/>
        <v>8.5583166769689537E-2</v>
      </c>
      <c r="K104" s="12">
        <f t="shared" si="13"/>
        <v>8.5583166769689537E-2</v>
      </c>
      <c r="L104" s="10">
        <f t="shared" si="14"/>
        <v>2620816419946.4912</v>
      </c>
      <c r="M104" s="10">
        <f t="shared" si="15"/>
        <v>516283.90937820822</v>
      </c>
      <c r="N104" s="10">
        <f t="shared" si="16"/>
        <v>266549075082.84592</v>
      </c>
      <c r="O104"/>
    </row>
    <row r="105" spans="1:15" x14ac:dyDescent="0.2">
      <c r="A105" s="49">
        <v>44773</v>
      </c>
      <c r="B105" s="308">
        <v>19884843</v>
      </c>
      <c r="C105" s="50">
        <v>122.49999999999999</v>
      </c>
      <c r="D105" s="50">
        <v>0.3</v>
      </c>
      <c r="E105" s="50">
        <v>31</v>
      </c>
      <c r="F105" s="79">
        <v>0</v>
      </c>
      <c r="G105" s="50">
        <f>'Rate Class Customer Model'!Q9</f>
        <v>12279.985492895479</v>
      </c>
      <c r="H105" s="50">
        <f t="shared" si="17"/>
        <v>20374270.123580165</v>
      </c>
      <c r="I105" s="33">
        <f t="shared" si="18"/>
        <v>489427.12358016521</v>
      </c>
      <c r="J105" s="42">
        <f t="shared" si="19"/>
        <v>2.4613074570423575E-2</v>
      </c>
      <c r="K105" s="12">
        <f t="shared" si="13"/>
        <v>2.4613074570423575E-2</v>
      </c>
      <c r="L105" s="10">
        <f t="shared" si="14"/>
        <v>239538909295.95432</v>
      </c>
      <c r="M105" s="10">
        <f t="shared" si="15"/>
        <v>-1129466.4553639516</v>
      </c>
      <c r="N105" s="10">
        <f t="shared" si="16"/>
        <v>1275694473792.4094</v>
      </c>
      <c r="O105"/>
    </row>
    <row r="106" spans="1:15" x14ac:dyDescent="0.2">
      <c r="A106" s="49">
        <v>44804</v>
      </c>
      <c r="B106" s="308">
        <v>20536450</v>
      </c>
      <c r="C106" s="50">
        <v>59.2</v>
      </c>
      <c r="D106" s="50">
        <v>5.9</v>
      </c>
      <c r="E106" s="50">
        <v>31</v>
      </c>
      <c r="F106" s="79">
        <v>0</v>
      </c>
      <c r="G106" s="50">
        <f>'Rate Class Customer Model'!Q10</f>
        <v>12285.960140982195</v>
      </c>
      <c r="H106" s="50">
        <f t="shared" si="17"/>
        <v>19883404.79606346</v>
      </c>
      <c r="I106" s="33">
        <f t="shared" si="18"/>
        <v>-653045.20393653959</v>
      </c>
      <c r="J106" s="42">
        <f t="shared" si="19"/>
        <v>-3.1799322859429921E-2</v>
      </c>
      <c r="K106" s="12">
        <f t="shared" si="13"/>
        <v>3.1799322859429921E-2</v>
      </c>
      <c r="L106" s="10">
        <f t="shared" si="14"/>
        <v>426468038384.5166</v>
      </c>
      <c r="M106" s="10">
        <f t="shared" si="15"/>
        <v>-1142472.3275167048</v>
      </c>
      <c r="N106" s="10">
        <f t="shared" si="16"/>
        <v>1305243019141.4368</v>
      </c>
      <c r="O106"/>
    </row>
    <row r="107" spans="1:15" x14ac:dyDescent="0.2">
      <c r="A107" s="49">
        <v>44834</v>
      </c>
      <c r="B107" s="308">
        <v>20139133</v>
      </c>
      <c r="C107" s="50">
        <v>165.39999999999998</v>
      </c>
      <c r="D107" s="50">
        <v>4.5</v>
      </c>
      <c r="E107" s="50">
        <v>30</v>
      </c>
      <c r="F107" s="79">
        <v>1</v>
      </c>
      <c r="G107" s="50">
        <f>'Rate Class Customer Model'!Q11</f>
        <v>12291.937695946919</v>
      </c>
      <c r="H107" s="50">
        <f t="shared" si="17"/>
        <v>19460807.405905575</v>
      </c>
      <c r="I107" s="33">
        <f t="shared" si="18"/>
        <v>-678325.59409442544</v>
      </c>
      <c r="J107" s="42">
        <f t="shared" si="19"/>
        <v>-3.3681966055560855E-2</v>
      </c>
      <c r="K107" s="12">
        <f t="shared" si="13"/>
        <v>3.3681966055560855E-2</v>
      </c>
      <c r="L107" s="10">
        <f t="shared" si="14"/>
        <v>460125611603.55524</v>
      </c>
      <c r="M107" s="10">
        <f t="shared" si="15"/>
        <v>-25280.390157885849</v>
      </c>
      <c r="N107" s="10">
        <f t="shared" si="16"/>
        <v>639098126.53493178</v>
      </c>
      <c r="O107"/>
    </row>
    <row r="108" spans="1:15" x14ac:dyDescent="0.2">
      <c r="A108" s="49">
        <v>44865</v>
      </c>
      <c r="B108" s="308">
        <v>22313356</v>
      </c>
      <c r="C108" s="50">
        <v>327.30000000000007</v>
      </c>
      <c r="D108" s="50">
        <v>0</v>
      </c>
      <c r="E108" s="50">
        <v>31</v>
      </c>
      <c r="F108" s="79">
        <v>1</v>
      </c>
      <c r="G108" s="50">
        <f>'Rate Class Customer Model'!Q12</f>
        <v>12297.918159203949</v>
      </c>
      <c r="H108" s="50">
        <f t="shared" si="17"/>
        <v>21816348.65427018</v>
      </c>
      <c r="I108" s="33">
        <f t="shared" si="18"/>
        <v>-497007.34572982043</v>
      </c>
      <c r="J108" s="42">
        <f t="shared" si="19"/>
        <v>-2.2273984501919857E-2</v>
      </c>
      <c r="K108" s="12">
        <f t="shared" si="13"/>
        <v>2.2273984501919857E-2</v>
      </c>
      <c r="L108" s="10">
        <f t="shared" si="14"/>
        <v>247016301709.40125</v>
      </c>
      <c r="M108" s="10">
        <f t="shared" si="15"/>
        <v>181318.24836460501</v>
      </c>
      <c r="N108" s="10">
        <f t="shared" si="16"/>
        <v>32876307190.008587</v>
      </c>
      <c r="O108"/>
    </row>
    <row r="109" spans="1:15" x14ac:dyDescent="0.2">
      <c r="A109" s="49">
        <v>44895</v>
      </c>
      <c r="B109" s="308">
        <v>23932631</v>
      </c>
      <c r="C109" s="50">
        <v>521.30000000000007</v>
      </c>
      <c r="D109" s="50">
        <v>0</v>
      </c>
      <c r="E109" s="50">
        <v>30</v>
      </c>
      <c r="F109" s="79">
        <v>0</v>
      </c>
      <c r="G109" s="50">
        <f>'Rate Class Customer Model'!Q13</f>
        <v>12303.901532168275</v>
      </c>
      <c r="H109" s="50">
        <f t="shared" si="17"/>
        <v>24039574.111587346</v>
      </c>
      <c r="I109" s="33">
        <f t="shared" si="18"/>
        <v>106943.1115873456</v>
      </c>
      <c r="J109" s="42">
        <f t="shared" si="19"/>
        <v>4.4685062660827224E-3</v>
      </c>
      <c r="K109" s="12">
        <f t="shared" si="13"/>
        <v>4.4685062660827224E-3</v>
      </c>
      <c r="L109" s="10">
        <f t="shared" si="14"/>
        <v>11436829115.983452</v>
      </c>
      <c r="M109" s="10">
        <f t="shared" si="15"/>
        <v>603950.45731716603</v>
      </c>
      <c r="N109" s="10">
        <f t="shared" si="16"/>
        <v>364756154893.61401</v>
      </c>
      <c r="O109"/>
    </row>
    <row r="110" spans="1:15" x14ac:dyDescent="0.2">
      <c r="A110" s="49">
        <v>44926</v>
      </c>
      <c r="B110" s="308">
        <v>28100635</v>
      </c>
      <c r="C110" s="50">
        <v>775.0999999999998</v>
      </c>
      <c r="D110" s="50">
        <v>0</v>
      </c>
      <c r="E110" s="50">
        <v>31</v>
      </c>
      <c r="F110" s="79">
        <v>0</v>
      </c>
      <c r="G110" s="50">
        <f>'Rate Class Customer Model'!Q14</f>
        <v>12309.887816255568</v>
      </c>
      <c r="H110" s="50">
        <f t="shared" si="17"/>
        <v>27478683.848619886</v>
      </c>
      <c r="I110" s="33">
        <f t="shared" si="18"/>
        <v>-621951.15138011426</v>
      </c>
      <c r="J110" s="42">
        <f t="shared" si="19"/>
        <v>-2.2132992773299047E-2</v>
      </c>
      <c r="K110" s="12">
        <f t="shared" si="13"/>
        <v>2.2132992773299047E-2</v>
      </c>
      <c r="L110" s="10">
        <f t="shared" si="14"/>
        <v>386823234703.0498</v>
      </c>
      <c r="M110" s="10">
        <f t="shared" si="15"/>
        <v>-728894.26296745986</v>
      </c>
      <c r="N110" s="10">
        <f t="shared" si="16"/>
        <v>531286846586.87653</v>
      </c>
      <c r="O110"/>
    </row>
    <row r="111" spans="1:15" x14ac:dyDescent="0.2">
      <c r="A111" s="49">
        <v>44957</v>
      </c>
      <c r="B111" s="307">
        <v>27608826</v>
      </c>
      <c r="C111" s="50">
        <v>832.80000000000007</v>
      </c>
      <c r="D111" s="50">
        <v>0</v>
      </c>
      <c r="E111" s="64">
        <v>31</v>
      </c>
      <c r="F111" s="80">
        <v>0</v>
      </c>
      <c r="G111" s="50">
        <f>'Rate Class Customer Model'!R3</f>
        <v>12310.888748987967</v>
      </c>
      <c r="H111" s="50">
        <f t="shared" si="17"/>
        <v>28096203.746797659</v>
      </c>
      <c r="I111" s="33">
        <f t="shared" si="18"/>
        <v>487377.7467976585</v>
      </c>
      <c r="J111" s="42">
        <f t="shared" si="19"/>
        <v>1.7652968901961226E-2</v>
      </c>
      <c r="K111" s="12">
        <f t="shared" si="13"/>
        <v>1.7652968901961226E-2</v>
      </c>
      <c r="L111" s="10">
        <f t="shared" si="14"/>
        <v>237537068073.56253</v>
      </c>
      <c r="M111" s="10">
        <f t="shared" si="15"/>
        <v>1109328.8981777728</v>
      </c>
      <c r="N111" s="10">
        <f t="shared" si="16"/>
        <v>1230610604332.3113</v>
      </c>
      <c r="O111"/>
    </row>
    <row r="112" spans="1:15" x14ac:dyDescent="0.2">
      <c r="A112" s="49">
        <v>44985</v>
      </c>
      <c r="B112" s="307">
        <v>25460858</v>
      </c>
      <c r="C112" s="50">
        <v>795.6</v>
      </c>
      <c r="D112" s="50">
        <v>0</v>
      </c>
      <c r="E112" s="64">
        <v>28</v>
      </c>
      <c r="F112" s="80">
        <v>0</v>
      </c>
      <c r="G112" s="50">
        <f>'Rate Class Customer Model'!R4</f>
        <v>12322.371513770477</v>
      </c>
      <c r="H112" s="50">
        <f t="shared" si="17"/>
        <v>25645279.32972233</v>
      </c>
      <c r="I112" s="33">
        <f t="shared" si="18"/>
        <v>184421.32972232997</v>
      </c>
      <c r="J112" s="42">
        <f t="shared" si="19"/>
        <v>7.2433273742122115E-3</v>
      </c>
      <c r="K112" s="12">
        <f t="shared" si="13"/>
        <v>7.2433273742122115E-3</v>
      </c>
      <c r="L112" s="10">
        <f t="shared" si="14"/>
        <v>34011226856.552349</v>
      </c>
      <c r="M112" s="10">
        <f t="shared" si="15"/>
        <v>-302956.41707532853</v>
      </c>
      <c r="N112" s="10">
        <f t="shared" si="16"/>
        <v>91782590647.120407</v>
      </c>
      <c r="O112"/>
    </row>
    <row r="113" spans="1:15" x14ac:dyDescent="0.2">
      <c r="A113" s="49">
        <v>45016</v>
      </c>
      <c r="B113" s="307">
        <v>26814114</v>
      </c>
      <c r="C113" s="50">
        <v>766.4000000000002</v>
      </c>
      <c r="D113" s="50">
        <v>0</v>
      </c>
      <c r="E113" s="64">
        <v>31</v>
      </c>
      <c r="F113" s="80">
        <v>1</v>
      </c>
      <c r="G113" s="50">
        <f>'Rate Class Customer Model'!R5</f>
        <v>12333.864988899715</v>
      </c>
      <c r="H113" s="50">
        <f t="shared" si="17"/>
        <v>26710125.944007017</v>
      </c>
      <c r="I113" s="33">
        <f t="shared" si="18"/>
        <v>-103988.05599298328</v>
      </c>
      <c r="J113" s="42">
        <f t="shared" si="19"/>
        <v>-3.8781089687685852E-3</v>
      </c>
      <c r="K113" s="12">
        <f t="shared" si="13"/>
        <v>3.8781089687685852E-3</v>
      </c>
      <c r="L113" s="10">
        <f t="shared" si="14"/>
        <v>10813515789.199825</v>
      </c>
      <c r="M113" s="10">
        <f t="shared" si="15"/>
        <v>-288409.38571531326</v>
      </c>
      <c r="N113" s="10">
        <f t="shared" si="16"/>
        <v>83179973768.684341</v>
      </c>
      <c r="O113"/>
    </row>
    <row r="114" spans="1:15" x14ac:dyDescent="0.2">
      <c r="A114" s="49">
        <v>45046</v>
      </c>
      <c r="B114" s="307">
        <v>24148903</v>
      </c>
      <c r="C114" s="50">
        <v>504.49999999999994</v>
      </c>
      <c r="D114" s="50">
        <v>0</v>
      </c>
      <c r="E114" s="64">
        <v>30</v>
      </c>
      <c r="F114" s="80">
        <v>1</v>
      </c>
      <c r="G114" s="50">
        <f>'Rate Class Customer Model'!R6</f>
        <v>12345.369184365571</v>
      </c>
      <c r="H114" s="50">
        <f t="shared" si="17"/>
        <v>23305324.593389302</v>
      </c>
      <c r="I114" s="33">
        <f t="shared" si="18"/>
        <v>-843578.40661069751</v>
      </c>
      <c r="J114" s="42">
        <f t="shared" si="19"/>
        <v>-3.493236966543356E-2</v>
      </c>
      <c r="K114" s="12">
        <f t="shared" si="13"/>
        <v>3.493236966543356E-2</v>
      </c>
      <c r="L114" s="10">
        <f t="shared" si="14"/>
        <v>711624528099.84326</v>
      </c>
      <c r="M114" s="10">
        <f t="shared" si="15"/>
        <v>-739590.35061771423</v>
      </c>
      <c r="N114" s="10">
        <f t="shared" si="16"/>
        <v>546993886726.83344</v>
      </c>
      <c r="O114"/>
    </row>
    <row r="115" spans="1:15" x14ac:dyDescent="0.2">
      <c r="A115" s="49">
        <v>45077</v>
      </c>
      <c r="B115" s="307">
        <v>21453893</v>
      </c>
      <c r="C115" s="50">
        <v>289.2</v>
      </c>
      <c r="D115" s="50">
        <v>0.6</v>
      </c>
      <c r="E115" s="64">
        <v>31</v>
      </c>
      <c r="F115" s="80">
        <v>1</v>
      </c>
      <c r="G115" s="50">
        <f>'Rate Class Customer Model'!R7</f>
        <v>12356.884110167248</v>
      </c>
      <c r="H115" s="50">
        <f t="shared" si="17"/>
        <v>21832586.63036909</v>
      </c>
      <c r="I115" s="33">
        <f t="shared" si="18"/>
        <v>378693.63036908954</v>
      </c>
      <c r="J115" s="42">
        <f t="shared" si="19"/>
        <v>1.7651511097267501E-2</v>
      </c>
      <c r="K115" s="12">
        <f t="shared" si="13"/>
        <v>1.7651511097267501E-2</v>
      </c>
      <c r="L115" s="10">
        <f t="shared" si="14"/>
        <v>143408865682.12061</v>
      </c>
      <c r="M115" s="10">
        <f t="shared" si="15"/>
        <v>1222272.0369797871</v>
      </c>
      <c r="N115" s="10">
        <f t="shared" si="16"/>
        <v>1493948932382.718</v>
      </c>
      <c r="O115"/>
    </row>
    <row r="116" spans="1:15" x14ac:dyDescent="0.2">
      <c r="A116" s="49">
        <v>45107</v>
      </c>
      <c r="B116" s="307">
        <v>20524157</v>
      </c>
      <c r="C116" s="50">
        <v>86.800000000000011</v>
      </c>
      <c r="D116" s="50">
        <v>6.8000000000000007</v>
      </c>
      <c r="E116" s="64">
        <v>30</v>
      </c>
      <c r="F116" s="80">
        <v>0</v>
      </c>
      <c r="G116" s="50">
        <f>'Rate Class Customer Model'!R8</f>
        <v>12368.40977631328</v>
      </c>
      <c r="H116" s="50">
        <f t="shared" si="17"/>
        <v>20051505.903361827</v>
      </c>
      <c r="I116" s="33">
        <f t="shared" si="18"/>
        <v>-472651.09663817286</v>
      </c>
      <c r="J116" s="42">
        <f t="shared" si="19"/>
        <v>-2.3029013890225693E-2</v>
      </c>
      <c r="K116" s="12">
        <f t="shared" si="13"/>
        <v>2.3029013890225693E-2</v>
      </c>
      <c r="L116" s="10">
        <f t="shared" si="14"/>
        <v>223399059153.26743</v>
      </c>
      <c r="M116" s="10">
        <f t="shared" si="15"/>
        <v>-851344.72700726241</v>
      </c>
      <c r="N116" s="10">
        <f t="shared" si="16"/>
        <v>724787844203.07019</v>
      </c>
      <c r="O116"/>
    </row>
    <row r="117" spans="1:15" x14ac:dyDescent="0.2">
      <c r="A117" s="49">
        <v>45138</v>
      </c>
      <c r="B117" s="307">
        <v>20651596</v>
      </c>
      <c r="C117" s="50">
        <v>79.2</v>
      </c>
      <c r="D117" s="50">
        <v>2.4000000000000004</v>
      </c>
      <c r="E117" s="64">
        <v>31</v>
      </c>
      <c r="F117" s="80">
        <v>0</v>
      </c>
      <c r="G117" s="50">
        <f>'Rate Class Customer Model'!R9</f>
        <v>12379.946192821533</v>
      </c>
      <c r="H117" s="50">
        <f t="shared" si="17"/>
        <v>20653788.49137076</v>
      </c>
      <c r="I117" s="33">
        <f t="shared" si="18"/>
        <v>2192.4913707599044</v>
      </c>
      <c r="J117" s="42">
        <f t="shared" si="19"/>
        <v>1.0616571090969939E-4</v>
      </c>
      <c r="K117" s="12">
        <f t="shared" si="13"/>
        <v>1.0616571090969939E-4</v>
      </c>
      <c r="L117" s="10">
        <f t="shared" si="14"/>
        <v>4807018.4108566446</v>
      </c>
      <c r="M117" s="10">
        <f t="shared" si="15"/>
        <v>474843.58800893277</v>
      </c>
      <c r="N117" s="10">
        <f t="shared" si="16"/>
        <v>225476433073.19708</v>
      </c>
      <c r="O117"/>
    </row>
    <row r="118" spans="1:15" x14ac:dyDescent="0.2">
      <c r="A118" s="49">
        <v>45169</v>
      </c>
      <c r="B118" s="307">
        <v>20850815</v>
      </c>
      <c r="C118" s="50">
        <v>82.1</v>
      </c>
      <c r="D118" s="50">
        <v>3.6</v>
      </c>
      <c r="E118" s="64">
        <v>31</v>
      </c>
      <c r="F118" s="80">
        <v>0</v>
      </c>
      <c r="G118" s="50">
        <f>'Rate Class Customer Model'!R10</f>
        <v>12391.493369719219</v>
      </c>
      <c r="H118" s="50">
        <f t="shared" si="17"/>
        <v>20793306.793520756</v>
      </c>
      <c r="I118" s="33">
        <f t="shared" si="18"/>
        <v>-57508.206479243934</v>
      </c>
      <c r="J118" s="42">
        <f t="shared" si="19"/>
        <v>-2.75807955129063E-3</v>
      </c>
      <c r="K118" s="12">
        <f t="shared" si="13"/>
        <v>2.75807955129063E-3</v>
      </c>
      <c r="L118" s="10">
        <f t="shared" si="14"/>
        <v>3307193812.4593539</v>
      </c>
      <c r="M118" s="10">
        <f t="shared" si="15"/>
        <v>-59700.697850003839</v>
      </c>
      <c r="N118" s="10">
        <f t="shared" si="16"/>
        <v>3564173323.7774529</v>
      </c>
      <c r="O118"/>
    </row>
    <row r="119" spans="1:15" x14ac:dyDescent="0.2">
      <c r="A119" s="49">
        <v>45199</v>
      </c>
      <c r="B119" s="307">
        <v>19577976.720000003</v>
      </c>
      <c r="C119" s="50">
        <v>112.7</v>
      </c>
      <c r="D119" s="50">
        <v>10.3</v>
      </c>
      <c r="E119" s="50">
        <v>30</v>
      </c>
      <c r="F119" s="79">
        <v>1</v>
      </c>
      <c r="G119" s="248">
        <f>'Rate Class Customer Model'!R11</f>
        <v>12403.0513170429</v>
      </c>
      <c r="H119" s="248">
        <f>$Q$18+$Q$19*C119+$Q$20*D119+$Q$21*E119+$Q$22*F119+$Q$23*G119</f>
        <v>19808594.046625942</v>
      </c>
      <c r="I119" s="33">
        <f t="shared" si="18"/>
        <v>230617.32662593946</v>
      </c>
      <c r="J119" s="42">
        <f t="shared" si="19"/>
        <v>1.1779425929664678E-2</v>
      </c>
      <c r="K119" s="12">
        <f t="shared" si="13"/>
        <v>1.1779425929664678E-2</v>
      </c>
      <c r="L119" s="10">
        <f t="shared" si="14"/>
        <v>53184351340.095245</v>
      </c>
      <c r="M119" s="10">
        <f t="shared" si="15"/>
        <v>288125.53310518339</v>
      </c>
      <c r="N119" s="10">
        <f t="shared" si="16"/>
        <v>83016322827.146133</v>
      </c>
      <c r="O119"/>
    </row>
    <row r="120" spans="1:15" x14ac:dyDescent="0.2">
      <c r="A120" s="49">
        <v>45230</v>
      </c>
      <c r="B120" s="307">
        <v>21816697.489999998</v>
      </c>
      <c r="C120" s="50">
        <v>344.3</v>
      </c>
      <c r="D120" s="50">
        <v>3.7</v>
      </c>
      <c r="E120" s="50">
        <v>31</v>
      </c>
      <c r="F120" s="79">
        <v>1</v>
      </c>
      <c r="G120" s="248">
        <f>'Rate Class Customer Model'!R12</f>
        <v>12414.620044838503</v>
      </c>
      <c r="H120" s="248">
        <f t="shared" ref="H120:H146" si="20">$Q$18+$Q$19*C120+$Q$20*D120+$Q$21*E120+$Q$22*F120+$Q$23*G120</f>
        <v>22888366.82783068</v>
      </c>
      <c r="I120" s="33">
        <f t="shared" si="18"/>
        <v>1071669.3378306814</v>
      </c>
      <c r="J120" s="42">
        <f t="shared" si="19"/>
        <v>4.9121519804814481E-2</v>
      </c>
      <c r="K120" s="12">
        <f t="shared" ref="K120:K122" si="21">ABS(J120)</f>
        <v>4.9121519804814481E-2</v>
      </c>
      <c r="L120" s="10">
        <f t="shared" ref="L120:L128" si="22">I120*I120</f>
        <v>1148475169646.4509</v>
      </c>
      <c r="M120" s="10">
        <f t="shared" si="15"/>
        <v>841052.0112047419</v>
      </c>
      <c r="N120" s="10">
        <f t="shared" si="16"/>
        <v>707368485551.54126</v>
      </c>
      <c r="O120"/>
    </row>
    <row r="121" spans="1:15" x14ac:dyDescent="0.2">
      <c r="A121" s="49">
        <v>45260</v>
      </c>
      <c r="B121" s="307">
        <v>25527563.699999999</v>
      </c>
      <c r="C121" s="50">
        <v>586.4</v>
      </c>
      <c r="D121" s="50">
        <v>0</v>
      </c>
      <c r="E121" s="50">
        <v>30</v>
      </c>
      <c r="F121" s="79">
        <v>0</v>
      </c>
      <c r="G121" s="248">
        <f>'Rate Class Customer Model'!R13</f>
        <v>12426.199563161323</v>
      </c>
      <c r="H121" s="248">
        <f t="shared" si="20"/>
        <v>25567838.154391319</v>
      </c>
      <c r="I121" s="33">
        <f t="shared" si="18"/>
        <v>40274.454391319305</v>
      </c>
      <c r="J121" s="42">
        <f t="shared" si="19"/>
        <v>1.5776850021656907E-3</v>
      </c>
      <c r="K121" s="12">
        <f t="shared" si="21"/>
        <v>1.5776850021656907E-3</v>
      </c>
      <c r="L121" s="10">
        <f t="shared" si="22"/>
        <v>1622031676.5184588</v>
      </c>
      <c r="M121" s="10">
        <f t="shared" ref="M121:M128" si="23">I121-I120</f>
        <v>-1031394.883439362</v>
      </c>
      <c r="N121" s="10">
        <f t="shared" ref="N121:N128" si="24">M121*M121</f>
        <v>1063775405584.8953</v>
      </c>
      <c r="O121"/>
    </row>
    <row r="122" spans="1:15" x14ac:dyDescent="0.2">
      <c r="A122" s="49">
        <v>45291</v>
      </c>
      <c r="B122" s="307">
        <v>26964599.219999999</v>
      </c>
      <c r="C122" s="50">
        <v>603.9</v>
      </c>
      <c r="D122" s="50">
        <v>0</v>
      </c>
      <c r="E122" s="50">
        <v>31</v>
      </c>
      <c r="F122" s="79">
        <v>0</v>
      </c>
      <c r="G122" s="248">
        <f>'Rate Class Customer Model'!R14</f>
        <v>12437.789882076033</v>
      </c>
      <c r="H122" s="248">
        <f t="shared" si="20"/>
        <v>26544596.125884019</v>
      </c>
      <c r="I122" s="33">
        <f t="shared" si="18"/>
        <v>-420003.09411597997</v>
      </c>
      <c r="J122" s="42">
        <f t="shared" si="19"/>
        <v>-1.5576092590482789E-2</v>
      </c>
      <c r="K122" s="12">
        <f t="shared" si="21"/>
        <v>1.5576092590482789E-2</v>
      </c>
      <c r="L122" s="10">
        <f t="shared" si="22"/>
        <v>176402599066.99673</v>
      </c>
      <c r="M122" s="10">
        <f t="shared" si="23"/>
        <v>-460277.54850729927</v>
      </c>
      <c r="N122" s="10">
        <f t="shared" si="24"/>
        <v>211855421659.88922</v>
      </c>
      <c r="O122"/>
    </row>
    <row r="123" spans="1:15" x14ac:dyDescent="0.2">
      <c r="A123" s="49">
        <v>45322</v>
      </c>
      <c r="B123" s="375">
        <v>29512664.139999997</v>
      </c>
      <c r="C123" s="376">
        <v>815.8</v>
      </c>
      <c r="D123" s="376">
        <v>0</v>
      </c>
      <c r="E123" s="64">
        <v>31</v>
      </c>
      <c r="F123" s="80">
        <v>0</v>
      </c>
      <c r="G123" s="380">
        <f>'Rate Class Customer Model'!S3</f>
        <v>12429</v>
      </c>
      <c r="H123" s="50">
        <f t="shared" si="20"/>
        <v>28726854.16613216</v>
      </c>
      <c r="I123" s="33">
        <f t="shared" si="18"/>
        <v>-785809.97386783734</v>
      </c>
      <c r="J123" s="42">
        <f t="shared" si="19"/>
        <v>-2.6626195796495025E-2</v>
      </c>
      <c r="K123" s="12">
        <f>AVERAGE(K3:K122)</f>
        <v>3.663052560984939E-2</v>
      </c>
      <c r="L123" s="10">
        <f t="shared" si="22"/>
        <v>617497315030.17114</v>
      </c>
      <c r="M123" s="10">
        <f t="shared" si="23"/>
        <v>-365806.87975185737</v>
      </c>
      <c r="N123" s="10">
        <f t="shared" si="24"/>
        <v>133814673273.78984</v>
      </c>
    </row>
    <row r="124" spans="1:15" x14ac:dyDescent="0.2">
      <c r="A124" s="49">
        <v>45351</v>
      </c>
      <c r="B124" s="375">
        <v>26067197.330000009</v>
      </c>
      <c r="C124" s="376">
        <v>721.2</v>
      </c>
      <c r="D124" s="376">
        <v>0</v>
      </c>
      <c r="E124" s="64">
        <v>29</v>
      </c>
      <c r="F124" s="80">
        <v>0</v>
      </c>
      <c r="G124" s="380">
        <f>'Rate Class Customer Model'!S4</f>
        <v>12434</v>
      </c>
      <c r="H124" s="50">
        <f t="shared" si="20"/>
        <v>26335975.290818967</v>
      </c>
      <c r="I124" s="33">
        <f t="shared" si="18"/>
        <v>268777.96081895754</v>
      </c>
      <c r="J124" s="42">
        <f t="shared" si="19"/>
        <v>1.0310965057590925E-2</v>
      </c>
      <c r="K124" s="12">
        <f t="shared" ref="K124:K128" si="25">AVERAGE(K4:K123)</f>
        <v>3.6866171890192465E-2</v>
      </c>
      <c r="L124" s="10">
        <f t="shared" si="22"/>
        <v>72241592221.99707</v>
      </c>
      <c r="M124" s="10">
        <f t="shared" si="23"/>
        <v>1054587.9346867949</v>
      </c>
      <c r="N124" s="10">
        <f t="shared" si="24"/>
        <v>1112155711986.9595</v>
      </c>
      <c r="O124"/>
    </row>
    <row r="125" spans="1:15" x14ac:dyDescent="0.2">
      <c r="A125" s="49">
        <v>45382</v>
      </c>
      <c r="B125" s="375">
        <v>26698362.880000003</v>
      </c>
      <c r="C125" s="376">
        <v>626.5</v>
      </c>
      <c r="D125" s="376">
        <v>0</v>
      </c>
      <c r="E125" s="64">
        <v>31</v>
      </c>
      <c r="F125" s="80">
        <v>1</v>
      </c>
      <c r="G125" s="380">
        <f>'Rate Class Customer Model'!S5</f>
        <v>12439</v>
      </c>
      <c r="H125" s="50">
        <f t="shared" si="20"/>
        <v>25951048.452136658</v>
      </c>
      <c r="I125" s="33">
        <f t="shared" si="18"/>
        <v>-747314.42786334455</v>
      </c>
      <c r="J125" s="42">
        <f t="shared" si="19"/>
        <v>-2.7991020693750659E-2</v>
      </c>
      <c r="K125" s="12">
        <f t="shared" si="25"/>
        <v>3.7081222902348013E-2</v>
      </c>
      <c r="L125" s="10">
        <f t="shared" si="22"/>
        <v>558478854092.71802</v>
      </c>
      <c r="M125" s="10">
        <f t="shared" si="23"/>
        <v>-1016092.3886823021</v>
      </c>
      <c r="N125" s="10">
        <f t="shared" si="24"/>
        <v>1032443742338.1064</v>
      </c>
      <c r="O125"/>
    </row>
    <row r="126" spans="1:15" x14ac:dyDescent="0.2">
      <c r="A126" s="49">
        <v>45412</v>
      </c>
      <c r="B126" s="375">
        <v>22843469.129999995</v>
      </c>
      <c r="C126" s="376">
        <v>439.3</v>
      </c>
      <c r="D126" s="376">
        <v>0</v>
      </c>
      <c r="E126" s="64">
        <v>30</v>
      </c>
      <c r="F126" s="80">
        <v>1</v>
      </c>
      <c r="G126" s="380">
        <f>'Rate Class Customer Model'!S6</f>
        <v>12437</v>
      </c>
      <c r="H126" s="50">
        <f t="shared" si="20"/>
        <v>23244136.754805282</v>
      </c>
      <c r="I126" s="33">
        <f t="shared" si="18"/>
        <v>400667.62480528653</v>
      </c>
      <c r="J126" s="42">
        <f t="shared" si="19"/>
        <v>1.7539701282897332E-2</v>
      </c>
      <c r="K126" s="12">
        <f t="shared" si="25"/>
        <v>3.7258635480010988E-2</v>
      </c>
      <c r="L126" s="10">
        <f t="shared" si="22"/>
        <v>160534545567.10986</v>
      </c>
      <c r="M126" s="10">
        <f t="shared" si="23"/>
        <v>1147982.0526686311</v>
      </c>
      <c r="N126" s="10">
        <f t="shared" si="24"/>
        <v>1317862793249.2837</v>
      </c>
      <c r="O126"/>
    </row>
    <row r="127" spans="1:15" x14ac:dyDescent="0.2">
      <c r="A127" s="49">
        <v>45443</v>
      </c>
      <c r="B127" s="376">
        <v>20594154.939999998</v>
      </c>
      <c r="C127" s="376">
        <v>265.60000000000002</v>
      </c>
      <c r="D127" s="376">
        <v>0</v>
      </c>
      <c r="E127" s="64">
        <v>31</v>
      </c>
      <c r="F127" s="80">
        <v>1</v>
      </c>
      <c r="G127" s="380">
        <f>'Rate Class Customer Model'!S7</f>
        <v>12427</v>
      </c>
      <c r="H127" s="50">
        <f t="shared" si="20"/>
        <v>22049218.054505475</v>
      </c>
      <c r="I127" s="33">
        <f t="shared" si="18"/>
        <v>1455063.1145054772</v>
      </c>
      <c r="J127" s="42">
        <f t="shared" si="19"/>
        <v>7.0654179243806223E-2</v>
      </c>
      <c r="K127" s="12">
        <f t="shared" si="25"/>
        <v>3.7539671637366254E-2</v>
      </c>
      <c r="L127" s="10">
        <f t="shared" si="22"/>
        <v>2117208667194.3796</v>
      </c>
      <c r="M127" s="10">
        <f t="shared" si="23"/>
        <v>1054395.4897001907</v>
      </c>
      <c r="N127" s="10">
        <f t="shared" si="24"/>
        <v>1111749848700.105</v>
      </c>
      <c r="O127"/>
    </row>
    <row r="128" spans="1:15" x14ac:dyDescent="0.2">
      <c r="A128" s="49">
        <v>45473</v>
      </c>
      <c r="B128" s="376">
        <v>19764943.160000011</v>
      </c>
      <c r="C128" s="376">
        <v>131.5</v>
      </c>
      <c r="D128" s="376">
        <v>5</v>
      </c>
      <c r="E128" s="64">
        <v>30</v>
      </c>
      <c r="F128" s="80">
        <v>0</v>
      </c>
      <c r="G128" s="380">
        <f>'Rate Class Customer Model'!S8</f>
        <v>12441</v>
      </c>
      <c r="H128" s="50">
        <f t="shared" si="20"/>
        <v>20978368.781621039</v>
      </c>
      <c r="I128" s="33">
        <f t="shared" si="18"/>
        <v>1213425.6216210276</v>
      </c>
      <c r="J128" s="42">
        <f t="shared" si="19"/>
        <v>6.1392821208650868E-2</v>
      </c>
      <c r="K128" s="12">
        <f t="shared" si="25"/>
        <v>3.77197451193374E-2</v>
      </c>
      <c r="L128" s="10">
        <f t="shared" si="22"/>
        <v>1472401739206.3772</v>
      </c>
      <c r="M128" s="10">
        <f t="shared" si="23"/>
        <v>-241637.49288444966</v>
      </c>
      <c r="N128" s="10">
        <f t="shared" si="24"/>
        <v>58388677967.48246</v>
      </c>
      <c r="O128"/>
    </row>
    <row r="129" spans="1:15" x14ac:dyDescent="0.2">
      <c r="A129" s="49">
        <v>45504</v>
      </c>
      <c r="B129" s="50"/>
      <c r="C129" s="58">
        <f>(C9+C21+C33+C45+C57+C69+C81+C93+C105+C117)/10</f>
        <v>59.829999809265146</v>
      </c>
      <c r="D129" s="58">
        <f>(D9+D21+D33+D45+D57+D69+D81+D93+D105+D117)/10</f>
        <v>18.570000028610231</v>
      </c>
      <c r="E129" s="64">
        <v>31</v>
      </c>
      <c r="F129" s="80">
        <v>0</v>
      </c>
      <c r="G129" s="50">
        <f>'Rate Class Customer Model'!S9</f>
        <v>12443.197818250159</v>
      </c>
      <c r="H129" s="50">
        <f t="shared" si="20"/>
        <v>21281486.826482676</v>
      </c>
      <c r="I129" s="33"/>
      <c r="J129"/>
      <c r="K129" s="5">
        <f>AVERAGE(K3:K128)</f>
        <v>3.6656817823976437E-2</v>
      </c>
      <c r="L129" s="33">
        <f>SUM(L3:L128)</f>
        <v>104869273288842.36</v>
      </c>
      <c r="M129" s="10"/>
      <c r="N129" s="33">
        <f>SUM(N3:N128)</f>
        <v>74187124050514.891</v>
      </c>
      <c r="O129"/>
    </row>
    <row r="130" spans="1:15" x14ac:dyDescent="0.2">
      <c r="A130" s="49">
        <v>45535</v>
      </c>
      <c r="B130" s="50"/>
      <c r="C130" s="58">
        <f t="shared" ref="C130:C134" si="26">(C10+C22+C34+C46+C58+C70+C82+C94+C106+C118)/10</f>
        <v>54.610000228881837</v>
      </c>
      <c r="D130" s="58">
        <f t="shared" ref="D130" si="27">(D10+D22+D34+D46+D58+D70+D82+D94+D106+D118)/10</f>
        <v>20.229999904632567</v>
      </c>
      <c r="E130" s="64">
        <v>31</v>
      </c>
      <c r="F130" s="80">
        <v>0</v>
      </c>
      <c r="G130" s="50">
        <f>'Rate Class Customer Model'!S10</f>
        <v>12445.404535316051</v>
      </c>
      <c r="H130" s="50">
        <f t="shared" si="20"/>
        <v>21282308.274994008</v>
      </c>
      <c r="I130" s="33"/>
      <c r="J130"/>
      <c r="K130"/>
      <c r="M130" s="10"/>
      <c r="N130" s="10"/>
      <c r="O130"/>
    </row>
    <row r="131" spans="1:15" x14ac:dyDescent="0.2">
      <c r="A131" s="49">
        <v>45565</v>
      </c>
      <c r="B131" s="50"/>
      <c r="C131" s="58">
        <f t="shared" si="26"/>
        <v>138.35999923706055</v>
      </c>
      <c r="D131" s="58">
        <f t="shared" ref="D131" si="28">(D11+D23+D35+D47+D59+D71+D83+D95+D107+D119)/10</f>
        <v>12.289999902248381</v>
      </c>
      <c r="E131" s="64">
        <v>30</v>
      </c>
      <c r="F131" s="80">
        <v>1</v>
      </c>
      <c r="G131" s="50">
        <f>'Rate Class Customer Model'!S11</f>
        <v>12447.620150615094</v>
      </c>
      <c r="H131" s="50">
        <f t="shared" si="20"/>
        <v>20435079.295095801</v>
      </c>
      <c r="I131" s="33"/>
      <c r="J131"/>
      <c r="K131"/>
      <c r="M131" s="10"/>
      <c r="N131" s="10"/>
    </row>
    <row r="132" spans="1:15" x14ac:dyDescent="0.2">
      <c r="A132" s="49">
        <v>45596</v>
      </c>
      <c r="B132" s="50"/>
      <c r="C132" s="58">
        <f t="shared" si="26"/>
        <v>339.42999877929685</v>
      </c>
      <c r="D132" s="58">
        <f t="shared" ref="D132" si="29">(D12+D24+D36+D48+D60+D72+D84+D96+D108+D120)/10</f>
        <v>0.62999999761581427</v>
      </c>
      <c r="E132" s="64">
        <v>31</v>
      </c>
      <c r="F132" s="80">
        <v>1</v>
      </c>
      <c r="G132" s="50">
        <f>'Rate Class Customer Model'!S12</f>
        <v>12449.844663578551</v>
      </c>
      <c r="H132" s="50">
        <f t="shared" si="20"/>
        <v>23002882.993076809</v>
      </c>
      <c r="I132" s="33"/>
      <c r="J132"/>
      <c r="K132"/>
      <c r="M132" s="10"/>
      <c r="N132" s="10"/>
      <c r="O132"/>
    </row>
    <row r="133" spans="1:15" x14ac:dyDescent="0.2">
      <c r="A133" s="49">
        <v>45626</v>
      </c>
      <c r="B133" s="50"/>
      <c r="C133" s="58">
        <f t="shared" si="26"/>
        <v>540.9299945068359</v>
      </c>
      <c r="D133" s="58">
        <f t="shared" ref="D133" si="30">(D13+D25+D37+D49+D61+D73+D85+D97+D109+D121)/10</f>
        <v>0</v>
      </c>
      <c r="E133" s="64">
        <v>30</v>
      </c>
      <c r="F133" s="80">
        <v>0</v>
      </c>
      <c r="G133" s="50">
        <f>'Rate Class Customer Model'!S13</f>
        <v>12452.078073651561</v>
      </c>
      <c r="H133" s="50">
        <f t="shared" si="20"/>
        <v>25264216.949236587</v>
      </c>
      <c r="I133" s="33"/>
      <c r="M133" s="10"/>
      <c r="N133" s="10"/>
      <c r="O133"/>
    </row>
    <row r="134" spans="1:15" x14ac:dyDescent="0.2">
      <c r="A134" s="49">
        <v>45657</v>
      </c>
      <c r="B134" s="50"/>
      <c r="C134" s="58">
        <f t="shared" si="26"/>
        <v>720.40000244140617</v>
      </c>
      <c r="D134" s="58">
        <f t="shared" ref="D134" si="31">(D14+D26+D38+D50+D62+D74+D86+D98+D110+D122)/10</f>
        <v>0</v>
      </c>
      <c r="E134" s="64">
        <v>31</v>
      </c>
      <c r="F134" s="80">
        <v>0</v>
      </c>
      <c r="G134" s="50">
        <f>'Rate Class Customer Model'!S14</f>
        <v>12454.320380293106</v>
      </c>
      <c r="H134" s="50">
        <f t="shared" si="20"/>
        <v>27890983.460129328</v>
      </c>
      <c r="I134" s="33"/>
      <c r="M134" s="10"/>
      <c r="N134" s="10"/>
      <c r="O134"/>
    </row>
    <row r="135" spans="1:15" x14ac:dyDescent="0.2">
      <c r="A135" s="49">
        <v>45688</v>
      </c>
      <c r="B135" s="10"/>
      <c r="C135" s="58">
        <f>(C15+C27+C39+C51+C63+C75+C87+C99+C111+C123)/10</f>
        <v>879.2500061035156</v>
      </c>
      <c r="D135" s="58">
        <f>(D15+D27+D39+D51+D63+D75+D87+D99+D111+D123)/10</f>
        <v>0</v>
      </c>
      <c r="E135" s="64">
        <v>31</v>
      </c>
      <c r="F135" s="80">
        <v>0</v>
      </c>
      <c r="G135" s="50">
        <f>'Rate Class Customer Model'!T3</f>
        <v>12456.558839819771</v>
      </c>
      <c r="H135" s="50">
        <f t="shared" si="20"/>
        <v>29587487.115466841</v>
      </c>
      <c r="I135" s="33"/>
      <c r="M135" s="10"/>
      <c r="N135" s="10"/>
      <c r="O135"/>
    </row>
    <row r="136" spans="1:15" x14ac:dyDescent="0.2">
      <c r="A136" s="49">
        <v>45716</v>
      </c>
      <c r="B136" s="10"/>
      <c r="C136" s="58">
        <f t="shared" ref="C136:D140" si="32">(C16+C28+C40+C52+C64+C76+C88+C100+C112+C124)/10</f>
        <v>817.92000366210937</v>
      </c>
      <c r="D136" s="58">
        <f t="shared" si="32"/>
        <v>0</v>
      </c>
      <c r="E136" s="64">
        <v>28</v>
      </c>
      <c r="F136" s="80">
        <v>0</v>
      </c>
      <c r="G136" s="50">
        <f>'Rate Class Customer Model'!T4</f>
        <v>12458.797701672769</v>
      </c>
      <c r="H136" s="50">
        <f t="shared" si="20"/>
        <v>26817751.650762528</v>
      </c>
      <c r="I136" s="33"/>
      <c r="M136" s="10"/>
      <c r="N136" s="10"/>
      <c r="O136"/>
    </row>
    <row r="137" spans="1:15" x14ac:dyDescent="0.2">
      <c r="A137" s="49">
        <v>45747</v>
      </c>
      <c r="B137" s="10"/>
      <c r="C137" s="58">
        <f t="shared" si="32"/>
        <v>711.95999877929694</v>
      </c>
      <c r="D137" s="58">
        <f t="shared" si="32"/>
        <v>0</v>
      </c>
      <c r="E137" s="64">
        <v>31</v>
      </c>
      <c r="F137" s="80">
        <v>1</v>
      </c>
      <c r="G137" s="50">
        <f>'Rate Class Customer Model'!T5</f>
        <v>12461.036965924413</v>
      </c>
      <c r="H137" s="50">
        <f t="shared" si="20"/>
        <v>27006722.513133965</v>
      </c>
      <c r="I137" s="33"/>
      <c r="M137" s="10"/>
      <c r="N137" s="10"/>
      <c r="O137"/>
    </row>
    <row r="138" spans="1:15" x14ac:dyDescent="0.2">
      <c r="A138" s="49">
        <v>45777</v>
      </c>
      <c r="B138" s="10"/>
      <c r="C138" s="58">
        <f t="shared" si="32"/>
        <v>491.72000366210932</v>
      </c>
      <c r="D138" s="58">
        <f t="shared" si="32"/>
        <v>0</v>
      </c>
      <c r="E138" s="64">
        <v>30</v>
      </c>
      <c r="F138" s="80">
        <v>1</v>
      </c>
      <c r="G138" s="50">
        <f>'Rate Class Customer Model'!T6</f>
        <v>12463.276632647026</v>
      </c>
      <c r="H138" s="50">
        <f t="shared" si="20"/>
        <v>23979237.523460984</v>
      </c>
      <c r="I138" s="33"/>
      <c r="M138" s="10"/>
      <c r="N138" s="10"/>
      <c r="O138"/>
    </row>
    <row r="139" spans="1:15" x14ac:dyDescent="0.2">
      <c r="A139" s="49">
        <v>45808</v>
      </c>
      <c r="B139" s="10"/>
      <c r="C139" s="58">
        <f t="shared" si="32"/>
        <v>281.6499978637695</v>
      </c>
      <c r="D139" s="58">
        <f t="shared" si="32"/>
        <v>1.8699999928474427</v>
      </c>
      <c r="E139" s="64">
        <v>31</v>
      </c>
      <c r="F139" s="80">
        <v>1</v>
      </c>
      <c r="G139" s="50">
        <f>'Rate Class Customer Model'!T7</f>
        <v>12465.516701912946</v>
      </c>
      <c r="H139" s="50">
        <f t="shared" si="20"/>
        <v>22529506.416913308</v>
      </c>
      <c r="I139" s="33"/>
      <c r="M139" s="10"/>
      <c r="N139" s="10"/>
      <c r="O139"/>
    </row>
    <row r="140" spans="1:15" x14ac:dyDescent="0.2">
      <c r="A140" s="49">
        <v>45838</v>
      </c>
      <c r="B140" s="10"/>
      <c r="C140" s="58">
        <f t="shared" si="32"/>
        <v>130.39000045776365</v>
      </c>
      <c r="D140" s="58">
        <f t="shared" si="32"/>
        <v>6.5900000768899911</v>
      </c>
      <c r="E140" s="64">
        <v>30</v>
      </c>
      <c r="F140" s="80">
        <v>0</v>
      </c>
      <c r="G140" s="50">
        <f>'Rate Class Customer Model'!T8</f>
        <v>12467.757173794524</v>
      </c>
      <c r="H140" s="50">
        <f t="shared" si="20"/>
        <v>21189444.580723569</v>
      </c>
      <c r="I140" s="33"/>
      <c r="M140" s="10"/>
      <c r="N140" s="10"/>
      <c r="O140"/>
    </row>
    <row r="141" spans="1:15" x14ac:dyDescent="0.2">
      <c r="A141" s="49">
        <v>45869</v>
      </c>
      <c r="B141" s="10"/>
      <c r="C141" s="58">
        <f t="shared" ref="C141:D146" si="33">C129</f>
        <v>59.829999809265146</v>
      </c>
      <c r="D141" s="58">
        <f t="shared" si="33"/>
        <v>18.570000028610231</v>
      </c>
      <c r="E141" s="64">
        <v>31</v>
      </c>
      <c r="F141" s="80">
        <v>0</v>
      </c>
      <c r="G141" s="50">
        <f>'Rate Class Customer Model'!T9</f>
        <v>12469.998048364123</v>
      </c>
      <c r="H141" s="50">
        <f t="shared" si="20"/>
        <v>21465409.395663209</v>
      </c>
      <c r="I141" s="33"/>
      <c r="M141" s="10"/>
      <c r="N141" s="10"/>
      <c r="O141"/>
    </row>
    <row r="142" spans="1:15" x14ac:dyDescent="0.2">
      <c r="A142" s="49">
        <v>45900</v>
      </c>
      <c r="B142" s="10"/>
      <c r="C142" s="58">
        <f t="shared" si="33"/>
        <v>54.610000228881837</v>
      </c>
      <c r="D142" s="58">
        <f t="shared" si="33"/>
        <v>20.229999904632567</v>
      </c>
      <c r="E142" s="64">
        <v>31</v>
      </c>
      <c r="F142" s="80">
        <v>0</v>
      </c>
      <c r="G142" s="50">
        <f>'Rate Class Customer Model'!T10</f>
        <v>12472.23932569412</v>
      </c>
      <c r="H142" s="50">
        <f t="shared" si="20"/>
        <v>21466468.021711417</v>
      </c>
      <c r="I142" s="33"/>
      <c r="M142" s="10"/>
      <c r="N142" s="10"/>
      <c r="O142"/>
    </row>
    <row r="143" spans="1:15" x14ac:dyDescent="0.2">
      <c r="A143" s="49">
        <v>45930</v>
      </c>
      <c r="B143" s="10"/>
      <c r="C143" s="58">
        <f t="shared" si="33"/>
        <v>138.35999923706055</v>
      </c>
      <c r="D143" s="58">
        <f t="shared" si="33"/>
        <v>12.289999902248381</v>
      </c>
      <c r="E143" s="64">
        <v>30</v>
      </c>
      <c r="F143" s="80">
        <v>1</v>
      </c>
      <c r="G143" s="50">
        <f>'Rate Class Customer Model'!T11</f>
        <v>12474.481005856904</v>
      </c>
      <c r="H143" s="50">
        <f t="shared" si="20"/>
        <v>20619417.917766288</v>
      </c>
      <c r="I143" s="33"/>
      <c r="M143" s="10"/>
      <c r="N143" s="10"/>
      <c r="O143"/>
    </row>
    <row r="144" spans="1:15" x14ac:dyDescent="0.2">
      <c r="A144" s="49">
        <v>45961</v>
      </c>
      <c r="B144" s="10"/>
      <c r="C144" s="58">
        <f t="shared" si="33"/>
        <v>339.42999877929685</v>
      </c>
      <c r="D144" s="58">
        <f t="shared" si="33"/>
        <v>0.62999999761581427</v>
      </c>
      <c r="E144" s="64">
        <v>31</v>
      </c>
      <c r="F144" s="80">
        <v>1</v>
      </c>
      <c r="G144" s="50">
        <f>'Rate Class Customer Model'!T12</f>
        <v>12476.723088924877</v>
      </c>
      <c r="H144" s="50">
        <f t="shared" si="20"/>
        <v>23187342.194516562</v>
      </c>
      <c r="I144" s="33"/>
      <c r="M144" s="10"/>
      <c r="N144" s="10"/>
      <c r="O144"/>
    </row>
    <row r="145" spans="1:15" x14ac:dyDescent="0.2">
      <c r="A145" s="49">
        <v>45991</v>
      </c>
      <c r="B145" s="10"/>
      <c r="C145" s="58">
        <f t="shared" si="33"/>
        <v>540.9299945068359</v>
      </c>
      <c r="D145" s="58">
        <f t="shared" si="33"/>
        <v>0</v>
      </c>
      <c r="E145" s="64">
        <v>30</v>
      </c>
      <c r="F145" s="80">
        <v>0</v>
      </c>
      <c r="G145" s="50">
        <f>'Rate Class Customer Model'!T13</f>
        <v>12478.965574970454</v>
      </c>
      <c r="H145" s="50">
        <f t="shared" si="20"/>
        <v>25448738.436566621</v>
      </c>
      <c r="I145" s="33"/>
      <c r="M145" s="10"/>
      <c r="N145" s="10"/>
      <c r="O145"/>
    </row>
    <row r="146" spans="1:15" x14ac:dyDescent="0.2">
      <c r="A146" s="49">
        <v>46022</v>
      </c>
      <c r="B146" s="10"/>
      <c r="C146" s="58">
        <f t="shared" si="33"/>
        <v>720.40000244140617</v>
      </c>
      <c r="D146" s="58">
        <f t="shared" si="33"/>
        <v>0</v>
      </c>
      <c r="E146" s="64">
        <v>31</v>
      </c>
      <c r="F146" s="80">
        <v>0</v>
      </c>
      <c r="G146" s="50">
        <f>'Rate Class Customer Model'!T14</f>
        <v>12481.208464066067</v>
      </c>
      <c r="H146" s="50">
        <f t="shared" si="20"/>
        <v>28075508.944680594</v>
      </c>
      <c r="I146" s="33"/>
      <c r="M146" s="10"/>
      <c r="N146" s="10"/>
      <c r="O146"/>
    </row>
    <row r="147" spans="1:15" x14ac:dyDescent="0.2">
      <c r="A147" s="34"/>
      <c r="E147" s="10"/>
      <c r="F147" s="60"/>
      <c r="O147"/>
    </row>
    <row r="148" spans="1:15" x14ac:dyDescent="0.2">
      <c r="A148" s="34"/>
      <c r="E148" s="10"/>
      <c r="F148" s="60"/>
      <c r="O148"/>
    </row>
    <row r="149" spans="1:15" x14ac:dyDescent="0.2">
      <c r="A149" s="34"/>
      <c r="C149" s="67" t="s">
        <v>72</v>
      </c>
      <c r="D149" s="66"/>
      <c r="E149" s="10"/>
      <c r="F149" s="60"/>
      <c r="O149"/>
    </row>
    <row r="150" spans="1:15" x14ac:dyDescent="0.2">
      <c r="A150" s="34"/>
      <c r="C150"/>
      <c r="D150"/>
      <c r="E150" s="10"/>
      <c r="F150" s="60"/>
      <c r="H150" s="33">
        <f>SUM(H2:H146)</f>
        <v>3019374499.3742604</v>
      </c>
      <c r="O150"/>
    </row>
    <row r="151" spans="1:15" x14ac:dyDescent="0.2">
      <c r="A151" s="34"/>
      <c r="E151" s="10"/>
      <c r="F151" s="60"/>
      <c r="O151"/>
    </row>
    <row r="152" spans="1:15" x14ac:dyDescent="0.2">
      <c r="H152" s="6"/>
      <c r="I152" t="s">
        <v>185</v>
      </c>
      <c r="J152" t="s">
        <v>186</v>
      </c>
      <c r="K152" s="5" t="s">
        <v>187</v>
      </c>
      <c r="L152" s="5" t="s">
        <v>188</v>
      </c>
      <c r="M152" s="5" t="s">
        <v>152</v>
      </c>
      <c r="N152" s="5" t="s">
        <v>189</v>
      </c>
      <c r="O152"/>
    </row>
    <row r="153" spans="1:15" x14ac:dyDescent="0.2">
      <c r="A153" s="25">
        <v>2014</v>
      </c>
      <c r="B153" s="6">
        <f>SUM(B3:B14)</f>
        <v>222844848</v>
      </c>
      <c r="C153" s="42"/>
      <c r="H153" s="6">
        <f>SUM(H3:H14)</f>
        <v>228231516.38532308</v>
      </c>
      <c r="I153" s="37">
        <f>H153-B153</f>
        <v>5386668.3853230774</v>
      </c>
      <c r="J153" s="254">
        <f>I153/B153</f>
        <v>2.4172281449033443E-2</v>
      </c>
      <c r="K153" s="13">
        <f>ABS(J153)</f>
        <v>2.4172281449033443E-2</v>
      </c>
      <c r="L153" s="6">
        <f>'Power Purchased Model WN'!H153</f>
        <v>224059602.70431739</v>
      </c>
      <c r="M153" s="17">
        <f>L153/H153</f>
        <v>0.98172069420087338</v>
      </c>
      <c r="N153" s="35">
        <f>B153*M153</f>
        <v>218771398.87764812</v>
      </c>
      <c r="O153"/>
    </row>
    <row r="154" spans="1:15" x14ac:dyDescent="0.2">
      <c r="A154" s="25">
        <v>2015</v>
      </c>
      <c r="B154" s="6">
        <f>SUM(B15:B26)</f>
        <v>216436884</v>
      </c>
      <c r="C154" s="42">
        <f t="shared" ref="C154:C160" si="34">B154/B153-1</f>
        <v>-2.8755271021567386E-2</v>
      </c>
      <c r="H154" s="6">
        <f>SUM(H15:H26)</f>
        <v>223984882.18800622</v>
      </c>
      <c r="I154" s="37">
        <f t="shared" ref="I154:I162" si="35">H154-B154</f>
        <v>7547998.1880062222</v>
      </c>
      <c r="J154" s="254">
        <f t="shared" ref="J154:J162" si="36">I154/B154</f>
        <v>3.4873899718525898E-2</v>
      </c>
      <c r="K154" s="13">
        <f t="shared" ref="K154:K162" si="37">ABS(J154)</f>
        <v>3.4873899718525898E-2</v>
      </c>
      <c r="L154" s="6">
        <f>'Power Purchased Model WN'!H154</f>
        <v>224087053.5983431</v>
      </c>
      <c r="M154" s="17">
        <f t="shared" ref="M154:M162" si="38">L154/H154</f>
        <v>1.0004561531534575</v>
      </c>
      <c r="N154" s="35">
        <f t="shared" ref="N154:N162" si="39">B154*M154</f>
        <v>216535612.36716112</v>
      </c>
      <c r="O154"/>
    </row>
    <row r="155" spans="1:15" x14ac:dyDescent="0.2">
      <c r="A155" s="25">
        <v>2016</v>
      </c>
      <c r="B155" s="6">
        <f>SUM(B27:B38)</f>
        <v>211050246</v>
      </c>
      <c r="C155" s="42">
        <f t="shared" si="34"/>
        <v>-2.4887800546971484E-2</v>
      </c>
      <c r="H155" s="6">
        <f>SUM(H27:H38)</f>
        <v>220670957.53909245</v>
      </c>
      <c r="I155" s="37">
        <f t="shared" si="35"/>
        <v>9620711.5390924513</v>
      </c>
      <c r="J155" s="254">
        <f t="shared" si="36"/>
        <v>4.5584934021315714E-2</v>
      </c>
      <c r="K155" s="13">
        <f t="shared" si="37"/>
        <v>4.5584934021315714E-2</v>
      </c>
      <c r="L155" s="6">
        <f>'Power Purchased Model WN'!H155</f>
        <v>226864744.15068904</v>
      </c>
      <c r="M155" s="17">
        <f t="shared" si="38"/>
        <v>1.0280679736049967</v>
      </c>
      <c r="N155" s="35">
        <f t="shared" si="39"/>
        <v>216973998.73405606</v>
      </c>
      <c r="O155"/>
    </row>
    <row r="156" spans="1:15" x14ac:dyDescent="0.2">
      <c r="A156" s="25">
        <v>2017</v>
      </c>
      <c r="B156" s="6">
        <f>SUM(B39:B50)</f>
        <v>217280995.02387795</v>
      </c>
      <c r="C156" s="42">
        <f t="shared" si="34"/>
        <v>2.9522585933768442E-2</v>
      </c>
      <c r="H156" s="6">
        <f>SUM(H39:H50)</f>
        <v>222936935.79111478</v>
      </c>
      <c r="I156" s="37">
        <f t="shared" si="35"/>
        <v>5655940.7672368288</v>
      </c>
      <c r="J156" s="254">
        <f t="shared" si="36"/>
        <v>2.603053601910868E-2</v>
      </c>
      <c r="K156" s="13">
        <f t="shared" si="37"/>
        <v>2.603053601910868E-2</v>
      </c>
      <c r="L156" s="6">
        <f>'Power Purchased Model WN'!H156</f>
        <v>228369393.06634849</v>
      </c>
      <c r="M156" s="17">
        <f t="shared" si="38"/>
        <v>1.0243676861169553</v>
      </c>
      <c r="N156" s="35">
        <f t="shared" si="39"/>
        <v>222575630.10979953</v>
      </c>
      <c r="O156"/>
    </row>
    <row r="157" spans="1:15" x14ac:dyDescent="0.2">
      <c r="A157" s="25">
        <v>2018</v>
      </c>
      <c r="B157" s="6">
        <f>SUM(B51:B62)</f>
        <v>241087151.13</v>
      </c>
      <c r="C157" s="42">
        <f t="shared" si="34"/>
        <v>0.10956391332571846</v>
      </c>
      <c r="H157" s="6">
        <f>SUM(H51:H62)</f>
        <v>231146708.30304456</v>
      </c>
      <c r="I157" s="37">
        <f t="shared" si="35"/>
        <v>-9940442.8269554377</v>
      </c>
      <c r="J157" s="254">
        <f t="shared" si="36"/>
        <v>-4.1231740390823696E-2</v>
      </c>
      <c r="K157" s="13">
        <f t="shared" si="37"/>
        <v>4.1231740390823696E-2</v>
      </c>
      <c r="L157" s="6">
        <f>'Power Purchased Model WN'!H157</f>
        <v>229439977.93334988</v>
      </c>
      <c r="M157" s="17">
        <f t="shared" si="38"/>
        <v>0.99261624626963285</v>
      </c>
      <c r="N157" s="35">
        <f t="shared" si="39"/>
        <v>239307022.97850028</v>
      </c>
      <c r="O157"/>
    </row>
    <row r="158" spans="1:15" x14ac:dyDescent="0.2">
      <c r="A158" s="25">
        <v>2019</v>
      </c>
      <c r="B158" s="6">
        <f>SUM(B63:B74)</f>
        <v>255923211</v>
      </c>
      <c r="C158" s="42">
        <f t="shared" si="34"/>
        <v>6.1538160787341312E-2</v>
      </c>
      <c r="H158" s="6">
        <f>SUM(H63:H74)</f>
        <v>238698376.49621281</v>
      </c>
      <c r="I158" s="37">
        <f t="shared" si="35"/>
        <v>-17224834.50378719</v>
      </c>
      <c r="J158" s="254">
        <f t="shared" si="36"/>
        <v>-6.7304698297909332E-2</v>
      </c>
      <c r="K158" s="13">
        <f t="shared" si="37"/>
        <v>6.7304698297909332E-2</v>
      </c>
      <c r="L158" s="6">
        <f>'Power Purchased Model WN'!H158</f>
        <v>230304758.85437292</v>
      </c>
      <c r="M158" s="17">
        <f t="shared" si="38"/>
        <v>0.96483588298736056</v>
      </c>
      <c r="N158" s="35">
        <f t="shared" si="39"/>
        <v>246923897.26214558</v>
      </c>
      <c r="O158"/>
    </row>
    <row r="159" spans="1:15" x14ac:dyDescent="0.2">
      <c r="A159" s="25">
        <v>2020</v>
      </c>
      <c r="B159" s="6">
        <f>SUM(B75:B86)</f>
        <v>252540603</v>
      </c>
      <c r="C159" s="42">
        <f t="shared" si="34"/>
        <v>-1.3217277115204706E-2</v>
      </c>
      <c r="H159" s="6">
        <f>SUM(H75:H86)</f>
        <v>248560275.93597302</v>
      </c>
      <c r="I159" s="37">
        <f t="shared" si="35"/>
        <v>-3980327.0640269816</v>
      </c>
      <c r="J159" s="254">
        <f t="shared" si="36"/>
        <v>-1.5761137087436913E-2</v>
      </c>
      <c r="K159" s="13">
        <f t="shared" si="37"/>
        <v>1.5761137087436913E-2</v>
      </c>
      <c r="L159" s="6">
        <f>'Power Purchased Model WN'!H159</f>
        <v>245819619.33170184</v>
      </c>
      <c r="M159" s="17">
        <f t="shared" si="38"/>
        <v>0.9889738752745143</v>
      </c>
      <c r="N159" s="35">
        <f t="shared" si="39"/>
        <v>249756058.81307262</v>
      </c>
      <c r="O159"/>
    </row>
    <row r="160" spans="1:15" x14ac:dyDescent="0.2">
      <c r="A160" s="25">
        <v>2021</v>
      </c>
      <c r="B160" s="6">
        <f>SUM(B87:B98)</f>
        <v>265226888</v>
      </c>
      <c r="C160" s="42">
        <f t="shared" si="34"/>
        <v>5.0234634943039147E-2</v>
      </c>
      <c r="D160" s="54" t="s">
        <v>10</v>
      </c>
      <c r="H160" s="6">
        <f>SUM(H87:H98)</f>
        <v>265083240.63657501</v>
      </c>
      <c r="I160" s="37">
        <f t="shared" si="35"/>
        <v>-143647.3634249866</v>
      </c>
      <c r="J160" s="254">
        <f t="shared" si="36"/>
        <v>-5.4160181310496168E-4</v>
      </c>
      <c r="K160" s="13">
        <f t="shared" si="37"/>
        <v>5.4160181310496168E-4</v>
      </c>
      <c r="L160" s="6">
        <f>'Power Purchased Model WN'!H160</f>
        <v>266249825.77701145</v>
      </c>
      <c r="M160" s="17">
        <f t="shared" si="38"/>
        <v>1.0044008257090677</v>
      </c>
      <c r="N160" s="35">
        <f t="shared" si="39"/>
        <v>266394105.30744642</v>
      </c>
      <c r="O160"/>
    </row>
    <row r="161" spans="1:17" x14ac:dyDescent="0.2">
      <c r="A161" s="25">
        <v>2022</v>
      </c>
      <c r="B161" s="6">
        <f>SUM(B99:B110)</f>
        <v>279572890</v>
      </c>
      <c r="C161" s="42">
        <f>B161/B160-1</f>
        <v>5.4089546154913126E-2</v>
      </c>
      <c r="D161" s="5">
        <f>AVERAGE(C154:C162)</f>
        <v>2.7180427911175239E-2</v>
      </c>
      <c r="H161" s="6">
        <f>SUM(H99:H110)</f>
        <v>280348495.50124574</v>
      </c>
      <c r="I161" s="37">
        <f t="shared" si="35"/>
        <v>775605.50124573708</v>
      </c>
      <c r="J161" s="254">
        <f t="shared" si="36"/>
        <v>2.7742514706835027E-3</v>
      </c>
      <c r="K161" s="13">
        <f t="shared" si="37"/>
        <v>2.7742514706835027E-3</v>
      </c>
      <c r="L161" s="6">
        <f>'Power Purchased Model WN'!H161</f>
        <v>275572569.59901869</v>
      </c>
      <c r="M161" s="17">
        <f t="shared" si="38"/>
        <v>0.98296432483545881</v>
      </c>
      <c r="N161" s="35">
        <f t="shared" si="39"/>
        <v>274810177.06114799</v>
      </c>
      <c r="O161"/>
    </row>
    <row r="162" spans="1:17" x14ac:dyDescent="0.2">
      <c r="A162" s="25">
        <v>2023</v>
      </c>
      <c r="B162" s="6">
        <f>SUM(B111:B122)</f>
        <v>281399999.13</v>
      </c>
      <c r="C162" s="42">
        <f>B162/B161-1</f>
        <v>6.5353587395402535E-3</v>
      </c>
      <c r="F162" s="1"/>
      <c r="G162" s="42"/>
      <c r="H162" s="6">
        <f>SUM(H111:H122)</f>
        <v>281897516.58727068</v>
      </c>
      <c r="I162" s="37">
        <f t="shared" si="35"/>
        <v>497517.45727068186</v>
      </c>
      <c r="J162" s="254">
        <f t="shared" si="36"/>
        <v>1.7680080270392638E-3</v>
      </c>
      <c r="K162" s="13">
        <f t="shared" si="37"/>
        <v>1.7680080270392638E-3</v>
      </c>
      <c r="L162" s="6">
        <f>'Power Purchased Model WN'!H162</f>
        <v>283579239.80058467</v>
      </c>
      <c r="M162" s="17">
        <f t="shared" si="38"/>
        <v>1.0059657255362637</v>
      </c>
      <c r="N162" s="35">
        <f t="shared" si="39"/>
        <v>283078754.29071444</v>
      </c>
      <c r="O162"/>
    </row>
    <row r="163" spans="1:17" x14ac:dyDescent="0.2">
      <c r="A163" s="25">
        <v>2024</v>
      </c>
      <c r="B163" s="6">
        <f>SUM(B123:B128)</f>
        <v>145480791.58000001</v>
      </c>
      <c r="F163" s="54" t="s">
        <v>10</v>
      </c>
      <c r="G163" s="42">
        <f>H163/H162-1</f>
        <v>1.6123032110348712E-2</v>
      </c>
      <c r="H163" s="15">
        <f>SUM(H123:H134)</f>
        <v>286442559.29903477</v>
      </c>
      <c r="I163" s="24"/>
      <c r="J163" s="5"/>
      <c r="K163" s="5"/>
      <c r="L163" s="6">
        <f>'Power Purchased Model WN'!H163</f>
        <v>289840290.47860599</v>
      </c>
      <c r="M163" s="5"/>
      <c r="N163" s="5"/>
      <c r="O163"/>
    </row>
    <row r="164" spans="1:17" x14ac:dyDescent="0.2">
      <c r="A164" s="25">
        <v>2025</v>
      </c>
      <c r="F164" s="5">
        <f>AVERAGE(G162:G164)</f>
        <v>1.6667910692194421E-2</v>
      </c>
      <c r="G164" s="42">
        <f>H164/H163-1</f>
        <v>1.721278927404013E-2</v>
      </c>
      <c r="H164" s="15">
        <f>SUM(H135:H146)</f>
        <v>291373034.71136582</v>
      </c>
      <c r="I164" s="24"/>
      <c r="J164" s="5"/>
      <c r="K164" s="5"/>
      <c r="L164" s="6">
        <f>'Power Purchased Model WN'!H164</f>
        <v>291373034.71136582</v>
      </c>
      <c r="M164" s="5"/>
      <c r="N164" s="5"/>
      <c r="O164"/>
    </row>
    <row r="165" spans="1:17" x14ac:dyDescent="0.2">
      <c r="H165" s="6"/>
      <c r="O165"/>
    </row>
    <row r="166" spans="1:17" x14ac:dyDescent="0.2">
      <c r="A166" s="43" t="s">
        <v>8</v>
      </c>
      <c r="B166" s="6">
        <f>SUM(B153:B163)</f>
        <v>2588844506.8638783</v>
      </c>
      <c r="H166" s="6">
        <f>SUM(H153:H162)+SUM(H123:H128)</f>
        <v>2588844506.8638778</v>
      </c>
      <c r="I166" s="33">
        <f>H166-B166</f>
        <v>0</v>
      </c>
      <c r="J166" s="54" t="s">
        <v>66</v>
      </c>
      <c r="O166"/>
    </row>
    <row r="167" spans="1:17" x14ac:dyDescent="0.2">
      <c r="O167"/>
    </row>
    <row r="168" spans="1:17" x14ac:dyDescent="0.2">
      <c r="H168" s="6">
        <f>SUM(H153:H164)</f>
        <v>3019374499.3742585</v>
      </c>
      <c r="I168" s="33">
        <f>H150-H168</f>
        <v>0</v>
      </c>
      <c r="O168"/>
    </row>
    <row r="169" spans="1:17" x14ac:dyDescent="0.2">
      <c r="H169" s="410"/>
      <c r="I169" s="410"/>
      <c r="J169"/>
      <c r="K169"/>
      <c r="M169"/>
      <c r="O169"/>
    </row>
    <row r="170" spans="1:17" x14ac:dyDescent="0.2">
      <c r="O170"/>
    </row>
    <row r="171" spans="1:17" x14ac:dyDescent="0.2">
      <c r="O171"/>
    </row>
    <row r="172" spans="1:17" x14ac:dyDescent="0.2">
      <c r="A172"/>
      <c r="B172"/>
      <c r="C172"/>
      <c r="D172"/>
      <c r="E172"/>
      <c r="G172"/>
      <c r="H172"/>
      <c r="I172"/>
      <c r="O172"/>
    </row>
    <row r="173" spans="1:17" x14ac:dyDescent="0.2">
      <c r="A173"/>
      <c r="B173"/>
      <c r="C173"/>
      <c r="D173"/>
      <c r="E173"/>
      <c r="G173"/>
      <c r="H173"/>
      <c r="I173"/>
      <c r="O173"/>
    </row>
    <row r="174" spans="1:17" x14ac:dyDescent="0.2">
      <c r="A174"/>
      <c r="B174"/>
      <c r="C174"/>
      <c r="D174"/>
      <c r="E174"/>
      <c r="G174"/>
      <c r="H174"/>
      <c r="I174"/>
      <c r="O174"/>
    </row>
    <row r="175" spans="1:17" x14ac:dyDescent="0.2">
      <c r="A175"/>
      <c r="B175"/>
      <c r="C175"/>
      <c r="D175"/>
      <c r="E175"/>
      <c r="G175"/>
      <c r="H175"/>
      <c r="I175"/>
      <c r="O175"/>
      <c r="P175" s="6"/>
      <c r="Q175" s="37"/>
    </row>
    <row r="176" spans="1:17" x14ac:dyDescent="0.2">
      <c r="A176"/>
      <c r="B176"/>
      <c r="C176"/>
      <c r="D176"/>
      <c r="E176"/>
      <c r="G176"/>
      <c r="H176"/>
      <c r="I176"/>
      <c r="O176"/>
      <c r="P176" s="6"/>
      <c r="Q176" s="37"/>
    </row>
    <row r="177" spans="1:17" x14ac:dyDescent="0.2">
      <c r="A177"/>
      <c r="B177"/>
      <c r="C177"/>
      <c r="D177"/>
      <c r="E177"/>
      <c r="G177"/>
      <c r="H177"/>
      <c r="I177"/>
      <c r="O177"/>
      <c r="P177" s="6"/>
      <c r="Q177" s="37"/>
    </row>
    <row r="178" spans="1:17" x14ac:dyDescent="0.2">
      <c r="A178"/>
      <c r="B178"/>
      <c r="C178"/>
      <c r="D178"/>
      <c r="E178"/>
      <c r="G178"/>
      <c r="H178"/>
      <c r="I178"/>
      <c r="O178" s="5"/>
      <c r="P178" s="6"/>
      <c r="Q178" s="37"/>
    </row>
    <row r="179" spans="1:17" x14ac:dyDescent="0.2">
      <c r="A179"/>
      <c r="B179"/>
      <c r="C179"/>
      <c r="D179"/>
      <c r="E179"/>
      <c r="G179"/>
      <c r="H179"/>
      <c r="I179"/>
      <c r="O179" s="5"/>
      <c r="P179" s="6"/>
      <c r="Q179" s="37"/>
    </row>
    <row r="180" spans="1:17" x14ac:dyDescent="0.2">
      <c r="A180"/>
      <c r="B180"/>
      <c r="C180"/>
      <c r="D180"/>
      <c r="E180"/>
      <c r="G180"/>
      <c r="H180"/>
      <c r="I180"/>
      <c r="J180"/>
      <c r="K180"/>
      <c r="M180"/>
      <c r="O180" s="5"/>
      <c r="P180" s="6"/>
      <c r="Q180" s="37"/>
    </row>
    <row r="181" spans="1:17" x14ac:dyDescent="0.2">
      <c r="A181"/>
      <c r="B181"/>
      <c r="C181"/>
      <c r="D181"/>
      <c r="E181"/>
      <c r="G181"/>
      <c r="H181"/>
      <c r="I181"/>
      <c r="J181"/>
      <c r="K181"/>
      <c r="M181"/>
      <c r="O181" s="5"/>
      <c r="P181" s="6"/>
      <c r="Q181" s="37"/>
    </row>
    <row r="182" spans="1:17" x14ac:dyDescent="0.2">
      <c r="A182"/>
      <c r="B182"/>
      <c r="C182"/>
      <c r="D182"/>
      <c r="E182"/>
      <c r="G182"/>
      <c r="H182"/>
      <c r="I182"/>
      <c r="J182"/>
      <c r="K182"/>
      <c r="M182"/>
      <c r="O182" s="6"/>
      <c r="P182" s="6"/>
      <c r="Q182" s="37"/>
    </row>
    <row r="183" spans="1:17" x14ac:dyDescent="0.2">
      <c r="A183"/>
      <c r="B183"/>
      <c r="C183"/>
      <c r="D183"/>
      <c r="E183"/>
      <c r="G183"/>
      <c r="H183"/>
      <c r="I183"/>
      <c r="J183"/>
      <c r="K183"/>
      <c r="M183"/>
      <c r="O183" s="6"/>
      <c r="P183" s="6"/>
      <c r="Q183" s="37"/>
    </row>
    <row r="184" spans="1:17" x14ac:dyDescent="0.2">
      <c r="A184"/>
      <c r="B184"/>
      <c r="C184"/>
      <c r="D184"/>
      <c r="E184"/>
      <c r="G184"/>
      <c r="H184"/>
      <c r="I184"/>
      <c r="J184"/>
      <c r="K184"/>
      <c r="M184"/>
    </row>
    <row r="185" spans="1:17" x14ac:dyDescent="0.2">
      <c r="A185"/>
      <c r="J185"/>
      <c r="K185"/>
      <c r="M185"/>
    </row>
    <row r="186" spans="1:17" x14ac:dyDescent="0.2">
      <c r="A186"/>
      <c r="J186"/>
      <c r="K186"/>
      <c r="M186"/>
    </row>
    <row r="187" spans="1:17" x14ac:dyDescent="0.2">
      <c r="A187"/>
      <c r="J187"/>
      <c r="K187"/>
      <c r="M187"/>
    </row>
    <row r="188" spans="1:17" x14ac:dyDescent="0.2">
      <c r="A188"/>
      <c r="J188"/>
      <c r="K188"/>
      <c r="M188"/>
    </row>
    <row r="189" spans="1:17" x14ac:dyDescent="0.2">
      <c r="A189"/>
      <c r="J189"/>
      <c r="K189"/>
      <c r="M189"/>
    </row>
    <row r="190" spans="1:17" x14ac:dyDescent="0.2">
      <c r="A190"/>
      <c r="J190"/>
      <c r="K190"/>
      <c r="M190"/>
    </row>
    <row r="191" spans="1:17" x14ac:dyDescent="0.2">
      <c r="A191"/>
      <c r="J191"/>
      <c r="K191"/>
      <c r="M191"/>
    </row>
    <row r="192" spans="1:17" x14ac:dyDescent="0.2">
      <c r="A192"/>
      <c r="J192"/>
      <c r="K192"/>
      <c r="M192"/>
      <c r="O192"/>
    </row>
    <row r="193" spans="1:15" x14ac:dyDescent="0.2">
      <c r="A193"/>
      <c r="J193"/>
      <c r="K193"/>
      <c r="M193"/>
      <c r="O193"/>
    </row>
    <row r="194" spans="1:15" x14ac:dyDescent="0.2">
      <c r="A194"/>
      <c r="J194"/>
      <c r="K194"/>
      <c r="M194"/>
      <c r="O194"/>
    </row>
    <row r="195" spans="1:15" x14ac:dyDescent="0.2">
      <c r="A195"/>
      <c r="J195"/>
      <c r="K195"/>
      <c r="M195"/>
      <c r="O195"/>
    </row>
    <row r="196" spans="1:15" x14ac:dyDescent="0.2">
      <c r="A196"/>
      <c r="B196"/>
      <c r="C196"/>
      <c r="D196"/>
      <c r="E196"/>
      <c r="G196"/>
      <c r="H196"/>
      <c r="I196"/>
      <c r="J196"/>
      <c r="K196"/>
      <c r="M196"/>
      <c r="O196"/>
    </row>
    <row r="197" spans="1:15" x14ac:dyDescent="0.2">
      <c r="A197"/>
      <c r="B197"/>
      <c r="C197"/>
      <c r="D197"/>
      <c r="E197"/>
      <c r="G197"/>
      <c r="H197"/>
      <c r="I197"/>
      <c r="J197"/>
      <c r="K197"/>
      <c r="M197"/>
      <c r="O197"/>
    </row>
    <row r="198" spans="1:15" x14ac:dyDescent="0.2">
      <c r="O198"/>
    </row>
    <row r="199" spans="1:15" x14ac:dyDescent="0.2">
      <c r="O199"/>
    </row>
    <row r="200" spans="1:15" x14ac:dyDescent="0.2">
      <c r="O200"/>
    </row>
    <row r="201" spans="1:15" x14ac:dyDescent="0.2">
      <c r="O201"/>
    </row>
    <row r="202" spans="1:15" x14ac:dyDescent="0.2">
      <c r="O202"/>
    </row>
    <row r="203" spans="1:15" x14ac:dyDescent="0.2">
      <c r="O203"/>
    </row>
    <row r="204" spans="1:15" x14ac:dyDescent="0.2">
      <c r="O204"/>
    </row>
    <row r="205" spans="1:15" x14ac:dyDescent="0.2">
      <c r="O205"/>
    </row>
    <row r="206" spans="1:15" x14ac:dyDescent="0.2">
      <c r="O206"/>
    </row>
    <row r="207" spans="1:15" x14ac:dyDescent="0.2">
      <c r="O207"/>
    </row>
    <row r="208" spans="1:15" x14ac:dyDescent="0.2">
      <c r="O208"/>
    </row>
    <row r="209" spans="1:14" customFormat="1" x14ac:dyDescent="0.2">
      <c r="A209" s="25"/>
      <c r="B209" s="6"/>
      <c r="C209" s="1"/>
      <c r="D209" s="1"/>
      <c r="E209" s="1"/>
      <c r="F209" s="59"/>
      <c r="G209" s="1"/>
      <c r="H209" s="1"/>
      <c r="I209" s="1"/>
      <c r="J209" s="1"/>
      <c r="K209" s="1"/>
      <c r="L209" s="1"/>
      <c r="M209" s="1"/>
      <c r="N209" s="1"/>
    </row>
  </sheetData>
  <mergeCells count="1">
    <mergeCell ref="H169:I169"/>
  </mergeCells>
  <printOptions gridLines="1"/>
  <pageMargins left="0.38" right="0.75" top="0.73" bottom="0.74" header="0.5" footer="0.5"/>
  <pageSetup scale="15" orientation="landscape"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6EAFE-987E-4207-9B85-31F611813565}">
  <sheetPr>
    <tabColor rgb="FF00B0F0"/>
    <pageSetUpPr fitToPage="1"/>
  </sheetPr>
  <dimension ref="A2:V209"/>
  <sheetViews>
    <sheetView zoomScaleNormal="100" workbookViewId="0">
      <pane xSplit="1" ySplit="2" topLeftCell="B146" activePane="bottomRight" state="frozen"/>
      <selection pane="topRight" activeCell="C1" sqref="C1"/>
      <selection pane="bottomLeft" activeCell="A3" sqref="A3"/>
      <selection pane="bottomRight" activeCell="H169" sqref="H169:I169"/>
    </sheetView>
  </sheetViews>
  <sheetFormatPr defaultRowHeight="12.75" x14ac:dyDescent="0.2"/>
  <cols>
    <col min="1" max="1" width="11.85546875" style="25" customWidth="1"/>
    <col min="2" max="2" width="16.85546875" style="6" customWidth="1"/>
    <col min="3" max="3" width="11.5703125" style="1" customWidth="1"/>
    <col min="4" max="4" width="13.42578125" style="1" customWidth="1"/>
    <col min="5" max="5" width="10.140625" style="1" customWidth="1"/>
    <col min="6" max="6" width="10.28515625" style="59" customWidth="1"/>
    <col min="7" max="7" width="13" style="1" customWidth="1"/>
    <col min="8" max="8" width="15.5703125" style="1" bestFit="1" customWidth="1"/>
    <col min="9" max="9" width="17.140625" style="1" customWidth="1"/>
    <col min="10" max="10" width="10.28515625" style="1" customWidth="1"/>
    <col min="11" max="11" width="10.140625" style="1" customWidth="1"/>
    <col min="12" max="12" width="20.28515625" style="1" bestFit="1" customWidth="1"/>
    <col min="13" max="13" width="17.7109375" style="1" bestFit="1" customWidth="1"/>
    <col min="14" max="14" width="19.7109375" style="1" customWidth="1"/>
    <col min="15" max="15" width="4.85546875" style="1" customWidth="1"/>
    <col min="16" max="16" width="44.42578125" customWidth="1"/>
    <col min="17" max="17" width="20.140625" customWidth="1"/>
    <col min="18" max="20" width="12.5703125" customWidth="1"/>
    <col min="21" max="21" width="15.5703125" bestFit="1" customWidth="1"/>
    <col min="22" max="23" width="14.5703125" bestFit="1" customWidth="1"/>
    <col min="24" max="24" width="19.28515625" bestFit="1" customWidth="1"/>
    <col min="25" max="25" width="19" bestFit="1" customWidth="1"/>
    <col min="26" max="26" width="18.85546875" bestFit="1" customWidth="1"/>
    <col min="27" max="27" width="13" bestFit="1" customWidth="1"/>
    <col min="28" max="28" width="14.28515625" bestFit="1" customWidth="1"/>
    <col min="29" max="29" width="19.42578125" bestFit="1" customWidth="1"/>
    <col min="30" max="30" width="6.140625" bestFit="1" customWidth="1"/>
  </cols>
  <sheetData>
    <row r="2" spans="1:21" ht="38.25" x14ac:dyDescent="0.2">
      <c r="A2" s="68"/>
      <c r="B2" s="69" t="s">
        <v>60</v>
      </c>
      <c r="C2" s="70" t="s">
        <v>3</v>
      </c>
      <c r="D2" s="70" t="s">
        <v>4</v>
      </c>
      <c r="E2" s="70" t="s">
        <v>73</v>
      </c>
      <c r="F2" s="71" t="s">
        <v>14</v>
      </c>
      <c r="G2" s="70" t="s">
        <v>85</v>
      </c>
      <c r="H2" s="70" t="s">
        <v>9</v>
      </c>
      <c r="I2" s="72" t="s">
        <v>179</v>
      </c>
      <c r="J2" s="70" t="s">
        <v>180</v>
      </c>
      <c r="K2" s="245" t="s">
        <v>181</v>
      </c>
      <c r="L2" s="244" t="s">
        <v>173</v>
      </c>
      <c r="M2" s="244" t="s">
        <v>175</v>
      </c>
      <c r="N2" s="244" t="s">
        <v>176</v>
      </c>
      <c r="O2"/>
      <c r="P2" s="44" t="s">
        <v>15</v>
      </c>
    </row>
    <row r="3" spans="1:21" ht="13.5" thickBot="1" x14ac:dyDescent="0.25">
      <c r="A3" s="49">
        <v>41670</v>
      </c>
      <c r="B3" s="50">
        <v>24988491</v>
      </c>
      <c r="C3" s="50">
        <f>'Power Purchased Model'!C135</f>
        <v>879.2500061035156</v>
      </c>
      <c r="D3" s="50">
        <f>'Power Purchased Model'!D135</f>
        <v>0</v>
      </c>
      <c r="E3" s="50">
        <v>31</v>
      </c>
      <c r="F3" s="79">
        <v>0</v>
      </c>
      <c r="G3" s="50">
        <v>11661</v>
      </c>
      <c r="H3" s="50">
        <f t="shared" ref="H3:H66" si="0">$Q$18+$Q$19*C3+$Q$20*D3+$Q$21*E3+$Q$22*F3+$Q$23*G3</f>
        <v>24127786.764696322</v>
      </c>
      <c r="I3" s="33">
        <f t="shared" ref="I3:I66" si="1">H3-B3</f>
        <v>-860704.23530367762</v>
      </c>
      <c r="J3" s="42">
        <f t="shared" ref="J3:J66" si="2">I3/B3</f>
        <v>-3.4444026063985923E-2</v>
      </c>
      <c r="K3" s="12">
        <f t="shared" ref="K3:K66" si="3">ABS(J3)</f>
        <v>3.4444026063985923E-2</v>
      </c>
      <c r="L3" s="10">
        <f t="shared" ref="L3:L66" si="4">I3*I3</f>
        <v>740811780669.68848</v>
      </c>
      <c r="M3" s="10"/>
      <c r="N3" s="10"/>
      <c r="O3" s="12"/>
    </row>
    <row r="4" spans="1:21" x14ac:dyDescent="0.2">
      <c r="A4" s="49">
        <v>41698</v>
      </c>
      <c r="B4" s="50">
        <v>22046480</v>
      </c>
      <c r="C4" s="50">
        <f>'Power Purchased Model'!C136</f>
        <v>817.92000366210937</v>
      </c>
      <c r="D4" s="50">
        <f>'Power Purchased Model'!D136</f>
        <v>0</v>
      </c>
      <c r="E4" s="50">
        <v>28</v>
      </c>
      <c r="F4" s="79">
        <v>0</v>
      </c>
      <c r="G4" s="50">
        <v>11654</v>
      </c>
      <c r="H4" s="50">
        <f t="shared" si="0"/>
        <v>21294647.545580864</v>
      </c>
      <c r="I4" s="33">
        <f t="shared" si="1"/>
        <v>-751832.45441913605</v>
      </c>
      <c r="J4" s="42">
        <f t="shared" si="2"/>
        <v>-3.4102153922945341E-2</v>
      </c>
      <c r="K4" s="12">
        <f t="shared" si="3"/>
        <v>3.4102153922945341E-2</v>
      </c>
      <c r="L4" s="10">
        <f t="shared" si="4"/>
        <v>565252039517.90222</v>
      </c>
      <c r="M4" s="10">
        <f t="shared" ref="M4:M67" si="5">I4-I3</f>
        <v>108871.78088454157</v>
      </c>
      <c r="N4" s="10">
        <f t="shared" ref="N4:N67" si="6">M4*M4</f>
        <v>11853064672.971632</v>
      </c>
      <c r="O4" s="12"/>
      <c r="P4" s="267" t="s">
        <v>16</v>
      </c>
      <c r="Q4" s="267"/>
    </row>
    <row r="5" spans="1:21" x14ac:dyDescent="0.2">
      <c r="A5" s="49">
        <v>41729</v>
      </c>
      <c r="B5" s="50">
        <v>23041535</v>
      </c>
      <c r="C5" s="50">
        <f>'Power Purchased Model'!C137</f>
        <v>711.95999877929694</v>
      </c>
      <c r="D5" s="50">
        <f>'Power Purchased Model'!D137</f>
        <v>0</v>
      </c>
      <c r="E5" s="50">
        <v>31</v>
      </c>
      <c r="F5" s="79">
        <v>1</v>
      </c>
      <c r="G5" s="50">
        <v>11654</v>
      </c>
      <c r="H5" s="50">
        <f t="shared" si="0"/>
        <v>21468250.956535466</v>
      </c>
      <c r="I5" s="33">
        <f t="shared" si="1"/>
        <v>-1573284.043464534</v>
      </c>
      <c r="J5" s="42">
        <f t="shared" si="2"/>
        <v>-6.8280348660127638E-2</v>
      </c>
      <c r="K5" s="12">
        <f t="shared" si="3"/>
        <v>6.8280348660127638E-2</v>
      </c>
      <c r="L5" s="10">
        <f t="shared" si="4"/>
        <v>2475222681420.1138</v>
      </c>
      <c r="M5" s="10">
        <f t="shared" si="5"/>
        <v>-821451.58904539794</v>
      </c>
      <c r="N5" s="10">
        <f t="shared" si="6"/>
        <v>674782713145.20935</v>
      </c>
      <c r="O5" s="12"/>
      <c r="P5" t="s">
        <v>17</v>
      </c>
      <c r="Q5" s="288">
        <v>0.97011781845074263</v>
      </c>
    </row>
    <row r="6" spans="1:21" x14ac:dyDescent="0.2">
      <c r="A6" s="49">
        <v>41759</v>
      </c>
      <c r="B6" s="50">
        <v>18510176</v>
      </c>
      <c r="C6" s="50">
        <f>'Power Purchased Model'!C138</f>
        <v>491.72000366210932</v>
      </c>
      <c r="D6" s="50">
        <f>'Power Purchased Model'!D138</f>
        <v>0</v>
      </c>
      <c r="E6" s="50">
        <v>30</v>
      </c>
      <c r="F6" s="79">
        <v>1</v>
      </c>
      <c r="G6" s="50">
        <v>11646</v>
      </c>
      <c r="H6" s="50">
        <f t="shared" si="0"/>
        <v>18370493.965347305</v>
      </c>
      <c r="I6" s="33">
        <f t="shared" si="1"/>
        <v>-139682.03465269506</v>
      </c>
      <c r="J6" s="42">
        <f t="shared" si="2"/>
        <v>-7.5462294174131602E-3</v>
      </c>
      <c r="K6" s="12">
        <f t="shared" si="3"/>
        <v>7.5462294174131602E-3</v>
      </c>
      <c r="L6" s="10">
        <f t="shared" si="4"/>
        <v>19511070804.716705</v>
      </c>
      <c r="M6" s="10">
        <f t="shared" si="5"/>
        <v>1433602.0088118389</v>
      </c>
      <c r="N6" s="10">
        <f t="shared" si="6"/>
        <v>2055214719669.3398</v>
      </c>
      <c r="O6" s="12"/>
      <c r="P6" t="s">
        <v>18</v>
      </c>
      <c r="Q6" s="288">
        <v>0.94112858167562796</v>
      </c>
    </row>
    <row r="7" spans="1:21" x14ac:dyDescent="0.2">
      <c r="A7" s="49">
        <v>41790</v>
      </c>
      <c r="B7" s="50">
        <v>16410299</v>
      </c>
      <c r="C7" s="50">
        <f>'Power Purchased Model'!C139</f>
        <v>281.6499978637695</v>
      </c>
      <c r="D7" s="50">
        <f>'Power Purchased Model'!D139</f>
        <v>1.8699999928474427</v>
      </c>
      <c r="E7" s="50">
        <v>31</v>
      </c>
      <c r="F7" s="79">
        <v>1</v>
      </c>
      <c r="G7" s="50">
        <v>11637</v>
      </c>
      <c r="H7" s="50">
        <f t="shared" si="0"/>
        <v>16843625.371234648</v>
      </c>
      <c r="I7" s="33">
        <f t="shared" si="1"/>
        <v>433326.37123464793</v>
      </c>
      <c r="J7" s="42">
        <f t="shared" si="2"/>
        <v>2.6405757215919583E-2</v>
      </c>
      <c r="K7" s="12">
        <f t="shared" si="3"/>
        <v>2.6405757215919583E-2</v>
      </c>
      <c r="L7" s="10">
        <f t="shared" si="4"/>
        <v>187771744007.38791</v>
      </c>
      <c r="M7" s="10">
        <f t="shared" si="5"/>
        <v>573008.40588734299</v>
      </c>
      <c r="N7" s="10">
        <f t="shared" si="6"/>
        <v>328338633217.55402</v>
      </c>
      <c r="O7" s="12"/>
      <c r="P7" t="s">
        <v>19</v>
      </c>
      <c r="Q7" s="288">
        <v>0.93867560591211252</v>
      </c>
    </row>
    <row r="8" spans="1:21" x14ac:dyDescent="0.2">
      <c r="A8" s="49">
        <v>41820</v>
      </c>
      <c r="B8" s="50">
        <v>13841155</v>
      </c>
      <c r="C8" s="50">
        <f>'Power Purchased Model'!C140</f>
        <v>130.39000045776365</v>
      </c>
      <c r="D8" s="50">
        <f>'Power Purchased Model'!D140</f>
        <v>6.5900000768899911</v>
      </c>
      <c r="E8" s="50">
        <v>30</v>
      </c>
      <c r="F8" s="79">
        <v>0</v>
      </c>
      <c r="G8" s="50">
        <v>11645</v>
      </c>
      <c r="H8" s="50">
        <f t="shared" si="0"/>
        <v>15543089.584049076</v>
      </c>
      <c r="I8" s="33">
        <f t="shared" si="1"/>
        <v>1701934.5840490758</v>
      </c>
      <c r="J8" s="42">
        <f t="shared" si="2"/>
        <v>0.12296189039491834</v>
      </c>
      <c r="K8" s="12">
        <f t="shared" si="3"/>
        <v>0.12296189039491834</v>
      </c>
      <c r="L8" s="10">
        <f t="shared" si="4"/>
        <v>2896581328382.3008</v>
      </c>
      <c r="M8" s="10">
        <f t="shared" si="5"/>
        <v>1268608.2128144279</v>
      </c>
      <c r="N8" s="10">
        <f t="shared" si="6"/>
        <v>1609366797620.2168</v>
      </c>
      <c r="O8" s="12"/>
      <c r="P8" t="s">
        <v>20</v>
      </c>
      <c r="Q8" s="289">
        <v>934831.86228345358</v>
      </c>
    </row>
    <row r="9" spans="1:21" ht="13.5" thickBot="1" x14ac:dyDescent="0.25">
      <c r="A9" s="49">
        <v>41851</v>
      </c>
      <c r="B9" s="50">
        <v>15069489</v>
      </c>
      <c r="C9" s="50">
        <f>'Power Purchased Model'!C141</f>
        <v>59.829999809265146</v>
      </c>
      <c r="D9" s="50">
        <f>'Power Purchased Model'!D141</f>
        <v>18.570000028610231</v>
      </c>
      <c r="E9" s="50">
        <v>31</v>
      </c>
      <c r="F9" s="79">
        <v>0</v>
      </c>
      <c r="G9" s="50">
        <v>11645</v>
      </c>
      <c r="H9" s="50">
        <f t="shared" si="0"/>
        <v>15803675.896405004</v>
      </c>
      <c r="I9" s="33">
        <f t="shared" si="1"/>
        <v>734186.89640500396</v>
      </c>
      <c r="J9" s="42">
        <f t="shared" si="2"/>
        <v>4.8720092393644138E-2</v>
      </c>
      <c r="K9" s="12">
        <f t="shared" si="3"/>
        <v>4.8720092393644138E-2</v>
      </c>
      <c r="L9" s="10">
        <f t="shared" si="4"/>
        <v>539030398852.81201</v>
      </c>
      <c r="M9" s="10">
        <f t="shared" si="5"/>
        <v>-967747.68764407188</v>
      </c>
      <c r="N9" s="10">
        <f t="shared" si="6"/>
        <v>936535586940.44812</v>
      </c>
      <c r="O9" s="12"/>
      <c r="P9" s="265" t="s">
        <v>21</v>
      </c>
      <c r="Q9" s="265">
        <v>126</v>
      </c>
    </row>
    <row r="10" spans="1:21" x14ac:dyDescent="0.2">
      <c r="A10" s="49">
        <v>41882</v>
      </c>
      <c r="B10" s="50">
        <v>15429842</v>
      </c>
      <c r="C10" s="50">
        <f>'Power Purchased Model'!C142</f>
        <v>54.610000228881837</v>
      </c>
      <c r="D10" s="50">
        <f>'Power Purchased Model'!D142</f>
        <v>20.229999904632567</v>
      </c>
      <c r="E10" s="50">
        <v>31</v>
      </c>
      <c r="F10" s="79">
        <v>0</v>
      </c>
      <c r="G10" s="50">
        <v>11655</v>
      </c>
      <c r="H10" s="50">
        <f t="shared" si="0"/>
        <v>15857980.490900405</v>
      </c>
      <c r="I10" s="33">
        <f t="shared" si="1"/>
        <v>428138.49090040475</v>
      </c>
      <c r="J10" s="42">
        <f t="shared" si="2"/>
        <v>2.7747431950398763E-2</v>
      </c>
      <c r="K10" s="12">
        <f t="shared" si="3"/>
        <v>2.7747431950398763E-2</v>
      </c>
      <c r="L10" s="10">
        <f t="shared" si="4"/>
        <v>183302567390.47595</v>
      </c>
      <c r="M10" s="10">
        <f t="shared" si="5"/>
        <v>-306048.40550459921</v>
      </c>
      <c r="N10" s="10">
        <f t="shared" si="6"/>
        <v>93665626511.907593</v>
      </c>
      <c r="O10" s="12"/>
    </row>
    <row r="11" spans="1:21" ht="13.5" thickBot="1" x14ac:dyDescent="0.25">
      <c r="A11" s="49">
        <v>41912</v>
      </c>
      <c r="B11" s="50">
        <v>14760249</v>
      </c>
      <c r="C11" s="50">
        <f>'Power Purchased Model'!C143</f>
        <v>138.35999923706055</v>
      </c>
      <c r="D11" s="50">
        <f>'Power Purchased Model'!D143</f>
        <v>12.289999902248381</v>
      </c>
      <c r="E11" s="50">
        <v>30</v>
      </c>
      <c r="F11" s="79">
        <v>1</v>
      </c>
      <c r="G11" s="50">
        <v>11646</v>
      </c>
      <c r="H11" s="50">
        <f t="shared" si="0"/>
        <v>14933781.8442505</v>
      </c>
      <c r="I11" s="33">
        <f t="shared" si="1"/>
        <v>173532.8442505002</v>
      </c>
      <c r="J11" s="42">
        <f t="shared" si="2"/>
        <v>1.1756769431904584E-2</v>
      </c>
      <c r="K11" s="12">
        <f t="shared" si="3"/>
        <v>1.1756769431904584E-2</v>
      </c>
      <c r="L11" s="10">
        <f t="shared" si="4"/>
        <v>30113648033.668362</v>
      </c>
      <c r="M11" s="10">
        <f t="shared" si="5"/>
        <v>-254605.64664990455</v>
      </c>
      <c r="N11" s="10">
        <f t="shared" si="6"/>
        <v>64824035306.016052</v>
      </c>
      <c r="O11" s="12"/>
      <c r="P11" t="s">
        <v>22</v>
      </c>
    </row>
    <row r="12" spans="1:21" x14ac:dyDescent="0.2">
      <c r="A12" s="49">
        <v>41943</v>
      </c>
      <c r="B12" s="50">
        <v>17103906</v>
      </c>
      <c r="C12" s="50">
        <f>'Power Purchased Model'!C144</f>
        <v>339.42999877929685</v>
      </c>
      <c r="D12" s="50">
        <f>'Power Purchased Model'!D144</f>
        <v>0.62999999761581427</v>
      </c>
      <c r="E12" s="50">
        <v>31</v>
      </c>
      <c r="F12" s="79">
        <v>1</v>
      </c>
      <c r="G12" s="50">
        <v>11659</v>
      </c>
      <c r="H12" s="50">
        <f t="shared" si="0"/>
        <v>17575534.7304103</v>
      </c>
      <c r="I12" s="33">
        <f t="shared" si="1"/>
        <v>471628.7304103002</v>
      </c>
      <c r="J12" s="42">
        <f t="shared" si="2"/>
        <v>2.7574328952129426E-2</v>
      </c>
      <c r="K12" s="12">
        <f t="shared" si="3"/>
        <v>2.7574328952129426E-2</v>
      </c>
      <c r="L12" s="10">
        <f t="shared" si="4"/>
        <v>222433659348.43161</v>
      </c>
      <c r="M12" s="10">
        <f t="shared" si="5"/>
        <v>298095.88615979999</v>
      </c>
      <c r="N12" s="10">
        <f t="shared" si="6"/>
        <v>88861157345.396439</v>
      </c>
      <c r="O12" s="12"/>
      <c r="P12" s="266"/>
      <c r="Q12" s="266" t="s">
        <v>26</v>
      </c>
      <c r="R12" s="266" t="s">
        <v>27</v>
      </c>
      <c r="S12" s="266" t="s">
        <v>28</v>
      </c>
      <c r="T12" s="266" t="s">
        <v>29</v>
      </c>
      <c r="U12" s="266" t="s">
        <v>30</v>
      </c>
    </row>
    <row r="13" spans="1:21" x14ac:dyDescent="0.2">
      <c r="A13" s="49">
        <v>41973</v>
      </c>
      <c r="B13" s="50">
        <v>19716721</v>
      </c>
      <c r="C13" s="50">
        <f>'Power Purchased Model'!C145</f>
        <v>540.9299945068359</v>
      </c>
      <c r="D13" s="50">
        <f>'Power Purchased Model'!D145</f>
        <v>0</v>
      </c>
      <c r="E13" s="50">
        <v>30</v>
      </c>
      <c r="F13" s="79">
        <v>0</v>
      </c>
      <c r="G13" s="50">
        <v>11657</v>
      </c>
      <c r="H13" s="50">
        <f t="shared" si="0"/>
        <v>19807815.963749722</v>
      </c>
      <c r="I13" s="33">
        <f t="shared" si="1"/>
        <v>91094.963749721646</v>
      </c>
      <c r="J13" s="42">
        <f t="shared" si="2"/>
        <v>4.6201883036089851E-3</v>
      </c>
      <c r="K13" s="12">
        <f t="shared" si="3"/>
        <v>4.6201883036089851E-3</v>
      </c>
      <c r="L13" s="10">
        <f t="shared" si="4"/>
        <v>8298292420.5631008</v>
      </c>
      <c r="M13" s="10">
        <f t="shared" si="5"/>
        <v>-380533.76666057855</v>
      </c>
      <c r="N13" s="10">
        <f t="shared" si="6"/>
        <v>144805947568.88763</v>
      </c>
      <c r="O13" s="12"/>
      <c r="P13" t="s">
        <v>23</v>
      </c>
      <c r="Q13">
        <v>5</v>
      </c>
      <c r="R13">
        <v>1676458173436310.8</v>
      </c>
      <c r="S13">
        <v>335291634687262.13</v>
      </c>
      <c r="T13" s="268">
        <v>383.66811269543166</v>
      </c>
      <c r="U13">
        <v>5.1573325554424306E-72</v>
      </c>
    </row>
    <row r="14" spans="1:21" x14ac:dyDescent="0.2">
      <c r="A14" s="49">
        <v>42004</v>
      </c>
      <c r="B14" s="50">
        <v>21926505</v>
      </c>
      <c r="C14" s="50">
        <f>'Power Purchased Model'!C146</f>
        <v>720.40000244140617</v>
      </c>
      <c r="D14" s="50">
        <f>'Power Purchased Model'!D146</f>
        <v>0</v>
      </c>
      <c r="E14" s="50">
        <v>31</v>
      </c>
      <c r="F14" s="79">
        <v>0</v>
      </c>
      <c r="G14" s="50">
        <v>11659</v>
      </c>
      <c r="H14" s="50">
        <f t="shared" si="0"/>
        <v>22432919.591157787</v>
      </c>
      <c r="I14" s="33">
        <f t="shared" si="1"/>
        <v>506414.59115778655</v>
      </c>
      <c r="J14" s="42">
        <f t="shared" si="2"/>
        <v>2.3096001444725758E-2</v>
      </c>
      <c r="K14" s="12">
        <f t="shared" si="3"/>
        <v>2.3096001444725758E-2</v>
      </c>
      <c r="L14" s="10">
        <f t="shared" si="4"/>
        <v>256455738137.50809</v>
      </c>
      <c r="M14" s="10">
        <f t="shared" si="5"/>
        <v>415319.6274080649</v>
      </c>
      <c r="N14" s="10">
        <f t="shared" si="6"/>
        <v>172490392910.37384</v>
      </c>
      <c r="O14" s="12"/>
      <c r="P14" t="s">
        <v>24</v>
      </c>
      <c r="Q14">
        <v>120</v>
      </c>
      <c r="R14">
        <v>104869273288842</v>
      </c>
      <c r="S14">
        <v>873910610740.34998</v>
      </c>
      <c r="T14" s="268"/>
      <c r="U14" s="268"/>
    </row>
    <row r="15" spans="1:21" ht="13.5" thickBot="1" x14ac:dyDescent="0.25">
      <c r="A15" s="49">
        <v>42035</v>
      </c>
      <c r="B15" s="50">
        <v>24303546</v>
      </c>
      <c r="C15" s="50">
        <f>C3</f>
        <v>879.2500061035156</v>
      </c>
      <c r="D15" s="50">
        <f>D3</f>
        <v>0</v>
      </c>
      <c r="E15" s="50">
        <v>31</v>
      </c>
      <c r="F15" s="79">
        <v>0</v>
      </c>
      <c r="G15" s="50">
        <v>11659</v>
      </c>
      <c r="H15" s="50">
        <f t="shared" si="0"/>
        <v>24114061.317683481</v>
      </c>
      <c r="I15" s="33">
        <f t="shared" si="1"/>
        <v>-189484.68231651932</v>
      </c>
      <c r="J15" s="42">
        <f t="shared" si="2"/>
        <v>-7.7965858281141085E-3</v>
      </c>
      <c r="K15" s="12">
        <f t="shared" si="3"/>
        <v>7.7965858281141085E-3</v>
      </c>
      <c r="L15" s="10">
        <f t="shared" si="4"/>
        <v>35904444832.592247</v>
      </c>
      <c r="M15" s="10">
        <f t="shared" si="5"/>
        <v>-695899.27347430587</v>
      </c>
      <c r="N15" s="10">
        <f t="shared" si="6"/>
        <v>484275798822.06677</v>
      </c>
      <c r="O15" s="12"/>
      <c r="P15" s="265" t="s">
        <v>8</v>
      </c>
      <c r="Q15" s="265">
        <v>125</v>
      </c>
      <c r="R15" s="265">
        <v>1781327446725152.8</v>
      </c>
      <c r="S15" s="265"/>
      <c r="T15" s="290"/>
      <c r="U15" s="290"/>
    </row>
    <row r="16" spans="1:21" ht="13.5" thickBot="1" x14ac:dyDescent="0.25">
      <c r="A16" s="49">
        <v>42063</v>
      </c>
      <c r="B16" s="50">
        <v>23231362</v>
      </c>
      <c r="C16" s="50">
        <f t="shared" ref="C16:D79" si="7">C4</f>
        <v>817.92000366210937</v>
      </c>
      <c r="D16" s="50">
        <f t="shared" si="7"/>
        <v>0</v>
      </c>
      <c r="E16" s="50">
        <v>28</v>
      </c>
      <c r="F16" s="79">
        <v>0</v>
      </c>
      <c r="G16" s="50">
        <v>11653</v>
      </c>
      <c r="H16" s="50">
        <f t="shared" si="0"/>
        <v>21287784.822074458</v>
      </c>
      <c r="I16" s="33">
        <f t="shared" si="1"/>
        <v>-1943577.177925542</v>
      </c>
      <c r="J16" s="42">
        <f t="shared" si="2"/>
        <v>-8.3661783494465028E-2</v>
      </c>
      <c r="K16" s="12">
        <f t="shared" si="3"/>
        <v>8.3661783494465028E-2</v>
      </c>
      <c r="L16" s="10">
        <f t="shared" si="4"/>
        <v>3777492246553.0142</v>
      </c>
      <c r="M16" s="10">
        <f t="shared" si="5"/>
        <v>-1754092.4956090227</v>
      </c>
      <c r="N16" s="10">
        <f t="shared" si="6"/>
        <v>3076840483151.8892</v>
      </c>
      <c r="O16" s="12"/>
    </row>
    <row r="17" spans="1:22" x14ac:dyDescent="0.2">
      <c r="A17" s="49">
        <v>42094</v>
      </c>
      <c r="B17" s="50">
        <v>21902978</v>
      </c>
      <c r="C17" s="50">
        <f t="shared" si="7"/>
        <v>711.95999877929694</v>
      </c>
      <c r="D17" s="50">
        <f t="shared" si="7"/>
        <v>0</v>
      </c>
      <c r="E17" s="50">
        <v>31</v>
      </c>
      <c r="F17" s="79">
        <v>1</v>
      </c>
      <c r="G17" s="50">
        <v>11642</v>
      </c>
      <c r="H17" s="50">
        <f t="shared" si="0"/>
        <v>21385898.274458446</v>
      </c>
      <c r="I17" s="33">
        <f t="shared" si="1"/>
        <v>-517079.72554155439</v>
      </c>
      <c r="J17" s="42">
        <f t="shared" si="2"/>
        <v>-2.3607736150835487E-2</v>
      </c>
      <c r="K17" s="12">
        <f t="shared" si="3"/>
        <v>2.3607736150835487E-2</v>
      </c>
      <c r="L17" s="10">
        <f t="shared" si="4"/>
        <v>267371442566.12921</v>
      </c>
      <c r="M17" s="10">
        <f t="shared" si="5"/>
        <v>1426497.4523839876</v>
      </c>
      <c r="N17" s="10">
        <f t="shared" si="6"/>
        <v>2034894981658.0071</v>
      </c>
      <c r="O17" s="12"/>
      <c r="P17" s="266"/>
      <c r="Q17" s="266" t="s">
        <v>31</v>
      </c>
      <c r="R17" s="266" t="s">
        <v>20</v>
      </c>
      <c r="S17" s="266" t="s">
        <v>32</v>
      </c>
      <c r="T17" s="266" t="s">
        <v>33</v>
      </c>
      <c r="U17" s="266" t="s">
        <v>34</v>
      </c>
      <c r="V17" s="266" t="s">
        <v>35</v>
      </c>
    </row>
    <row r="18" spans="1:22" x14ac:dyDescent="0.2">
      <c r="A18" s="49">
        <v>42124</v>
      </c>
      <c r="B18" s="50">
        <v>17767380</v>
      </c>
      <c r="C18" s="50">
        <f t="shared" si="7"/>
        <v>491.72000366210932</v>
      </c>
      <c r="D18" s="50">
        <f t="shared" si="7"/>
        <v>0</v>
      </c>
      <c r="E18" s="50">
        <v>30</v>
      </c>
      <c r="F18" s="79">
        <v>1</v>
      </c>
      <c r="G18" s="50">
        <v>11632</v>
      </c>
      <c r="H18" s="50">
        <f t="shared" si="0"/>
        <v>18274415.836257443</v>
      </c>
      <c r="I18" s="33">
        <f t="shared" si="1"/>
        <v>507035.83625744283</v>
      </c>
      <c r="J18" s="42">
        <f t="shared" si="2"/>
        <v>2.8537456634430223E-2</v>
      </c>
      <c r="K18" s="12">
        <f t="shared" si="3"/>
        <v>2.8537456634430223E-2</v>
      </c>
      <c r="L18" s="10">
        <f t="shared" si="4"/>
        <v>257085339249.28439</v>
      </c>
      <c r="M18" s="10">
        <f t="shared" si="5"/>
        <v>1024115.5617989972</v>
      </c>
      <c r="N18" s="10">
        <f t="shared" si="6"/>
        <v>1048812683918.8757</v>
      </c>
      <c r="O18" s="12"/>
      <c r="P18" t="s">
        <v>25</v>
      </c>
      <c r="Q18" s="289">
        <v>-87276046.82821615</v>
      </c>
      <c r="R18" s="289">
        <v>4768383.7345148716</v>
      </c>
      <c r="S18" s="268">
        <v>-18.3030669693146</v>
      </c>
      <c r="T18" s="268">
        <v>1.5729792603562189E-36</v>
      </c>
      <c r="U18" s="289">
        <v>-96717114.767282709</v>
      </c>
      <c r="V18" s="289">
        <v>-77834978.889149591</v>
      </c>
    </row>
    <row r="19" spans="1:22" x14ac:dyDescent="0.2">
      <c r="A19" s="49">
        <v>42155</v>
      </c>
      <c r="B19" s="50">
        <v>15576646</v>
      </c>
      <c r="C19" s="50">
        <f t="shared" si="7"/>
        <v>281.6499978637695</v>
      </c>
      <c r="D19" s="50">
        <f t="shared" si="7"/>
        <v>1.8699999928474427</v>
      </c>
      <c r="E19" s="50">
        <v>31</v>
      </c>
      <c r="F19" s="79">
        <v>1</v>
      </c>
      <c r="G19" s="50">
        <v>11648</v>
      </c>
      <c r="H19" s="50">
        <f t="shared" si="0"/>
        <v>16919115.329805247</v>
      </c>
      <c r="I19" s="33">
        <f t="shared" si="1"/>
        <v>1342469.3298052475</v>
      </c>
      <c r="J19" s="42">
        <f t="shared" si="2"/>
        <v>8.6184749258938514E-2</v>
      </c>
      <c r="K19" s="12">
        <f t="shared" si="3"/>
        <v>8.6184749258938514E-2</v>
      </c>
      <c r="L19" s="10">
        <f t="shared" si="4"/>
        <v>1802223901467.7502</v>
      </c>
      <c r="M19" s="10">
        <f t="shared" si="5"/>
        <v>835433.49354780465</v>
      </c>
      <c r="N19" s="10">
        <f t="shared" si="6"/>
        <v>697949122141.48975</v>
      </c>
      <c r="O19" s="12"/>
      <c r="P19" t="s">
        <v>3</v>
      </c>
      <c r="Q19" s="289">
        <v>10583.202315195767</v>
      </c>
      <c r="R19" s="289">
        <v>340.72046996595094</v>
      </c>
      <c r="S19" s="268">
        <v>31.061245942321499</v>
      </c>
      <c r="T19" s="268">
        <v>3.2834419269806474E-59</v>
      </c>
      <c r="U19" s="289">
        <v>9908.5994970762022</v>
      </c>
      <c r="V19" s="289">
        <v>11257.805133315333</v>
      </c>
    </row>
    <row r="20" spans="1:22" x14ac:dyDescent="0.2">
      <c r="A20" s="49">
        <v>42185</v>
      </c>
      <c r="B20" s="50">
        <v>14364571</v>
      </c>
      <c r="C20" s="50">
        <f t="shared" si="7"/>
        <v>130.39000045776365</v>
      </c>
      <c r="D20" s="50">
        <f t="shared" si="7"/>
        <v>6.5900000768899911</v>
      </c>
      <c r="E20" s="50">
        <v>30</v>
      </c>
      <c r="F20" s="79">
        <v>0</v>
      </c>
      <c r="G20" s="50">
        <v>11644</v>
      </c>
      <c r="H20" s="50">
        <f t="shared" si="0"/>
        <v>15536226.860542655</v>
      </c>
      <c r="I20" s="33">
        <f t="shared" si="1"/>
        <v>1171655.860542655</v>
      </c>
      <c r="J20" s="42">
        <f t="shared" si="2"/>
        <v>8.1565670185531819E-2</v>
      </c>
      <c r="K20" s="12">
        <f t="shared" si="3"/>
        <v>8.1565670185531819E-2</v>
      </c>
      <c r="L20" s="10">
        <f t="shared" si="4"/>
        <v>1372777455543.9495</v>
      </c>
      <c r="M20" s="10">
        <f t="shared" si="5"/>
        <v>-170813.46926259249</v>
      </c>
      <c r="N20" s="10">
        <f t="shared" si="6"/>
        <v>29177241281.522633</v>
      </c>
      <c r="O20" s="12"/>
      <c r="P20" t="s">
        <v>4</v>
      </c>
      <c r="Q20" s="289">
        <v>24651.610922839776</v>
      </c>
      <c r="R20" s="289">
        <v>9635.7756690481037</v>
      </c>
      <c r="S20" s="268">
        <v>2.5583421376262749</v>
      </c>
      <c r="T20" s="268">
        <v>1.1761470259307134E-2</v>
      </c>
      <c r="U20" s="289">
        <v>5573.445699137832</v>
      </c>
      <c r="V20" s="289">
        <v>43729.776146541721</v>
      </c>
    </row>
    <row r="21" spans="1:22" x14ac:dyDescent="0.2">
      <c r="A21" s="49">
        <v>42216</v>
      </c>
      <c r="B21" s="50">
        <v>15194721</v>
      </c>
      <c r="C21" s="50">
        <f t="shared" si="7"/>
        <v>59.829999809265146</v>
      </c>
      <c r="D21" s="50">
        <f t="shared" si="7"/>
        <v>18.570000028610231</v>
      </c>
      <c r="E21" s="50">
        <v>31</v>
      </c>
      <c r="F21" s="79">
        <v>0</v>
      </c>
      <c r="G21" s="50">
        <v>11652</v>
      </c>
      <c r="H21" s="50">
        <f t="shared" si="0"/>
        <v>15851714.960949935</v>
      </c>
      <c r="I21" s="33">
        <f t="shared" si="1"/>
        <v>656993.96094993502</v>
      </c>
      <c r="J21" s="42">
        <f t="shared" si="2"/>
        <v>4.3238303681254496E-2</v>
      </c>
      <c r="K21" s="12">
        <f t="shared" si="3"/>
        <v>4.3238303681254496E-2</v>
      </c>
      <c r="L21" s="10">
        <f t="shared" si="4"/>
        <v>431641064724.68475</v>
      </c>
      <c r="M21" s="10">
        <f t="shared" si="5"/>
        <v>-514661.89959271997</v>
      </c>
      <c r="N21" s="10">
        <f t="shared" si="6"/>
        <v>264876870892.38696</v>
      </c>
      <c r="O21" s="12"/>
      <c r="P21" t="s">
        <v>73</v>
      </c>
      <c r="Q21" s="289">
        <v>712010.77691388875</v>
      </c>
      <c r="R21" s="289">
        <v>105728.88782322183</v>
      </c>
      <c r="S21" s="268">
        <v>6.7343068821868934</v>
      </c>
      <c r="T21" s="268">
        <v>6.0238475901268296E-10</v>
      </c>
      <c r="U21" s="289">
        <v>502674.93721714115</v>
      </c>
      <c r="V21" s="289">
        <v>921346.61661063635</v>
      </c>
    </row>
    <row r="22" spans="1:22" x14ac:dyDescent="0.2">
      <c r="A22" s="49">
        <v>42247</v>
      </c>
      <c r="B22" s="50">
        <v>15927099</v>
      </c>
      <c r="C22" s="50">
        <f t="shared" si="7"/>
        <v>54.610000228881837</v>
      </c>
      <c r="D22" s="50">
        <f t="shared" si="7"/>
        <v>20.229999904632567</v>
      </c>
      <c r="E22" s="50">
        <v>31</v>
      </c>
      <c r="F22" s="79">
        <v>0</v>
      </c>
      <c r="G22" s="50">
        <v>11654</v>
      </c>
      <c r="H22" s="50">
        <f t="shared" si="0"/>
        <v>15851117.767393984</v>
      </c>
      <c r="I22" s="33">
        <f t="shared" si="1"/>
        <v>-75981.232606016099</v>
      </c>
      <c r="J22" s="42">
        <f t="shared" si="2"/>
        <v>-4.7705632146831075E-3</v>
      </c>
      <c r="K22" s="12">
        <f t="shared" si="3"/>
        <v>4.7705632146831075E-3</v>
      </c>
      <c r="L22" s="10">
        <f t="shared" si="4"/>
        <v>5773147708.329524</v>
      </c>
      <c r="M22" s="10">
        <f t="shared" si="5"/>
        <v>-732975.19355595112</v>
      </c>
      <c r="N22" s="10">
        <f t="shared" si="6"/>
        <v>537252634368.38403</v>
      </c>
      <c r="O22" s="12"/>
      <c r="P22" t="s">
        <v>14</v>
      </c>
      <c r="Q22" s="289">
        <v>-841032.75079312653</v>
      </c>
      <c r="R22" s="289">
        <v>178658.50671462683</v>
      </c>
      <c r="S22" s="268">
        <v>-4.7074878563522153</v>
      </c>
      <c r="T22" s="268">
        <v>6.7868726722928796E-6</v>
      </c>
      <c r="U22" s="289">
        <v>-1194764.1603640416</v>
      </c>
      <c r="V22" s="289">
        <v>-487301.34122221137</v>
      </c>
    </row>
    <row r="23" spans="1:22" ht="13.5" thickBot="1" x14ac:dyDescent="0.25">
      <c r="A23" s="49">
        <v>42277</v>
      </c>
      <c r="B23" s="50">
        <v>15311739</v>
      </c>
      <c r="C23" s="50">
        <f t="shared" si="7"/>
        <v>138.35999923706055</v>
      </c>
      <c r="D23" s="50">
        <f t="shared" si="7"/>
        <v>12.289999902248381</v>
      </c>
      <c r="E23" s="50">
        <v>30</v>
      </c>
      <c r="F23" s="79">
        <v>1</v>
      </c>
      <c r="G23" s="50">
        <v>11658</v>
      </c>
      <c r="H23" s="50">
        <f t="shared" si="0"/>
        <v>15016134.526327536</v>
      </c>
      <c r="I23" s="33">
        <f t="shared" si="1"/>
        <v>-295604.47367246449</v>
      </c>
      <c r="J23" s="42">
        <f t="shared" si="2"/>
        <v>-1.9305741410068737E-2</v>
      </c>
      <c r="K23" s="12">
        <f t="shared" si="3"/>
        <v>1.9305741410068737E-2</v>
      </c>
      <c r="L23" s="10">
        <f t="shared" si="4"/>
        <v>87382004855.174759</v>
      </c>
      <c r="M23" s="10">
        <f t="shared" si="5"/>
        <v>-219623.24106644839</v>
      </c>
      <c r="N23" s="10">
        <f t="shared" si="6"/>
        <v>48234368016.531303</v>
      </c>
      <c r="O23" s="12"/>
      <c r="P23" s="265" t="s">
        <v>85</v>
      </c>
      <c r="Q23" s="291">
        <v>6862.7235064189435</v>
      </c>
      <c r="R23" s="291">
        <v>295.82340200528387</v>
      </c>
      <c r="S23" s="290">
        <v>23.198717410113364</v>
      </c>
      <c r="T23" s="290">
        <v>3.5853989559864063E-46</v>
      </c>
      <c r="U23" s="291">
        <v>6277.0137582537564</v>
      </c>
      <c r="V23" s="291">
        <v>7448.4332545841307</v>
      </c>
    </row>
    <row r="24" spans="1:22" x14ac:dyDescent="0.2">
      <c r="A24" s="49">
        <v>42308</v>
      </c>
      <c r="B24" s="50">
        <v>15644030</v>
      </c>
      <c r="C24" s="50">
        <f t="shared" si="7"/>
        <v>339.42999877929685</v>
      </c>
      <c r="D24" s="50">
        <f t="shared" si="7"/>
        <v>0.62999999761581427</v>
      </c>
      <c r="E24" s="50">
        <v>31</v>
      </c>
      <c r="F24" s="79">
        <v>1</v>
      </c>
      <c r="G24" s="50">
        <v>11660</v>
      </c>
      <c r="H24" s="50">
        <f t="shared" si="0"/>
        <v>17582397.453916721</v>
      </c>
      <c r="I24" s="33">
        <f t="shared" si="1"/>
        <v>1938367.453916721</v>
      </c>
      <c r="J24" s="42">
        <f t="shared" si="2"/>
        <v>0.1239046111466624</v>
      </c>
      <c r="K24" s="12">
        <f t="shared" si="3"/>
        <v>0.1239046111466624</v>
      </c>
      <c r="L24" s="10">
        <f t="shared" si="4"/>
        <v>3757268386403.5918</v>
      </c>
      <c r="M24" s="10">
        <f t="shared" si="5"/>
        <v>2233971.9275891855</v>
      </c>
      <c r="N24" s="10">
        <f t="shared" si="6"/>
        <v>4990630573256.541</v>
      </c>
      <c r="O24" s="12"/>
      <c r="P24" s="44"/>
    </row>
    <row r="25" spans="1:22" x14ac:dyDescent="0.2">
      <c r="A25" s="49">
        <v>42338</v>
      </c>
      <c r="B25" s="50">
        <v>17358760</v>
      </c>
      <c r="C25" s="50">
        <f t="shared" si="7"/>
        <v>540.9299945068359</v>
      </c>
      <c r="D25" s="50">
        <f t="shared" si="7"/>
        <v>0</v>
      </c>
      <c r="E25" s="50">
        <v>30</v>
      </c>
      <c r="F25" s="79">
        <v>0</v>
      </c>
      <c r="G25" s="50">
        <v>11660</v>
      </c>
      <c r="H25" s="50">
        <f t="shared" si="0"/>
        <v>19828404.134268984</v>
      </c>
      <c r="I25" s="33">
        <f t="shared" si="1"/>
        <v>2469644.1342689842</v>
      </c>
      <c r="J25" s="42">
        <f t="shared" si="2"/>
        <v>0.14227076901051597</v>
      </c>
      <c r="K25" s="12">
        <f t="shared" si="3"/>
        <v>0.14227076901051597</v>
      </c>
      <c r="L25" s="10">
        <f t="shared" si="4"/>
        <v>6099142149929.2002</v>
      </c>
      <c r="M25" s="10">
        <f t="shared" si="5"/>
        <v>531276.68035226315</v>
      </c>
      <c r="N25" s="10">
        <f t="shared" si="6"/>
        <v>282254911086.12079</v>
      </c>
      <c r="O25" s="12"/>
      <c r="P25" s="44" t="s">
        <v>220</v>
      </c>
      <c r="Q25" s="247">
        <f>K129</f>
        <v>5.2130577373312295E-2</v>
      </c>
    </row>
    <row r="26" spans="1:22" x14ac:dyDescent="0.2">
      <c r="A26" s="49">
        <v>42369</v>
      </c>
      <c r="B26" s="50">
        <v>19854052</v>
      </c>
      <c r="C26" s="50">
        <f t="shared" si="7"/>
        <v>720.40000244140617</v>
      </c>
      <c r="D26" s="50">
        <f t="shared" si="7"/>
        <v>0</v>
      </c>
      <c r="E26" s="50">
        <v>31</v>
      </c>
      <c r="F26" s="79">
        <v>0</v>
      </c>
      <c r="G26" s="50">
        <v>11660</v>
      </c>
      <c r="H26" s="50">
        <f t="shared" si="0"/>
        <v>22439782.314664207</v>
      </c>
      <c r="I26" s="33">
        <f t="shared" si="1"/>
        <v>2585730.3146642074</v>
      </c>
      <c r="J26" s="42">
        <f t="shared" si="2"/>
        <v>0.13023690653495856</v>
      </c>
      <c r="K26" s="12">
        <f t="shared" si="3"/>
        <v>0.13023690653495856</v>
      </c>
      <c r="L26" s="10">
        <f t="shared" si="4"/>
        <v>6686001260173.4609</v>
      </c>
      <c r="M26" s="10">
        <f t="shared" si="5"/>
        <v>116086.1803952232</v>
      </c>
      <c r="N26" s="10">
        <f t="shared" si="6"/>
        <v>13476001278.752304</v>
      </c>
      <c r="O26" s="12"/>
    </row>
    <row r="27" spans="1:22" x14ac:dyDescent="0.2">
      <c r="A27" s="49">
        <v>42400</v>
      </c>
      <c r="B27" s="50">
        <v>22812626</v>
      </c>
      <c r="C27" s="50">
        <f t="shared" si="7"/>
        <v>879.2500061035156</v>
      </c>
      <c r="D27" s="50">
        <f t="shared" si="7"/>
        <v>0</v>
      </c>
      <c r="E27" s="50">
        <v>31</v>
      </c>
      <c r="F27" s="79">
        <v>0</v>
      </c>
      <c r="G27" s="50">
        <v>11673</v>
      </c>
      <c r="H27" s="50">
        <f t="shared" si="0"/>
        <v>24210139.446773343</v>
      </c>
      <c r="I27" s="33">
        <f t="shared" si="1"/>
        <v>1397513.4467733428</v>
      </c>
      <c r="J27" s="42">
        <f t="shared" si="2"/>
        <v>6.1260525060698526E-2</v>
      </c>
      <c r="K27" s="12">
        <f t="shared" si="3"/>
        <v>6.1260525060698526E-2</v>
      </c>
      <c r="L27" s="10">
        <f t="shared" si="4"/>
        <v>1953043833912.3088</v>
      </c>
      <c r="M27" s="10">
        <f t="shared" si="5"/>
        <v>-1188216.8678908646</v>
      </c>
      <c r="N27" s="10">
        <f t="shared" si="6"/>
        <v>1411859325140.3765</v>
      </c>
      <c r="P27" t="s">
        <v>177</v>
      </c>
      <c r="Q27" s="240">
        <f>N129</f>
        <v>133519565109132.06</v>
      </c>
    </row>
    <row r="28" spans="1:22" x14ac:dyDescent="0.2">
      <c r="A28" s="49">
        <v>42429</v>
      </c>
      <c r="B28" s="50">
        <v>20613292</v>
      </c>
      <c r="C28" s="50">
        <f t="shared" si="7"/>
        <v>817.92000366210937</v>
      </c>
      <c r="D28" s="50">
        <f t="shared" si="7"/>
        <v>0</v>
      </c>
      <c r="E28" s="50">
        <v>29</v>
      </c>
      <c r="F28" s="79">
        <v>0</v>
      </c>
      <c r="G28" s="50">
        <v>11668</v>
      </c>
      <c r="H28" s="50">
        <f t="shared" si="0"/>
        <v>22102736.45158463</v>
      </c>
      <c r="I28" s="33">
        <f t="shared" si="1"/>
        <v>1489444.4515846297</v>
      </c>
      <c r="J28" s="42">
        <f t="shared" si="2"/>
        <v>7.2256505733515525E-2</v>
      </c>
      <c r="K28" s="12">
        <f t="shared" si="3"/>
        <v>7.2256505733515525E-2</v>
      </c>
      <c r="L28" s="10">
        <f t="shared" si="4"/>
        <v>2218444774356.2383</v>
      </c>
      <c r="M28" s="10">
        <f t="shared" si="5"/>
        <v>91931.004811286926</v>
      </c>
      <c r="N28" s="10">
        <f t="shared" si="6"/>
        <v>8451309645.6128597</v>
      </c>
      <c r="P28" t="s">
        <v>174</v>
      </c>
      <c r="Q28" s="240">
        <f>L129</f>
        <v>206234143519215</v>
      </c>
    </row>
    <row r="29" spans="1:22" x14ac:dyDescent="0.2">
      <c r="A29" s="49">
        <v>42460</v>
      </c>
      <c r="B29" s="50">
        <v>19595000</v>
      </c>
      <c r="C29" s="50">
        <f t="shared" si="7"/>
        <v>711.95999877929694</v>
      </c>
      <c r="D29" s="50">
        <f t="shared" si="7"/>
        <v>0</v>
      </c>
      <c r="E29" s="50">
        <v>31</v>
      </c>
      <c r="F29" s="79">
        <v>1</v>
      </c>
      <c r="G29" s="50">
        <v>11670</v>
      </c>
      <c r="H29" s="50">
        <f t="shared" si="0"/>
        <v>21578054.53263817</v>
      </c>
      <c r="I29" s="33">
        <f t="shared" si="1"/>
        <v>1983054.5326381698</v>
      </c>
      <c r="J29" s="42">
        <f t="shared" si="2"/>
        <v>0.10120206851942688</v>
      </c>
      <c r="K29" s="12">
        <f t="shared" si="3"/>
        <v>0.10120206851942688</v>
      </c>
      <c r="L29" s="10">
        <f t="shared" si="4"/>
        <v>3932505279416.79</v>
      </c>
      <c r="M29" s="10">
        <f t="shared" si="5"/>
        <v>493610.08105354011</v>
      </c>
      <c r="N29" s="10">
        <f t="shared" si="6"/>
        <v>243650912117.68243</v>
      </c>
    </row>
    <row r="30" spans="1:22" x14ac:dyDescent="0.2">
      <c r="A30" s="49">
        <v>42490</v>
      </c>
      <c r="B30" s="50">
        <v>17806355</v>
      </c>
      <c r="C30" s="50">
        <f t="shared" si="7"/>
        <v>491.72000366210932</v>
      </c>
      <c r="D30" s="50">
        <f t="shared" si="7"/>
        <v>0</v>
      </c>
      <c r="E30" s="50">
        <v>30</v>
      </c>
      <c r="F30" s="79">
        <v>1</v>
      </c>
      <c r="G30" s="50">
        <v>11669</v>
      </c>
      <c r="H30" s="50">
        <f t="shared" si="0"/>
        <v>18528336.60599494</v>
      </c>
      <c r="I30" s="33">
        <f t="shared" si="1"/>
        <v>721981.6059949398</v>
      </c>
      <c r="J30" s="42">
        <f t="shared" si="2"/>
        <v>4.0546288445610562E-2</v>
      </c>
      <c r="K30" s="12">
        <f t="shared" si="3"/>
        <v>4.0546288445610562E-2</v>
      </c>
      <c r="L30" s="10">
        <f t="shared" si="4"/>
        <v>521257439395.03247</v>
      </c>
      <c r="M30" s="10">
        <f t="shared" si="5"/>
        <v>-1261072.92664323</v>
      </c>
      <c r="N30" s="10">
        <f t="shared" si="6"/>
        <v>1590304926312.5215</v>
      </c>
      <c r="P30" t="s">
        <v>178</v>
      </c>
      <c r="Q30" s="246">
        <f>Q27/Q28</f>
        <v>0.64741736179437204</v>
      </c>
    </row>
    <row r="31" spans="1:22" x14ac:dyDescent="0.2">
      <c r="A31" s="49">
        <v>42521</v>
      </c>
      <c r="B31" s="50">
        <v>15620269</v>
      </c>
      <c r="C31" s="50">
        <f t="shared" si="7"/>
        <v>281.6499978637695</v>
      </c>
      <c r="D31" s="50">
        <f t="shared" si="7"/>
        <v>1.8699999928474427</v>
      </c>
      <c r="E31" s="50">
        <v>31</v>
      </c>
      <c r="F31" s="79">
        <v>1</v>
      </c>
      <c r="G31" s="50">
        <v>11671</v>
      </c>
      <c r="H31" s="50">
        <f t="shared" si="0"/>
        <v>17076957.970452882</v>
      </c>
      <c r="I31" s="33">
        <f t="shared" si="1"/>
        <v>1456688.9704528823</v>
      </c>
      <c r="J31" s="42">
        <f t="shared" si="2"/>
        <v>9.3256330633799095E-2</v>
      </c>
      <c r="K31" s="12">
        <f t="shared" si="3"/>
        <v>9.3256330633799095E-2</v>
      </c>
      <c r="L31" s="10">
        <f t="shared" si="4"/>
        <v>2121942756639.0784</v>
      </c>
      <c r="M31" s="10">
        <f t="shared" si="5"/>
        <v>734707.36445794255</v>
      </c>
      <c r="N31" s="10">
        <f t="shared" si="6"/>
        <v>539794911388.73602</v>
      </c>
    </row>
    <row r="32" spans="1:22" x14ac:dyDescent="0.2">
      <c r="A32" s="49">
        <v>42551</v>
      </c>
      <c r="B32" s="50">
        <v>15053727</v>
      </c>
      <c r="C32" s="50">
        <f t="shared" si="7"/>
        <v>130.39000045776365</v>
      </c>
      <c r="D32" s="50">
        <f t="shared" si="7"/>
        <v>6.5900000768899911</v>
      </c>
      <c r="E32" s="50">
        <v>30</v>
      </c>
      <c r="F32" s="79">
        <v>0</v>
      </c>
      <c r="G32" s="50">
        <v>11665</v>
      </c>
      <c r="H32" s="50">
        <f t="shared" si="0"/>
        <v>15680344.054177448</v>
      </c>
      <c r="I32" s="33">
        <f t="shared" si="1"/>
        <v>626617.05417744815</v>
      </c>
      <c r="J32" s="42">
        <f t="shared" si="2"/>
        <v>4.1625376504931179E-2</v>
      </c>
      <c r="K32" s="12">
        <f t="shared" si="3"/>
        <v>4.1625376504931179E-2</v>
      </c>
      <c r="L32" s="10">
        <f t="shared" si="4"/>
        <v>392648932586.02301</v>
      </c>
      <c r="M32" s="10">
        <f t="shared" si="5"/>
        <v>-830071.9162754342</v>
      </c>
      <c r="N32" s="10">
        <f t="shared" si="6"/>
        <v>689019386189.17139</v>
      </c>
    </row>
    <row r="33" spans="1:15" x14ac:dyDescent="0.2">
      <c r="A33" s="49">
        <v>42582</v>
      </c>
      <c r="B33" s="50">
        <v>15175029</v>
      </c>
      <c r="C33" s="50">
        <f t="shared" si="7"/>
        <v>59.829999809265146</v>
      </c>
      <c r="D33" s="50">
        <f t="shared" si="7"/>
        <v>18.570000028610231</v>
      </c>
      <c r="E33" s="50">
        <v>31</v>
      </c>
      <c r="F33" s="79">
        <v>0</v>
      </c>
      <c r="G33" s="50">
        <v>11670</v>
      </c>
      <c r="H33" s="50">
        <f t="shared" si="0"/>
        <v>15975243.984065466</v>
      </c>
      <c r="I33" s="33">
        <f t="shared" si="1"/>
        <v>800214.98406546563</v>
      </c>
      <c r="J33" s="42">
        <f t="shared" si="2"/>
        <v>5.2732352871646286E-2</v>
      </c>
      <c r="K33" s="12">
        <f t="shared" si="3"/>
        <v>5.2732352871646286E-2</v>
      </c>
      <c r="L33" s="10">
        <f t="shared" si="4"/>
        <v>640344020722.89343</v>
      </c>
      <c r="M33" s="10">
        <f t="shared" si="5"/>
        <v>173597.92988801748</v>
      </c>
      <c r="N33" s="10">
        <f t="shared" si="6"/>
        <v>30136241261.405029</v>
      </c>
      <c r="O33"/>
    </row>
    <row r="34" spans="1:15" x14ac:dyDescent="0.2">
      <c r="A34" s="49">
        <v>42613</v>
      </c>
      <c r="B34" s="50">
        <v>14040928</v>
      </c>
      <c r="C34" s="50">
        <f t="shared" si="7"/>
        <v>54.610000228881837</v>
      </c>
      <c r="D34" s="50">
        <f t="shared" si="7"/>
        <v>20.229999904632567</v>
      </c>
      <c r="E34" s="50">
        <v>31</v>
      </c>
      <c r="F34" s="79">
        <v>0</v>
      </c>
      <c r="G34" s="50">
        <v>11677</v>
      </c>
      <c r="H34" s="50">
        <f t="shared" si="0"/>
        <v>16008960.408041619</v>
      </c>
      <c r="I34" s="33">
        <f t="shared" si="1"/>
        <v>1968032.4080416188</v>
      </c>
      <c r="J34" s="42">
        <f t="shared" si="2"/>
        <v>0.14016398403592831</v>
      </c>
      <c r="K34" s="12">
        <f t="shared" si="3"/>
        <v>0.14016398403592831</v>
      </c>
      <c r="L34" s="10">
        <f t="shared" si="4"/>
        <v>3873151559102.0928</v>
      </c>
      <c r="M34" s="10">
        <f t="shared" si="5"/>
        <v>1167817.4239761531</v>
      </c>
      <c r="N34" s="10">
        <f t="shared" si="6"/>
        <v>1363797535742.2981</v>
      </c>
      <c r="O34"/>
    </row>
    <row r="35" spans="1:15" x14ac:dyDescent="0.2">
      <c r="A35" s="49">
        <v>42643</v>
      </c>
      <c r="B35" s="50">
        <v>14592632</v>
      </c>
      <c r="C35" s="50">
        <f t="shared" si="7"/>
        <v>138.35999923706055</v>
      </c>
      <c r="D35" s="50">
        <f t="shared" si="7"/>
        <v>12.289999902248381</v>
      </c>
      <c r="E35" s="50">
        <v>30</v>
      </c>
      <c r="F35" s="79">
        <v>1</v>
      </c>
      <c r="G35" s="50">
        <v>11679</v>
      </c>
      <c r="H35" s="50">
        <f t="shared" si="0"/>
        <v>15160251.719962329</v>
      </c>
      <c r="I35" s="33">
        <f t="shared" si="1"/>
        <v>567619.71996232867</v>
      </c>
      <c r="J35" s="42">
        <f t="shared" si="2"/>
        <v>3.8897693024968261E-2</v>
      </c>
      <c r="K35" s="12">
        <f t="shared" si="3"/>
        <v>3.8897693024968261E-2</v>
      </c>
      <c r="L35" s="10">
        <f t="shared" si="4"/>
        <v>322192146490.11243</v>
      </c>
      <c r="M35" s="10">
        <f t="shared" si="5"/>
        <v>-1400412.6880792901</v>
      </c>
      <c r="N35" s="10">
        <f t="shared" si="6"/>
        <v>1961155696933.4631</v>
      </c>
      <c r="O35"/>
    </row>
    <row r="36" spans="1:15" x14ac:dyDescent="0.2">
      <c r="A36" s="49">
        <v>42674</v>
      </c>
      <c r="B36" s="50">
        <v>16660127</v>
      </c>
      <c r="C36" s="50">
        <f t="shared" si="7"/>
        <v>339.42999877929685</v>
      </c>
      <c r="D36" s="50">
        <f t="shared" si="7"/>
        <v>0.62999999761581427</v>
      </c>
      <c r="E36" s="50">
        <v>31</v>
      </c>
      <c r="F36" s="79">
        <v>1</v>
      </c>
      <c r="G36" s="50">
        <v>11680</v>
      </c>
      <c r="H36" s="50">
        <f t="shared" si="0"/>
        <v>17719651.924045093</v>
      </c>
      <c r="I36" s="33">
        <f t="shared" si="1"/>
        <v>1059524.9240450934</v>
      </c>
      <c r="J36" s="42">
        <f t="shared" si="2"/>
        <v>6.3596449417528053E-2</v>
      </c>
      <c r="K36" s="12">
        <f t="shared" si="3"/>
        <v>6.3596449417528053E-2</v>
      </c>
      <c r="L36" s="10">
        <f t="shared" si="4"/>
        <v>1122593064672.7607</v>
      </c>
      <c r="M36" s="10">
        <f t="shared" si="5"/>
        <v>491905.20408276469</v>
      </c>
      <c r="N36" s="10">
        <f t="shared" si="6"/>
        <v>241970729803.70636</v>
      </c>
      <c r="O36"/>
    </row>
    <row r="37" spans="1:15" x14ac:dyDescent="0.2">
      <c r="A37" s="49">
        <v>42704</v>
      </c>
      <c r="B37" s="50">
        <v>17571648</v>
      </c>
      <c r="C37" s="50">
        <f t="shared" si="7"/>
        <v>540.9299945068359</v>
      </c>
      <c r="D37" s="50">
        <f t="shared" si="7"/>
        <v>0</v>
      </c>
      <c r="E37" s="50">
        <v>30</v>
      </c>
      <c r="F37" s="79">
        <v>0</v>
      </c>
      <c r="G37" s="50">
        <v>11694</v>
      </c>
      <c r="H37" s="50">
        <f t="shared" si="0"/>
        <v>20061736.733487219</v>
      </c>
      <c r="I37" s="33">
        <f t="shared" si="1"/>
        <v>2490088.7334872186</v>
      </c>
      <c r="J37" s="42">
        <f t="shared" si="2"/>
        <v>0.14171059729213895</v>
      </c>
      <c r="K37" s="12">
        <f t="shared" si="3"/>
        <v>0.14171059729213895</v>
      </c>
      <c r="L37" s="10">
        <f t="shared" si="4"/>
        <v>6200541900639.9805</v>
      </c>
      <c r="M37" s="10">
        <f t="shared" si="5"/>
        <v>1430563.8094421253</v>
      </c>
      <c r="N37" s="10">
        <f t="shared" si="6"/>
        <v>2046512812885.5652</v>
      </c>
      <c r="O37"/>
    </row>
    <row r="38" spans="1:15" x14ac:dyDescent="0.2">
      <c r="A38" s="49">
        <v>42735</v>
      </c>
      <c r="B38" s="50">
        <v>21508613</v>
      </c>
      <c r="C38" s="50">
        <f t="shared" si="7"/>
        <v>720.40000244140617</v>
      </c>
      <c r="D38" s="50">
        <f t="shared" si="7"/>
        <v>0</v>
      </c>
      <c r="E38" s="50">
        <v>31</v>
      </c>
      <c r="F38" s="79">
        <v>0</v>
      </c>
      <c r="G38" s="50">
        <v>11707</v>
      </c>
      <c r="H38" s="50">
        <f t="shared" si="0"/>
        <v>22762330.319465898</v>
      </c>
      <c r="I38" s="33">
        <f t="shared" si="1"/>
        <v>1253717.319465898</v>
      </c>
      <c r="J38" s="42">
        <f t="shared" si="2"/>
        <v>5.8289082585934203E-2</v>
      </c>
      <c r="K38" s="12">
        <f t="shared" si="3"/>
        <v>5.8289082585934203E-2</v>
      </c>
      <c r="L38" s="10">
        <f t="shared" si="4"/>
        <v>1571807117128.7566</v>
      </c>
      <c r="M38" s="10">
        <f t="shared" si="5"/>
        <v>-1236371.4140213206</v>
      </c>
      <c r="N38" s="10">
        <f t="shared" si="6"/>
        <v>1528614273409.0798</v>
      </c>
      <c r="O38"/>
    </row>
    <row r="39" spans="1:15" x14ac:dyDescent="0.2">
      <c r="A39" s="49">
        <v>42766</v>
      </c>
      <c r="B39" s="50">
        <v>21467580.559999999</v>
      </c>
      <c r="C39" s="50">
        <f t="shared" si="7"/>
        <v>879.2500061035156</v>
      </c>
      <c r="D39" s="50">
        <f t="shared" si="7"/>
        <v>0</v>
      </c>
      <c r="E39" s="50">
        <v>31</v>
      </c>
      <c r="F39" s="79">
        <v>0</v>
      </c>
      <c r="G39" s="50">
        <v>11705</v>
      </c>
      <c r="H39" s="50">
        <f t="shared" si="0"/>
        <v>24429746.59897875</v>
      </c>
      <c r="I39" s="33">
        <f t="shared" si="1"/>
        <v>2962166.0389787517</v>
      </c>
      <c r="J39" s="42">
        <f t="shared" si="2"/>
        <v>0.13798322688016743</v>
      </c>
      <c r="K39" s="12">
        <f t="shared" si="3"/>
        <v>0.13798322688016743</v>
      </c>
      <c r="L39" s="10">
        <f t="shared" si="4"/>
        <v>8774427642479.0674</v>
      </c>
      <c r="M39" s="10">
        <f t="shared" si="5"/>
        <v>1708448.7195128538</v>
      </c>
      <c r="N39" s="10">
        <f t="shared" si="6"/>
        <v>2918797027205.1099</v>
      </c>
      <c r="O39"/>
    </row>
    <row r="40" spans="1:15" x14ac:dyDescent="0.2">
      <c r="A40" s="49">
        <v>42794</v>
      </c>
      <c r="B40" s="50">
        <v>19505516.77</v>
      </c>
      <c r="C40" s="50">
        <f t="shared" si="7"/>
        <v>817.92000366210937</v>
      </c>
      <c r="D40" s="50">
        <f t="shared" si="7"/>
        <v>0</v>
      </c>
      <c r="E40" s="50">
        <v>28</v>
      </c>
      <c r="F40" s="79">
        <v>0</v>
      </c>
      <c r="G40" s="50">
        <v>11705</v>
      </c>
      <c r="H40" s="50">
        <f t="shared" si="0"/>
        <v>21644646.444408238</v>
      </c>
      <c r="I40" s="33">
        <f t="shared" si="1"/>
        <v>2139129.6744082384</v>
      </c>
      <c r="J40" s="42">
        <f t="shared" si="2"/>
        <v>0.10966793136689802</v>
      </c>
      <c r="K40" s="12">
        <f t="shared" si="3"/>
        <v>0.10966793136689802</v>
      </c>
      <c r="L40" s="10">
        <f t="shared" si="4"/>
        <v>4575875763933.8955</v>
      </c>
      <c r="M40" s="10">
        <f t="shared" si="5"/>
        <v>-823036.36457051337</v>
      </c>
      <c r="N40" s="10">
        <f t="shared" si="6"/>
        <v>677388857405.44702</v>
      </c>
      <c r="O40"/>
    </row>
    <row r="41" spans="1:15" x14ac:dyDescent="0.2">
      <c r="A41" s="49">
        <v>42825</v>
      </c>
      <c r="B41" s="50">
        <v>21065920</v>
      </c>
      <c r="C41" s="50">
        <f t="shared" si="7"/>
        <v>711.95999877929694</v>
      </c>
      <c r="D41" s="50">
        <f t="shared" si="7"/>
        <v>0</v>
      </c>
      <c r="E41" s="50">
        <v>31</v>
      </c>
      <c r="F41" s="79">
        <v>1</v>
      </c>
      <c r="G41" s="50">
        <v>11705</v>
      </c>
      <c r="H41" s="50">
        <f t="shared" si="0"/>
        <v>21818249.85536284</v>
      </c>
      <c r="I41" s="33">
        <f t="shared" si="1"/>
        <v>752329.85536284</v>
      </c>
      <c r="J41" s="42">
        <f t="shared" si="2"/>
        <v>3.5713126004600797E-2</v>
      </c>
      <c r="K41" s="12">
        <f t="shared" si="3"/>
        <v>3.5713126004600797E-2</v>
      </c>
      <c r="L41" s="10">
        <f t="shared" si="4"/>
        <v>566000211270.27173</v>
      </c>
      <c r="M41" s="10">
        <f t="shared" si="5"/>
        <v>-1386799.8190453984</v>
      </c>
      <c r="N41" s="10">
        <f t="shared" si="6"/>
        <v>1923213738104.3496</v>
      </c>
      <c r="O41"/>
    </row>
    <row r="42" spans="1:15" x14ac:dyDescent="0.2">
      <c r="A42" s="49">
        <v>42855</v>
      </c>
      <c r="B42" s="50">
        <v>17169201</v>
      </c>
      <c r="C42" s="50">
        <f t="shared" si="7"/>
        <v>491.72000366210932</v>
      </c>
      <c r="D42" s="50">
        <f t="shared" si="7"/>
        <v>0</v>
      </c>
      <c r="E42" s="50">
        <v>30</v>
      </c>
      <c r="F42" s="79">
        <v>1</v>
      </c>
      <c r="G42" s="50">
        <v>11706</v>
      </c>
      <c r="H42" s="50">
        <f t="shared" si="0"/>
        <v>18782257.375732452</v>
      </c>
      <c r="I42" s="33">
        <f t="shared" si="1"/>
        <v>1613056.3757324517</v>
      </c>
      <c r="J42" s="42">
        <f t="shared" si="2"/>
        <v>9.3950579047472949E-2</v>
      </c>
      <c r="K42" s="12">
        <f t="shared" si="3"/>
        <v>9.3950579047472949E-2</v>
      </c>
      <c r="L42" s="10">
        <f t="shared" si="4"/>
        <v>2601950871291.1123</v>
      </c>
      <c r="M42" s="10">
        <f t="shared" si="5"/>
        <v>860726.52036961168</v>
      </c>
      <c r="N42" s="10">
        <f t="shared" si="6"/>
        <v>740850142867.57959</v>
      </c>
      <c r="O42"/>
    </row>
    <row r="43" spans="1:15" x14ac:dyDescent="0.2">
      <c r="A43" s="49">
        <v>42886</v>
      </c>
      <c r="B43" s="50">
        <v>16857588.595495854</v>
      </c>
      <c r="C43" s="50">
        <f t="shared" si="7"/>
        <v>281.6499978637695</v>
      </c>
      <c r="D43" s="50">
        <f t="shared" si="7"/>
        <v>1.8699999928474427</v>
      </c>
      <c r="E43" s="50">
        <v>31</v>
      </c>
      <c r="F43" s="79">
        <v>1</v>
      </c>
      <c r="G43" s="50">
        <v>11687</v>
      </c>
      <c r="H43" s="50">
        <f t="shared" si="0"/>
        <v>17186761.546555586</v>
      </c>
      <c r="I43" s="33">
        <f t="shared" si="1"/>
        <v>329172.95105973259</v>
      </c>
      <c r="J43" s="42">
        <f t="shared" si="2"/>
        <v>1.9526692634300239E-2</v>
      </c>
      <c r="K43" s="12">
        <f t="shared" si="3"/>
        <v>1.9526692634300239E-2</v>
      </c>
      <c r="L43" s="10">
        <f t="shared" si="4"/>
        <v>108354831709.37311</v>
      </c>
      <c r="M43" s="10">
        <f t="shared" si="5"/>
        <v>-1283883.4246727191</v>
      </c>
      <c r="N43" s="10">
        <f t="shared" si="6"/>
        <v>1648356648149.3496</v>
      </c>
      <c r="O43"/>
    </row>
    <row r="44" spans="1:15" x14ac:dyDescent="0.2">
      <c r="A44" s="49">
        <v>42916</v>
      </c>
      <c r="B44" s="50">
        <v>15263333.301115217</v>
      </c>
      <c r="C44" s="50">
        <f t="shared" si="7"/>
        <v>130.39000045776365</v>
      </c>
      <c r="D44" s="50">
        <f t="shared" si="7"/>
        <v>6.5900000768899911</v>
      </c>
      <c r="E44" s="50">
        <v>30</v>
      </c>
      <c r="F44" s="79">
        <v>0</v>
      </c>
      <c r="G44" s="50">
        <v>11681</v>
      </c>
      <c r="H44" s="50">
        <f t="shared" si="0"/>
        <v>15790147.630280152</v>
      </c>
      <c r="I44" s="33">
        <f t="shared" si="1"/>
        <v>526814.32916493528</v>
      </c>
      <c r="J44" s="42">
        <f t="shared" si="2"/>
        <v>3.4515024914409984E-2</v>
      </c>
      <c r="K44" s="12">
        <f t="shared" si="3"/>
        <v>3.4515024914409984E-2</v>
      </c>
      <c r="L44" s="10">
        <f t="shared" si="4"/>
        <v>277533337413.50079</v>
      </c>
      <c r="M44" s="10">
        <f t="shared" si="5"/>
        <v>197641.37810520269</v>
      </c>
      <c r="N44" s="10">
        <f t="shared" si="6"/>
        <v>39062114339.323692</v>
      </c>
      <c r="O44"/>
    </row>
    <row r="45" spans="1:15" x14ac:dyDescent="0.2">
      <c r="A45" s="49">
        <v>42947</v>
      </c>
      <c r="B45" s="50">
        <v>15899251.466712737</v>
      </c>
      <c r="C45" s="50">
        <f t="shared" si="7"/>
        <v>59.829999809265146</v>
      </c>
      <c r="D45" s="50">
        <f t="shared" si="7"/>
        <v>18.570000028610231</v>
      </c>
      <c r="E45" s="50">
        <v>31</v>
      </c>
      <c r="F45" s="79">
        <v>0</v>
      </c>
      <c r="G45" s="50">
        <v>11698</v>
      </c>
      <c r="H45" s="50">
        <f t="shared" si="0"/>
        <v>16167400.242245205</v>
      </c>
      <c r="I45" s="33">
        <f t="shared" si="1"/>
        <v>268148.77553246729</v>
      </c>
      <c r="J45" s="42">
        <f t="shared" si="2"/>
        <v>1.6865496850205403E-2</v>
      </c>
      <c r="K45" s="12">
        <f t="shared" si="3"/>
        <v>1.6865496850205403E-2</v>
      </c>
      <c r="L45" s="10">
        <f t="shared" si="4"/>
        <v>71903765819.561523</v>
      </c>
      <c r="M45" s="10">
        <f t="shared" si="5"/>
        <v>-258665.55363246799</v>
      </c>
      <c r="N45" s="10">
        <f t="shared" si="6"/>
        <v>66907868635.991173</v>
      </c>
      <c r="O45"/>
    </row>
    <row r="46" spans="1:15" x14ac:dyDescent="0.2">
      <c r="A46" s="49">
        <v>42978</v>
      </c>
      <c r="B46" s="50">
        <v>15367347.487313259</v>
      </c>
      <c r="C46" s="50">
        <f t="shared" si="7"/>
        <v>54.610000228881837</v>
      </c>
      <c r="D46" s="50">
        <f t="shared" si="7"/>
        <v>20.229999904632567</v>
      </c>
      <c r="E46" s="50">
        <v>31</v>
      </c>
      <c r="F46" s="79">
        <v>0</v>
      </c>
      <c r="G46" s="50">
        <v>11698</v>
      </c>
      <c r="H46" s="50">
        <f t="shared" si="0"/>
        <v>16153077.601676427</v>
      </c>
      <c r="I46" s="33">
        <f t="shared" si="1"/>
        <v>785730.11436316743</v>
      </c>
      <c r="J46" s="42">
        <f t="shared" si="2"/>
        <v>5.112984625432844E-2</v>
      </c>
      <c r="K46" s="12">
        <f t="shared" si="3"/>
        <v>5.112984625432844E-2</v>
      </c>
      <c r="L46" s="10">
        <f>I46*I46</f>
        <v>617371812617.15613</v>
      </c>
      <c r="M46" s="10">
        <f t="shared" si="5"/>
        <v>517581.33883070014</v>
      </c>
      <c r="N46" s="10">
        <f t="shared" si="6"/>
        <v>267890442305.78003</v>
      </c>
      <c r="O46"/>
    </row>
    <row r="47" spans="1:15" x14ac:dyDescent="0.2">
      <c r="A47" s="49">
        <v>43008</v>
      </c>
      <c r="B47" s="50">
        <v>14966550.43</v>
      </c>
      <c r="C47" s="50">
        <f t="shared" si="7"/>
        <v>138.35999923706055</v>
      </c>
      <c r="D47" s="50">
        <f t="shared" si="7"/>
        <v>12.289999902248381</v>
      </c>
      <c r="E47" s="50">
        <v>30</v>
      </c>
      <c r="F47" s="79">
        <v>1</v>
      </c>
      <c r="G47" s="50">
        <v>11707</v>
      </c>
      <c r="H47" s="50">
        <f t="shared" si="0"/>
        <v>15352407.978142068</v>
      </c>
      <c r="I47" s="33">
        <f t="shared" si="1"/>
        <v>385857.54814206809</v>
      </c>
      <c r="J47" s="42">
        <f t="shared" si="2"/>
        <v>2.5781328165548973E-2</v>
      </c>
      <c r="K47" s="12">
        <f t="shared" si="3"/>
        <v>2.5781328165548973E-2</v>
      </c>
      <c r="L47" s="10">
        <f t="shared" si="4"/>
        <v>148886047458.2084</v>
      </c>
      <c r="M47" s="10">
        <f t="shared" si="5"/>
        <v>-399872.56622109935</v>
      </c>
      <c r="N47" s="10">
        <f t="shared" si="6"/>
        <v>159898069216.2475</v>
      </c>
      <c r="O47"/>
    </row>
    <row r="48" spans="1:15" x14ac:dyDescent="0.2">
      <c r="A48" s="49">
        <v>43039</v>
      </c>
      <c r="B48" s="50">
        <v>16411903.51</v>
      </c>
      <c r="C48" s="50">
        <f t="shared" si="7"/>
        <v>339.42999877929685</v>
      </c>
      <c r="D48" s="50">
        <f t="shared" si="7"/>
        <v>0.62999999761581427</v>
      </c>
      <c r="E48" s="50">
        <v>31</v>
      </c>
      <c r="F48" s="79">
        <v>1</v>
      </c>
      <c r="G48" s="50">
        <v>11712</v>
      </c>
      <c r="H48" s="50">
        <f t="shared" si="0"/>
        <v>17939259.076250501</v>
      </c>
      <c r="I48" s="33">
        <f t="shared" si="1"/>
        <v>1527355.5662505012</v>
      </c>
      <c r="J48" s="42">
        <f t="shared" si="2"/>
        <v>9.3063888982765602E-2</v>
      </c>
      <c r="K48" s="12">
        <f t="shared" si="3"/>
        <v>9.3063888982765602E-2</v>
      </c>
      <c r="L48" s="10">
        <f t="shared" si="4"/>
        <v>2332815025756.3892</v>
      </c>
      <c r="M48" s="10">
        <f t="shared" si="5"/>
        <v>1141498.0181084331</v>
      </c>
      <c r="N48" s="10">
        <f t="shared" si="6"/>
        <v>1303017725345.4807</v>
      </c>
      <c r="O48"/>
    </row>
    <row r="49" spans="1:15" x14ac:dyDescent="0.2">
      <c r="A49" s="49">
        <v>43069</v>
      </c>
      <c r="B49" s="50">
        <v>19237914.300000001</v>
      </c>
      <c r="C49" s="50">
        <f t="shared" si="7"/>
        <v>540.9299945068359</v>
      </c>
      <c r="D49" s="50">
        <f t="shared" si="7"/>
        <v>0</v>
      </c>
      <c r="E49" s="50">
        <v>30</v>
      </c>
      <c r="F49" s="79">
        <v>0</v>
      </c>
      <c r="G49" s="50">
        <v>11718</v>
      </c>
      <c r="H49" s="50">
        <f t="shared" si="0"/>
        <v>20226442.097641274</v>
      </c>
      <c r="I49" s="33">
        <f t="shared" si="1"/>
        <v>988527.79764127359</v>
      </c>
      <c r="J49" s="42">
        <f t="shared" si="2"/>
        <v>5.1384353949496156E-2</v>
      </c>
      <c r="K49" s="12">
        <f t="shared" si="3"/>
        <v>5.1384353949496156E-2</v>
      </c>
      <c r="L49" s="10">
        <f t="shared" si="4"/>
        <v>977187206709.50671</v>
      </c>
      <c r="M49" s="10">
        <f t="shared" si="5"/>
        <v>-538827.76860922761</v>
      </c>
      <c r="N49" s="10">
        <f t="shared" si="6"/>
        <v>290335364224.39935</v>
      </c>
      <c r="O49"/>
    </row>
    <row r="50" spans="1:15" x14ac:dyDescent="0.2">
      <c r="A50" s="49">
        <v>43100</v>
      </c>
      <c r="B50" s="50">
        <v>24068887.60324087</v>
      </c>
      <c r="C50" s="50">
        <f t="shared" si="7"/>
        <v>720.40000244140617</v>
      </c>
      <c r="D50" s="50">
        <f t="shared" si="7"/>
        <v>0</v>
      </c>
      <c r="E50" s="50">
        <v>31</v>
      </c>
      <c r="F50" s="79">
        <v>0</v>
      </c>
      <c r="G50" s="50">
        <v>11724</v>
      </c>
      <c r="H50" s="50">
        <f t="shared" si="0"/>
        <v>22878996.619075008</v>
      </c>
      <c r="I50" s="33">
        <f t="shared" si="1"/>
        <v>-1189890.9841658622</v>
      </c>
      <c r="J50" s="42">
        <f t="shared" si="2"/>
        <v>-4.9436891466710063E-2</v>
      </c>
      <c r="K50" s="12">
        <f t="shared" si="3"/>
        <v>4.9436891466710063E-2</v>
      </c>
      <c r="L50" s="10">
        <f t="shared" si="4"/>
        <v>1415840554199.2041</v>
      </c>
      <c r="M50" s="10">
        <f t="shared" si="5"/>
        <v>-2178418.7818071358</v>
      </c>
      <c r="N50" s="10">
        <f t="shared" si="6"/>
        <v>4745508388930.0859</v>
      </c>
      <c r="O50"/>
    </row>
    <row r="51" spans="1:15" x14ac:dyDescent="0.2">
      <c r="A51" s="49">
        <v>43131</v>
      </c>
      <c r="B51" s="50">
        <v>24569279.800000001</v>
      </c>
      <c r="C51" s="50">
        <f t="shared" si="7"/>
        <v>879.2500061035156</v>
      </c>
      <c r="D51" s="50">
        <f t="shared" si="7"/>
        <v>0</v>
      </c>
      <c r="E51" s="50">
        <v>31</v>
      </c>
      <c r="F51" s="79">
        <v>0</v>
      </c>
      <c r="G51" s="50">
        <v>11725</v>
      </c>
      <c r="H51" s="50">
        <f t="shared" si="0"/>
        <v>24567001.069107123</v>
      </c>
      <c r="I51" s="33">
        <f t="shared" si="1"/>
        <v>-2278.7308928780258</v>
      </c>
      <c r="J51" s="42">
        <f t="shared" si="2"/>
        <v>-9.2747158704994918E-5</v>
      </c>
      <c r="K51" s="12">
        <f t="shared" si="3"/>
        <v>9.2747158704994918E-5</v>
      </c>
      <c r="L51" s="10">
        <f t="shared" si="4"/>
        <v>5192614.4821566846</v>
      </c>
      <c r="M51" s="10">
        <f t="shared" si="5"/>
        <v>1187612.2532729842</v>
      </c>
      <c r="N51" s="10">
        <f t="shared" si="6"/>
        <v>1410422864124.1348</v>
      </c>
      <c r="O51"/>
    </row>
    <row r="52" spans="1:15" x14ac:dyDescent="0.2">
      <c r="A52" s="49">
        <v>43159</v>
      </c>
      <c r="B52" s="50">
        <v>21339233.539999999</v>
      </c>
      <c r="C52" s="50">
        <f t="shared" si="7"/>
        <v>817.92000366210937</v>
      </c>
      <c r="D52" s="50">
        <f t="shared" si="7"/>
        <v>0</v>
      </c>
      <c r="E52" s="50">
        <v>28</v>
      </c>
      <c r="F52" s="79">
        <v>0</v>
      </c>
      <c r="G52" s="50">
        <v>11725</v>
      </c>
      <c r="H52" s="50">
        <f t="shared" si="0"/>
        <v>21781900.91453661</v>
      </c>
      <c r="I52" s="33">
        <f t="shared" si="1"/>
        <v>442667.37453661114</v>
      </c>
      <c r="J52" s="42">
        <f t="shared" si="2"/>
        <v>2.074429588611228E-2</v>
      </c>
      <c r="K52" s="12">
        <f t="shared" si="3"/>
        <v>2.074429588611228E-2</v>
      </c>
      <c r="L52" s="10">
        <f t="shared" si="4"/>
        <v>195954404479.13635</v>
      </c>
      <c r="M52" s="10">
        <f t="shared" si="5"/>
        <v>444946.10542948917</v>
      </c>
      <c r="N52" s="10">
        <f t="shared" si="6"/>
        <v>197977036736.87009</v>
      </c>
      <c r="O52"/>
    </row>
    <row r="53" spans="1:15" x14ac:dyDescent="0.2">
      <c r="A53" s="49">
        <v>43190</v>
      </c>
      <c r="B53" s="50">
        <v>21499910.469999999</v>
      </c>
      <c r="C53" s="50">
        <f t="shared" si="7"/>
        <v>711.95999877929694</v>
      </c>
      <c r="D53" s="50">
        <f t="shared" si="7"/>
        <v>0</v>
      </c>
      <c r="E53" s="50">
        <v>31</v>
      </c>
      <c r="F53" s="79">
        <v>1</v>
      </c>
      <c r="G53" s="50">
        <v>11721</v>
      </c>
      <c r="H53" s="50">
        <f t="shared" si="0"/>
        <v>21928053.431465544</v>
      </c>
      <c r="I53" s="33">
        <f t="shared" si="1"/>
        <v>428142.961465545</v>
      </c>
      <c r="J53" s="42">
        <f t="shared" si="2"/>
        <v>1.9913709039065829E-2</v>
      </c>
      <c r="K53" s="12">
        <f t="shared" si="3"/>
        <v>1.9913709039065829E-2</v>
      </c>
      <c r="L53" s="10">
        <f t="shared" si="4"/>
        <v>183306395452.48715</v>
      </c>
      <c r="M53" s="10">
        <f t="shared" si="5"/>
        <v>-14524.413071066141</v>
      </c>
      <c r="N53" s="10">
        <f t="shared" si="6"/>
        <v>210958575.05895698</v>
      </c>
      <c r="O53"/>
    </row>
    <row r="54" spans="1:15" x14ac:dyDescent="0.2">
      <c r="A54" s="49">
        <v>43220</v>
      </c>
      <c r="B54" s="50">
        <v>19888070.98</v>
      </c>
      <c r="C54" s="50">
        <f t="shared" si="7"/>
        <v>491.72000366210932</v>
      </c>
      <c r="D54" s="50">
        <f t="shared" si="7"/>
        <v>0</v>
      </c>
      <c r="E54" s="50">
        <v>30</v>
      </c>
      <c r="F54" s="79">
        <v>1</v>
      </c>
      <c r="G54" s="50">
        <v>11721</v>
      </c>
      <c r="H54" s="50">
        <f t="shared" si="0"/>
        <v>18885198.228328735</v>
      </c>
      <c r="I54" s="33">
        <f t="shared" si="1"/>
        <v>-1002872.7516712658</v>
      </c>
      <c r="J54" s="42">
        <f t="shared" si="2"/>
        <v>-5.0425843344977128E-2</v>
      </c>
      <c r="K54" s="12">
        <f t="shared" si="3"/>
        <v>5.0425843344977128E-2</v>
      </c>
      <c r="L54" s="10">
        <f t="shared" si="4"/>
        <v>1005753756044.6964</v>
      </c>
      <c r="M54" s="10">
        <f t="shared" si="5"/>
        <v>-1431015.7131368108</v>
      </c>
      <c r="N54" s="10">
        <f t="shared" si="6"/>
        <v>2047805971244.4553</v>
      </c>
      <c r="O54"/>
    </row>
    <row r="55" spans="1:15" x14ac:dyDescent="0.2">
      <c r="A55" s="49">
        <v>43251</v>
      </c>
      <c r="B55" s="50">
        <v>16896990.010000002</v>
      </c>
      <c r="C55" s="50">
        <f t="shared" si="7"/>
        <v>281.6499978637695</v>
      </c>
      <c r="D55" s="50">
        <f t="shared" si="7"/>
        <v>1.8699999928474427</v>
      </c>
      <c r="E55" s="50">
        <v>31</v>
      </c>
      <c r="F55" s="79">
        <v>1</v>
      </c>
      <c r="G55" s="50">
        <v>11697</v>
      </c>
      <c r="H55" s="50">
        <f t="shared" si="0"/>
        <v>17255388.78161978</v>
      </c>
      <c r="I55" s="33">
        <f t="shared" si="1"/>
        <v>358398.77161977813</v>
      </c>
      <c r="J55" s="42">
        <f t="shared" si="2"/>
        <v>2.1210805676494453E-2</v>
      </c>
      <c r="K55" s="12">
        <f t="shared" si="3"/>
        <v>2.1210805676494453E-2</v>
      </c>
      <c r="L55" s="10">
        <f t="shared" si="4"/>
        <v>128449679498.56587</v>
      </c>
      <c r="M55" s="10">
        <f t="shared" si="5"/>
        <v>1361271.5232910439</v>
      </c>
      <c r="N55" s="10">
        <f t="shared" si="6"/>
        <v>1853060160123.1191</v>
      </c>
      <c r="O55"/>
    </row>
    <row r="56" spans="1:15" x14ac:dyDescent="0.2">
      <c r="A56" s="49">
        <v>43281</v>
      </c>
      <c r="B56" s="50">
        <v>16335114.92</v>
      </c>
      <c r="C56" s="50">
        <f t="shared" si="7"/>
        <v>130.39000045776365</v>
      </c>
      <c r="D56" s="50">
        <f t="shared" si="7"/>
        <v>6.5900000768899911</v>
      </c>
      <c r="E56" s="50">
        <v>30</v>
      </c>
      <c r="F56" s="79">
        <v>0</v>
      </c>
      <c r="G56" s="50">
        <v>11711</v>
      </c>
      <c r="H56" s="50">
        <f t="shared" si="0"/>
        <v>15996029.335472718</v>
      </c>
      <c r="I56" s="33">
        <f t="shared" si="1"/>
        <v>-339085.58452728204</v>
      </c>
      <c r="J56" s="42">
        <f t="shared" si="2"/>
        <v>-2.0758077686501029E-2</v>
      </c>
      <c r="K56" s="12">
        <f t="shared" si="3"/>
        <v>2.0758077686501029E-2</v>
      </c>
      <c r="L56" s="10">
        <f t="shared" si="4"/>
        <v>114979033634.20854</v>
      </c>
      <c r="M56" s="10">
        <f t="shared" si="5"/>
        <v>-697484.35614706017</v>
      </c>
      <c r="N56" s="10">
        <f t="shared" si="6"/>
        <v>486484427069.87909</v>
      </c>
      <c r="O56"/>
    </row>
    <row r="57" spans="1:15" x14ac:dyDescent="0.2">
      <c r="A57" s="49">
        <v>43312</v>
      </c>
      <c r="B57" s="50">
        <v>17644004.329999998</v>
      </c>
      <c r="C57" s="50">
        <f t="shared" si="7"/>
        <v>59.829999809265146</v>
      </c>
      <c r="D57" s="50">
        <f t="shared" si="7"/>
        <v>18.570000028610231</v>
      </c>
      <c r="E57" s="50">
        <v>31</v>
      </c>
      <c r="F57" s="79">
        <v>0</v>
      </c>
      <c r="G57" s="50">
        <v>11710</v>
      </c>
      <c r="H57" s="50">
        <f t="shared" si="0"/>
        <v>16249752.924322225</v>
      </c>
      <c r="I57" s="33">
        <f t="shared" si="1"/>
        <v>-1394251.4056777731</v>
      </c>
      <c r="J57" s="42">
        <f t="shared" si="2"/>
        <v>-7.902125728382052E-2</v>
      </c>
      <c r="K57" s="12">
        <f t="shared" si="3"/>
        <v>7.902125728382052E-2</v>
      </c>
      <c r="L57" s="10">
        <f t="shared" si="4"/>
        <v>1943936982234.446</v>
      </c>
      <c r="M57" s="10">
        <f t="shared" si="5"/>
        <v>-1055165.821150491</v>
      </c>
      <c r="N57" s="10">
        <f t="shared" si="6"/>
        <v>1113374910124.1899</v>
      </c>
      <c r="O57"/>
    </row>
    <row r="58" spans="1:15" x14ac:dyDescent="0.2">
      <c r="A58" s="49">
        <v>43343</v>
      </c>
      <c r="B58" s="50">
        <v>18345159.469999999</v>
      </c>
      <c r="C58" s="50">
        <f t="shared" si="7"/>
        <v>54.610000228881837</v>
      </c>
      <c r="D58" s="50">
        <f t="shared" si="7"/>
        <v>20.229999904632567</v>
      </c>
      <c r="E58" s="50">
        <v>31</v>
      </c>
      <c r="F58" s="79">
        <v>0</v>
      </c>
      <c r="G58" s="50">
        <v>11708</v>
      </c>
      <c r="H58" s="50">
        <f t="shared" si="0"/>
        <v>16221704.836740606</v>
      </c>
      <c r="I58" s="33">
        <f t="shared" si="1"/>
        <v>-2123454.6332593933</v>
      </c>
      <c r="J58" s="42">
        <f t="shared" si="2"/>
        <v>-0.11575013216602981</v>
      </c>
      <c r="K58" s="12">
        <f t="shared" si="3"/>
        <v>0.11575013216602981</v>
      </c>
      <c r="L58" s="10">
        <f t="shared" si="4"/>
        <v>4509059579510.7842</v>
      </c>
      <c r="M58" s="10">
        <f t="shared" si="5"/>
        <v>-729203.22758162022</v>
      </c>
      <c r="N58" s="10">
        <f t="shared" si="6"/>
        <v>531737347115.45221</v>
      </c>
      <c r="O58"/>
    </row>
    <row r="59" spans="1:15" x14ac:dyDescent="0.2">
      <c r="A59" s="49">
        <v>43373</v>
      </c>
      <c r="B59" s="50">
        <v>17579532.199999999</v>
      </c>
      <c r="C59" s="50">
        <f t="shared" si="7"/>
        <v>138.35999923706055</v>
      </c>
      <c r="D59" s="50">
        <f t="shared" si="7"/>
        <v>12.289999902248381</v>
      </c>
      <c r="E59" s="50">
        <v>30</v>
      </c>
      <c r="F59" s="79">
        <v>1</v>
      </c>
      <c r="G59" s="50">
        <v>11719</v>
      </c>
      <c r="H59" s="50">
        <f t="shared" si="0"/>
        <v>15434760.660219088</v>
      </c>
      <c r="I59" s="33">
        <f t="shared" si="1"/>
        <v>-2144771.5397809111</v>
      </c>
      <c r="J59" s="42">
        <f t="shared" si="2"/>
        <v>-0.12200390291278121</v>
      </c>
      <c r="K59" s="12">
        <f t="shared" si="3"/>
        <v>0.12200390291278121</v>
      </c>
      <c r="L59" s="10">
        <f t="shared" si="4"/>
        <v>4600044957854.1797</v>
      </c>
      <c r="M59" s="10">
        <f t="shared" si="5"/>
        <v>-21316.906521517783</v>
      </c>
      <c r="N59" s="10">
        <f t="shared" si="6"/>
        <v>454410503.64712739</v>
      </c>
      <c r="O59"/>
    </row>
    <row r="60" spans="1:15" x14ac:dyDescent="0.2">
      <c r="A60" s="49">
        <v>43404</v>
      </c>
      <c r="B60" s="50">
        <v>20524533.829999998</v>
      </c>
      <c r="C60" s="50">
        <f t="shared" si="7"/>
        <v>339.42999877929685</v>
      </c>
      <c r="D60" s="50">
        <f t="shared" si="7"/>
        <v>0.62999999761581427</v>
      </c>
      <c r="E60" s="50">
        <v>31</v>
      </c>
      <c r="F60" s="79">
        <v>1</v>
      </c>
      <c r="G60" s="50">
        <v>11716</v>
      </c>
      <c r="H60" s="50">
        <f t="shared" si="0"/>
        <v>17966709.970276169</v>
      </c>
      <c r="I60" s="33">
        <f t="shared" si="1"/>
        <v>-2557823.8597238287</v>
      </c>
      <c r="J60" s="42">
        <f t="shared" si="2"/>
        <v>-0.12462275055354224</v>
      </c>
      <c r="K60" s="12">
        <f t="shared" si="3"/>
        <v>0.12462275055354224</v>
      </c>
      <c r="L60" s="10">
        <f t="shared" si="4"/>
        <v>6542462897372.5049</v>
      </c>
      <c r="M60" s="10">
        <f t="shared" si="5"/>
        <v>-413052.31994291767</v>
      </c>
      <c r="N60" s="10">
        <f t="shared" si="6"/>
        <v>170612219010.22644</v>
      </c>
      <c r="O60"/>
    </row>
    <row r="61" spans="1:15" x14ac:dyDescent="0.2">
      <c r="A61" s="49">
        <v>43434</v>
      </c>
      <c r="B61" s="50">
        <v>22392942.079999998</v>
      </c>
      <c r="C61" s="50">
        <f t="shared" si="7"/>
        <v>540.9299945068359</v>
      </c>
      <c r="D61" s="50">
        <f t="shared" si="7"/>
        <v>0</v>
      </c>
      <c r="E61" s="50">
        <v>30</v>
      </c>
      <c r="F61" s="79">
        <v>0</v>
      </c>
      <c r="G61" s="50">
        <v>11726</v>
      </c>
      <c r="H61" s="50">
        <f t="shared" si="0"/>
        <v>20281343.885692626</v>
      </c>
      <c r="I61" s="33">
        <f t="shared" si="1"/>
        <v>-2111598.194307372</v>
      </c>
      <c r="J61" s="42">
        <f t="shared" si="2"/>
        <v>-9.429748832304273E-2</v>
      </c>
      <c r="K61" s="12">
        <f t="shared" si="3"/>
        <v>9.429748832304273E-2</v>
      </c>
      <c r="L61" s="10">
        <f t="shared" si="4"/>
        <v>4458846934202.1543</v>
      </c>
      <c r="M61" s="10">
        <f t="shared" si="5"/>
        <v>446225.66541645676</v>
      </c>
      <c r="N61" s="10">
        <f t="shared" si="6"/>
        <v>199117344476.35962</v>
      </c>
      <c r="O61"/>
    </row>
    <row r="62" spans="1:15" x14ac:dyDescent="0.2">
      <c r="A62" s="49">
        <v>43465</v>
      </c>
      <c r="B62" s="50">
        <v>24072379.5</v>
      </c>
      <c r="C62" s="50">
        <f t="shared" si="7"/>
        <v>720.40000244140617</v>
      </c>
      <c r="D62" s="50">
        <f t="shared" si="7"/>
        <v>0</v>
      </c>
      <c r="E62" s="50">
        <v>31</v>
      </c>
      <c r="F62" s="79">
        <v>0</v>
      </c>
      <c r="G62" s="50">
        <v>11723</v>
      </c>
      <c r="H62" s="50">
        <f t="shared" si="0"/>
        <v>22872133.895568602</v>
      </c>
      <c r="I62" s="33">
        <f t="shared" si="1"/>
        <v>-1200245.6044313982</v>
      </c>
      <c r="J62" s="42">
        <f t="shared" si="2"/>
        <v>-4.9859865512314569E-2</v>
      </c>
      <c r="K62" s="12">
        <f t="shared" si="3"/>
        <v>4.9859865512314569E-2</v>
      </c>
      <c r="L62" s="10">
        <f t="shared" si="4"/>
        <v>1440589510956.8923</v>
      </c>
      <c r="M62" s="10">
        <f t="shared" si="5"/>
        <v>911352.58987597376</v>
      </c>
      <c r="N62" s="10">
        <f t="shared" si="6"/>
        <v>830563543073.64478</v>
      </c>
      <c r="O62"/>
    </row>
    <row r="63" spans="1:15" x14ac:dyDescent="0.2">
      <c r="A63" s="49">
        <v>43496</v>
      </c>
      <c r="B63" s="307">
        <v>27236231</v>
      </c>
      <c r="C63" s="50">
        <f t="shared" si="7"/>
        <v>879.2500061035156</v>
      </c>
      <c r="D63" s="50">
        <f t="shared" si="7"/>
        <v>0</v>
      </c>
      <c r="E63" s="50">
        <v>31</v>
      </c>
      <c r="F63" s="79">
        <v>0</v>
      </c>
      <c r="G63" s="50">
        <f>'Rate Class Customer Model'!N3</f>
        <v>11723.666672897911</v>
      </c>
      <c r="H63" s="50">
        <f t="shared" si="0"/>
        <v>24557850.813861869</v>
      </c>
      <c r="I63" s="33">
        <f t="shared" si="1"/>
        <v>-2678380.1861381307</v>
      </c>
      <c r="J63" s="42">
        <f t="shared" si="2"/>
        <v>-9.8338870240090512E-2</v>
      </c>
      <c r="K63" s="12">
        <f t="shared" si="3"/>
        <v>9.8338870240090512E-2</v>
      </c>
      <c r="L63" s="10">
        <f t="shared" si="4"/>
        <v>7173720421497.3281</v>
      </c>
      <c r="M63" s="10">
        <f t="shared" si="5"/>
        <v>-1478134.5817067325</v>
      </c>
      <c r="N63" s="10">
        <f t="shared" si="6"/>
        <v>2184881841637.3372</v>
      </c>
      <c r="O63"/>
    </row>
    <row r="64" spans="1:15" x14ac:dyDescent="0.2">
      <c r="A64" s="49">
        <v>43524</v>
      </c>
      <c r="B64" s="307">
        <v>23330992</v>
      </c>
      <c r="C64" s="50">
        <f t="shared" si="7"/>
        <v>817.92000366210937</v>
      </c>
      <c r="D64" s="50">
        <f t="shared" si="7"/>
        <v>0</v>
      </c>
      <c r="E64" s="50">
        <v>28</v>
      </c>
      <c r="F64" s="79">
        <v>0</v>
      </c>
      <c r="G64" s="50">
        <f>'Rate Class Customer Model'!N4</f>
        <v>11724.333383708708</v>
      </c>
      <c r="H64" s="50">
        <f t="shared" si="0"/>
        <v>21777326.111244604</v>
      </c>
      <c r="I64" s="33">
        <f t="shared" si="1"/>
        <v>-1553665.888755396</v>
      </c>
      <c r="J64" s="42">
        <f t="shared" si="2"/>
        <v>-6.6592363014628606E-2</v>
      </c>
      <c r="K64" s="12">
        <f t="shared" si="3"/>
        <v>6.6592363014628606E-2</v>
      </c>
      <c r="L64" s="10">
        <f t="shared" si="4"/>
        <v>2413877693882.0947</v>
      </c>
      <c r="M64" s="10">
        <f t="shared" si="5"/>
        <v>1124714.2973827347</v>
      </c>
      <c r="N64" s="10">
        <f t="shared" si="6"/>
        <v>1264982250737.1387</v>
      </c>
      <c r="O64"/>
    </row>
    <row r="65" spans="1:15" x14ac:dyDescent="0.2">
      <c r="A65" s="49">
        <v>43555</v>
      </c>
      <c r="B65" s="307">
        <v>23887898</v>
      </c>
      <c r="C65" s="50">
        <f t="shared" si="7"/>
        <v>711.95999877929694</v>
      </c>
      <c r="D65" s="50">
        <f t="shared" si="7"/>
        <v>0</v>
      </c>
      <c r="E65" s="50">
        <v>31</v>
      </c>
      <c r="F65" s="79">
        <v>1</v>
      </c>
      <c r="G65" s="50">
        <f>'Rate Class Customer Model'!N5</f>
        <v>11725.000132434547</v>
      </c>
      <c r="H65" s="50">
        <f t="shared" si="0"/>
        <v>21955505.234352894</v>
      </c>
      <c r="I65" s="33">
        <f t="shared" si="1"/>
        <v>-1932392.7656471059</v>
      </c>
      <c r="J65" s="42">
        <f t="shared" si="2"/>
        <v>-8.0894215374124001E-2</v>
      </c>
      <c r="K65" s="12">
        <f t="shared" si="3"/>
        <v>8.0894215374124001E-2</v>
      </c>
      <c r="L65" s="10">
        <f t="shared" si="4"/>
        <v>3734141800725.2705</v>
      </c>
      <c r="M65" s="10">
        <f t="shared" si="5"/>
        <v>-378726.87689170986</v>
      </c>
      <c r="N65" s="10">
        <f t="shared" si="6"/>
        <v>143434047280.14835</v>
      </c>
    </row>
    <row r="66" spans="1:15" x14ac:dyDescent="0.2">
      <c r="A66" s="49">
        <v>43585</v>
      </c>
      <c r="B66" s="307">
        <v>20911395</v>
      </c>
      <c r="C66" s="50">
        <f t="shared" si="7"/>
        <v>491.72000366210932</v>
      </c>
      <c r="D66" s="50">
        <f t="shared" si="7"/>
        <v>0</v>
      </c>
      <c r="E66" s="50">
        <v>30</v>
      </c>
      <c r="F66" s="79">
        <v>1</v>
      </c>
      <c r="G66" s="50">
        <f>'Rate Class Customer Model'!N6</f>
        <v>11725.666919077583</v>
      </c>
      <c r="H66" s="50">
        <f t="shared" si="0"/>
        <v>18917226.003585011</v>
      </c>
      <c r="I66" s="33">
        <f t="shared" si="1"/>
        <v>-1994168.9964149892</v>
      </c>
      <c r="J66" s="42">
        <f t="shared" si="2"/>
        <v>-9.5362791263566546E-2</v>
      </c>
      <c r="K66" s="12">
        <f t="shared" si="3"/>
        <v>9.5362791263566546E-2</v>
      </c>
      <c r="L66" s="10">
        <f t="shared" si="4"/>
        <v>3976709986262.7651</v>
      </c>
      <c r="M66" s="10">
        <f t="shared" si="5"/>
        <v>-61776.23076788336</v>
      </c>
      <c r="N66" s="10">
        <f t="shared" si="6"/>
        <v>3816302687.8867788</v>
      </c>
    </row>
    <row r="67" spans="1:15" x14ac:dyDescent="0.2">
      <c r="A67" s="49">
        <v>43616</v>
      </c>
      <c r="B67" s="307">
        <v>20082531</v>
      </c>
      <c r="C67" s="50">
        <f t="shared" si="7"/>
        <v>281.6499978637695</v>
      </c>
      <c r="D67" s="50">
        <f t="shared" si="7"/>
        <v>1.8699999928474427</v>
      </c>
      <c r="E67" s="50">
        <v>31</v>
      </c>
      <c r="F67" s="79">
        <v>1</v>
      </c>
      <c r="G67" s="50">
        <f>'Rate Class Customer Model'!N7</f>
        <v>11726.333743639972</v>
      </c>
      <c r="H67" s="50">
        <f t="shared" ref="H67:H118" si="8">$Q$18+$Q$19*C67+$Q$20*D67+$Q$21*E67+$Q$22*F67+$Q$23*G67</f>
        <v>17456698.153629087</v>
      </c>
      <c r="I67" s="33">
        <f t="shared" ref="I67:I128" si="9">H67-B67</f>
        <v>-2625832.8463709131</v>
      </c>
      <c r="J67" s="42">
        <f t="shared" ref="J67:J128" si="10">I67/B67</f>
        <v>-0.13075208729272786</v>
      </c>
      <c r="K67" s="12">
        <f t="shared" ref="K67:K122" si="11">ABS(J67)</f>
        <v>0.13075208729272786</v>
      </c>
      <c r="L67" s="10">
        <f t="shared" ref="L67:L128" si="12">I67*I67</f>
        <v>6894998137080.3711</v>
      </c>
      <c r="M67" s="10">
        <f t="shared" si="5"/>
        <v>-631663.84995592386</v>
      </c>
      <c r="N67" s="10">
        <f t="shared" si="6"/>
        <v>398999219341.13989</v>
      </c>
    </row>
    <row r="68" spans="1:15" x14ac:dyDescent="0.2">
      <c r="A68" s="49">
        <v>43646</v>
      </c>
      <c r="B68" s="307">
        <v>17847356</v>
      </c>
      <c r="C68" s="50">
        <f t="shared" si="7"/>
        <v>130.39000045776365</v>
      </c>
      <c r="D68" s="50">
        <f t="shared" si="7"/>
        <v>6.5900000768899911</v>
      </c>
      <c r="E68" s="50">
        <v>30</v>
      </c>
      <c r="F68" s="79">
        <v>0</v>
      </c>
      <c r="G68" s="50">
        <f>'Rate Class Customer Model'!N8</f>
        <v>11727.000606123871</v>
      </c>
      <c r="H68" s="50">
        <f t="shared" si="8"/>
        <v>16105837.071235955</v>
      </c>
      <c r="I68" s="33">
        <f t="shared" si="9"/>
        <v>-1741518.9287640452</v>
      </c>
      <c r="J68" s="42">
        <f t="shared" si="10"/>
        <v>-9.7578539295346892E-2</v>
      </c>
      <c r="K68" s="12">
        <f t="shared" si="11"/>
        <v>9.7578539295346892E-2</v>
      </c>
      <c r="L68" s="10">
        <f t="shared" si="12"/>
        <v>3032888179243.4678</v>
      </c>
      <c r="M68" s="10">
        <f t="shared" ref="M68:M128" si="13">I68-I67</f>
        <v>884313.91760686785</v>
      </c>
      <c r="N68" s="10">
        <f t="shared" ref="N68:N128" si="14">M68*M68</f>
        <v>782011104873.2063</v>
      </c>
    </row>
    <row r="69" spans="1:15" x14ac:dyDescent="0.2">
      <c r="A69" s="49">
        <v>43677</v>
      </c>
      <c r="B69" s="307">
        <v>18330977</v>
      </c>
      <c r="C69" s="50">
        <f t="shared" si="7"/>
        <v>59.829999809265146</v>
      </c>
      <c r="D69" s="50">
        <f t="shared" si="7"/>
        <v>18.570000028610231</v>
      </c>
      <c r="E69" s="50">
        <v>31</v>
      </c>
      <c r="F69" s="79">
        <v>0</v>
      </c>
      <c r="G69" s="50">
        <f>'Rate Class Customer Model'!N9</f>
        <v>11727.667506531438</v>
      </c>
      <c r="H69" s="50">
        <f t="shared" si="8"/>
        <v>16371000.136695333</v>
      </c>
      <c r="I69" s="33">
        <f t="shared" si="9"/>
        <v>-1959976.8633046672</v>
      </c>
      <c r="J69" s="42">
        <f t="shared" si="10"/>
        <v>-0.1069215712454752</v>
      </c>
      <c r="K69" s="12">
        <f t="shared" si="11"/>
        <v>0.1069215712454752</v>
      </c>
      <c r="L69" s="10">
        <f t="shared" si="12"/>
        <v>3841509304689.6021</v>
      </c>
      <c r="M69" s="10">
        <f t="shared" si="13"/>
        <v>-218457.93454062194</v>
      </c>
      <c r="N69" s="10">
        <f t="shared" si="14"/>
        <v>47723869163.754662</v>
      </c>
    </row>
    <row r="70" spans="1:15" x14ac:dyDescent="0.2">
      <c r="A70" s="49">
        <v>43708</v>
      </c>
      <c r="B70" s="307">
        <v>18072676</v>
      </c>
      <c r="C70" s="50">
        <f t="shared" si="7"/>
        <v>54.610000228881837</v>
      </c>
      <c r="D70" s="50">
        <f t="shared" si="7"/>
        <v>20.229999904632567</v>
      </c>
      <c r="E70" s="50">
        <v>31</v>
      </c>
      <c r="F70" s="79">
        <v>0</v>
      </c>
      <c r="G70" s="50">
        <f>'Rate Class Customer Model'!N10</f>
        <v>11728.334444864828</v>
      </c>
      <c r="H70" s="50">
        <f t="shared" si="8"/>
        <v>16361254.509504445</v>
      </c>
      <c r="I70" s="33">
        <f t="shared" si="9"/>
        <v>-1711421.4904955551</v>
      </c>
      <c r="J70" s="42">
        <f t="shared" si="10"/>
        <v>-9.4696628794515833E-2</v>
      </c>
      <c r="K70" s="12">
        <f t="shared" si="11"/>
        <v>9.4696628794515833E-2</v>
      </c>
      <c r="L70" s="10">
        <f t="shared" si="12"/>
        <v>2928963518130.0273</v>
      </c>
      <c r="M70" s="10">
        <f t="shared" si="13"/>
        <v>248555.37280911207</v>
      </c>
      <c r="N70" s="10">
        <f t="shared" si="14"/>
        <v>61779773352.276688</v>
      </c>
    </row>
    <row r="71" spans="1:15" x14ac:dyDescent="0.2">
      <c r="A71" s="49">
        <v>43738</v>
      </c>
      <c r="B71" s="307">
        <v>17504594</v>
      </c>
      <c r="C71" s="50">
        <f t="shared" si="7"/>
        <v>138.35999923706055</v>
      </c>
      <c r="D71" s="50">
        <f t="shared" si="7"/>
        <v>12.289999902248381</v>
      </c>
      <c r="E71" s="50">
        <v>30</v>
      </c>
      <c r="F71" s="79">
        <v>1</v>
      </c>
      <c r="G71" s="50">
        <f>'Rate Class Customer Model'!N11</f>
        <v>11729.001421126197</v>
      </c>
      <c r="H71" s="50">
        <f t="shared" si="8"/>
        <v>15503397.64807944</v>
      </c>
      <c r="I71" s="33">
        <f t="shared" si="9"/>
        <v>-2001196.35192056</v>
      </c>
      <c r="J71" s="42">
        <f t="shared" si="10"/>
        <v>-0.11432406555219504</v>
      </c>
      <c r="K71" s="12">
        <f t="shared" si="11"/>
        <v>0.11432406555219504</v>
      </c>
      <c r="L71" s="10">
        <f t="shared" si="12"/>
        <v>4004786838940.1577</v>
      </c>
      <c r="M71" s="10">
        <f t="shared" si="13"/>
        <v>-289774.8614250049</v>
      </c>
      <c r="N71" s="10">
        <f t="shared" si="14"/>
        <v>83969470313.880798</v>
      </c>
    </row>
    <row r="72" spans="1:15" x14ac:dyDescent="0.2">
      <c r="A72" s="49">
        <v>43769</v>
      </c>
      <c r="B72" s="307">
        <v>20050972</v>
      </c>
      <c r="C72" s="50">
        <f t="shared" si="7"/>
        <v>339.42999877929685</v>
      </c>
      <c r="D72" s="50">
        <f t="shared" si="7"/>
        <v>0.62999999761581427</v>
      </c>
      <c r="E72" s="50">
        <v>31</v>
      </c>
      <c r="F72" s="79">
        <v>1</v>
      </c>
      <c r="G72" s="50">
        <f>'Rate Class Customer Model'!N12</f>
        <v>11729.668435317704</v>
      </c>
      <c r="H72" s="50">
        <f t="shared" si="8"/>
        <v>18060512.662626959</v>
      </c>
      <c r="I72" s="33">
        <f t="shared" si="9"/>
        <v>-1990459.3373730406</v>
      </c>
      <c r="J72" s="42">
        <f t="shared" si="10"/>
        <v>-9.9269967429660794E-2</v>
      </c>
      <c r="K72" s="12">
        <f t="shared" si="11"/>
        <v>9.9269967429660794E-2</v>
      </c>
      <c r="L72" s="10">
        <f t="shared" si="12"/>
        <v>3961928373735.5239</v>
      </c>
      <c r="M72" s="10">
        <f t="shared" si="13"/>
        <v>10737.014547519386</v>
      </c>
      <c r="N72" s="10">
        <f t="shared" si="14"/>
        <v>115283481.39364292</v>
      </c>
    </row>
    <row r="73" spans="1:15" x14ac:dyDescent="0.2">
      <c r="A73" s="49">
        <v>43799</v>
      </c>
      <c r="B73" s="307">
        <v>22892474</v>
      </c>
      <c r="C73" s="50">
        <f t="shared" si="7"/>
        <v>540.9299945068359</v>
      </c>
      <c r="D73" s="50">
        <f t="shared" si="7"/>
        <v>0</v>
      </c>
      <c r="E73" s="50">
        <v>30</v>
      </c>
      <c r="F73" s="79">
        <v>0</v>
      </c>
      <c r="G73" s="50">
        <f>'Rate Class Customer Model'!N13</f>
        <v>11730.335487441505</v>
      </c>
      <c r="H73" s="50">
        <f t="shared" si="8"/>
        <v>20311097.137269229</v>
      </c>
      <c r="I73" s="33">
        <f t="shared" si="9"/>
        <v>-2581376.8627307713</v>
      </c>
      <c r="J73" s="42">
        <f t="shared" si="10"/>
        <v>-0.11276093893262787</v>
      </c>
      <c r="K73" s="12">
        <f t="shared" si="11"/>
        <v>0.11276093893262787</v>
      </c>
      <c r="L73" s="10">
        <f t="shared" si="12"/>
        <v>6663506507441.7598</v>
      </c>
      <c r="M73" s="10">
        <f t="shared" si="13"/>
        <v>-590917.52535773069</v>
      </c>
      <c r="N73" s="10">
        <f t="shared" si="14"/>
        <v>349183521774.9043</v>
      </c>
    </row>
    <row r="74" spans="1:15" x14ac:dyDescent="0.2">
      <c r="A74" s="49">
        <v>43830</v>
      </c>
      <c r="B74" s="307">
        <v>25775115</v>
      </c>
      <c r="C74" s="50">
        <f t="shared" si="7"/>
        <v>720.40000244140617</v>
      </c>
      <c r="D74" s="50">
        <f t="shared" si="7"/>
        <v>0</v>
      </c>
      <c r="E74" s="50">
        <v>31</v>
      </c>
      <c r="F74" s="79">
        <v>0</v>
      </c>
      <c r="G74" s="50">
        <f>'Rate Class Customer Model'!N14</f>
        <v>11731.002577499758</v>
      </c>
      <c r="H74" s="50">
        <f t="shared" si="8"/>
        <v>22927053.372288115</v>
      </c>
      <c r="I74" s="33">
        <f t="shared" si="9"/>
        <v>-2848061.6277118847</v>
      </c>
      <c r="J74" s="42">
        <f t="shared" si="10"/>
        <v>-0.1104965633601202</v>
      </c>
      <c r="K74" s="12">
        <f t="shared" si="11"/>
        <v>0.1104965633601202</v>
      </c>
      <c r="L74" s="10">
        <f t="shared" si="12"/>
        <v>8111455035244.8701</v>
      </c>
      <c r="M74" s="10">
        <f t="shared" si="13"/>
        <v>-266684.76498111337</v>
      </c>
      <c r="N74" s="10">
        <f t="shared" si="14"/>
        <v>71120763873.031677</v>
      </c>
    </row>
    <row r="75" spans="1:15" x14ac:dyDescent="0.2">
      <c r="A75" s="49">
        <v>43861</v>
      </c>
      <c r="B75" s="307">
        <v>25237277</v>
      </c>
      <c r="C75" s="50">
        <f t="shared" si="7"/>
        <v>879.2500061035156</v>
      </c>
      <c r="D75" s="50">
        <f t="shared" si="7"/>
        <v>0</v>
      </c>
      <c r="E75" s="50">
        <v>31</v>
      </c>
      <c r="F75" s="79">
        <v>0</v>
      </c>
      <c r="G75" s="50">
        <f>'Rate Class Customer Model'!O3</f>
        <v>11732.005266549859</v>
      </c>
      <c r="H75" s="50">
        <f t="shared" si="8"/>
        <v>24615076.276527576</v>
      </c>
      <c r="I75" s="33">
        <f t="shared" si="9"/>
        <v>-622200.72347242385</v>
      </c>
      <c r="J75" s="42">
        <f t="shared" si="10"/>
        <v>-2.4654035515496536E-2</v>
      </c>
      <c r="K75" s="12">
        <f t="shared" si="11"/>
        <v>2.4654035515496536E-2</v>
      </c>
      <c r="L75" s="10">
        <f t="shared" si="12"/>
        <v>387133740289.60767</v>
      </c>
      <c r="M75" s="10">
        <f t="shared" si="13"/>
        <v>2225860.9042394608</v>
      </c>
      <c r="N75" s="10">
        <f t="shared" si="14"/>
        <v>4954456765021.71</v>
      </c>
      <c r="O75" s="43"/>
    </row>
    <row r="76" spans="1:15" x14ac:dyDescent="0.2">
      <c r="A76" s="49">
        <v>43890</v>
      </c>
      <c r="B76" s="307">
        <v>24410849</v>
      </c>
      <c r="C76" s="50">
        <f t="shared" si="7"/>
        <v>817.92000366210937</v>
      </c>
      <c r="D76" s="50">
        <f t="shared" si="7"/>
        <v>0</v>
      </c>
      <c r="E76" s="50">
        <v>29</v>
      </c>
      <c r="F76" s="79">
        <v>0</v>
      </c>
      <c r="G76" s="50">
        <f>'Rate Class Customer Model'!O4</f>
        <v>11763.553216502387</v>
      </c>
      <c r="H76" s="50">
        <f t="shared" si="8"/>
        <v>22758491.756589495</v>
      </c>
      <c r="I76" s="33">
        <f t="shared" si="9"/>
        <v>-1652357.2434105054</v>
      </c>
      <c r="J76" s="42">
        <f t="shared" si="10"/>
        <v>-6.7689462312863657E-2</v>
      </c>
      <c r="K76" s="12">
        <f t="shared" si="11"/>
        <v>6.7689462312863657E-2</v>
      </c>
      <c r="L76" s="10">
        <f t="shared" si="12"/>
        <v>2730284459851.1641</v>
      </c>
      <c r="M76" s="10">
        <f t="shared" si="13"/>
        <v>-1030156.5199380815</v>
      </c>
      <c r="N76" s="10">
        <f t="shared" si="14"/>
        <v>1061222455570.939</v>
      </c>
    </row>
    <row r="77" spans="1:15" x14ac:dyDescent="0.2">
      <c r="A77" s="49">
        <v>43921</v>
      </c>
      <c r="B77" s="307">
        <v>22196265</v>
      </c>
      <c r="C77" s="50">
        <f t="shared" si="7"/>
        <v>711.95999877929694</v>
      </c>
      <c r="D77" s="50">
        <f t="shared" si="7"/>
        <v>0</v>
      </c>
      <c r="E77" s="50">
        <v>31</v>
      </c>
      <c r="F77" s="79">
        <v>1</v>
      </c>
      <c r="G77" s="50">
        <f>'Rate Class Customer Model'!O5</f>
        <v>11795.186000472935</v>
      </c>
      <c r="H77" s="50">
        <f t="shared" si="8"/>
        <v>22437171.440758355</v>
      </c>
      <c r="I77" s="33">
        <f t="shared" si="9"/>
        <v>240906.44075835496</v>
      </c>
      <c r="J77" s="42">
        <f t="shared" si="10"/>
        <v>1.0853467498173903E-2</v>
      </c>
      <c r="K77" s="12">
        <f t="shared" si="11"/>
        <v>1.0853467498173903E-2</v>
      </c>
      <c r="L77" s="10">
        <f t="shared" si="12"/>
        <v>58035913198.858788</v>
      </c>
      <c r="M77" s="10">
        <f t="shared" si="13"/>
        <v>1893263.6841688603</v>
      </c>
      <c r="N77" s="10">
        <f t="shared" si="14"/>
        <v>3584447377792.646</v>
      </c>
    </row>
    <row r="78" spans="1:15" x14ac:dyDescent="0.2">
      <c r="A78" s="49">
        <v>43951</v>
      </c>
      <c r="B78" s="307">
        <v>17675708</v>
      </c>
      <c r="C78" s="50">
        <f t="shared" si="7"/>
        <v>491.72000366210932</v>
      </c>
      <c r="D78" s="50">
        <f t="shared" si="7"/>
        <v>0</v>
      </c>
      <c r="E78" s="50">
        <v>30</v>
      </c>
      <c r="F78" s="79">
        <v>1</v>
      </c>
      <c r="G78" s="50">
        <f>'Rate Class Customer Model'!O6</f>
        <v>11826.90384658443</v>
      </c>
      <c r="H78" s="50">
        <f t="shared" si="8"/>
        <v>19611987.045703888</v>
      </c>
      <c r="I78" s="33">
        <f t="shared" si="9"/>
        <v>1936279.0457038879</v>
      </c>
      <c r="J78" s="42">
        <f t="shared" si="10"/>
        <v>0.1095446386477921</v>
      </c>
      <c r="K78" s="12">
        <f t="shared" si="11"/>
        <v>0.1095446386477921</v>
      </c>
      <c r="L78" s="10">
        <f t="shared" si="12"/>
        <v>3749176542831.959</v>
      </c>
      <c r="M78" s="10">
        <f t="shared" si="13"/>
        <v>1695372.604945533</v>
      </c>
      <c r="N78" s="10">
        <f t="shared" si="14"/>
        <v>2874288269599.8022</v>
      </c>
    </row>
    <row r="79" spans="1:15" x14ac:dyDescent="0.2">
      <c r="A79" s="49">
        <v>43982</v>
      </c>
      <c r="B79" s="307">
        <v>20080301</v>
      </c>
      <c r="C79" s="50">
        <f t="shared" si="7"/>
        <v>281.6499978637695</v>
      </c>
      <c r="D79" s="50">
        <f t="shared" si="7"/>
        <v>1.8699999928474427</v>
      </c>
      <c r="E79" s="50">
        <v>31</v>
      </c>
      <c r="F79" s="79">
        <v>1</v>
      </c>
      <c r="G79" s="50">
        <f>'Rate Class Customer Model'!O7</f>
        <v>11858.706983573229</v>
      </c>
      <c r="H79" s="50">
        <f t="shared" si="8"/>
        <v>18365139.098939873</v>
      </c>
      <c r="I79" s="33">
        <f t="shared" si="9"/>
        <v>-1715161.9010601267</v>
      </c>
      <c r="J79" s="42">
        <f t="shared" si="10"/>
        <v>-8.5415148959177789E-2</v>
      </c>
      <c r="K79" s="12">
        <f t="shared" si="11"/>
        <v>8.5415148959177789E-2</v>
      </c>
      <c r="L79" s="10">
        <f t="shared" si="12"/>
        <v>2941780346848.188</v>
      </c>
      <c r="M79" s="10">
        <f t="shared" si="13"/>
        <v>-3651440.9467640147</v>
      </c>
      <c r="N79" s="10">
        <f t="shared" si="14"/>
        <v>13333020987704.883</v>
      </c>
    </row>
    <row r="80" spans="1:15" x14ac:dyDescent="0.2">
      <c r="A80" s="49">
        <v>44012</v>
      </c>
      <c r="B80" s="307">
        <v>18177041</v>
      </c>
      <c r="C80" s="50">
        <f t="shared" ref="C80:D143" si="15">C68</f>
        <v>130.39000045776365</v>
      </c>
      <c r="D80" s="50">
        <f t="shared" si="15"/>
        <v>6.5900000768899911</v>
      </c>
      <c r="E80" s="50">
        <v>30</v>
      </c>
      <c r="F80" s="79">
        <v>0</v>
      </c>
      <c r="G80" s="50">
        <f>'Rate Class Customer Model'!O8</f>
        <v>11890.595640790776</v>
      </c>
      <c r="H80" s="50">
        <f t="shared" si="8"/>
        <v>17228544.561177954</v>
      </c>
      <c r="I80" s="33">
        <f t="shared" si="9"/>
        <v>-948496.43882204592</v>
      </c>
      <c r="J80" s="42">
        <f t="shared" si="10"/>
        <v>-5.2181014435850472E-2</v>
      </c>
      <c r="K80" s="12">
        <f t="shared" si="11"/>
        <v>5.2181014435850472E-2</v>
      </c>
      <c r="L80" s="10">
        <f t="shared" si="12"/>
        <v>899645494458.10315</v>
      </c>
      <c r="M80" s="10">
        <f t="shared" si="13"/>
        <v>766665.4622380808</v>
      </c>
      <c r="N80" s="10">
        <f t="shared" si="14"/>
        <v>587775930988.7301</v>
      </c>
    </row>
    <row r="81" spans="1:15" x14ac:dyDescent="0.2">
      <c r="A81" s="49">
        <v>44043</v>
      </c>
      <c r="B81" s="307">
        <v>18679871</v>
      </c>
      <c r="C81" s="50">
        <f t="shared" si="15"/>
        <v>59.829999809265146</v>
      </c>
      <c r="D81" s="50">
        <f t="shared" si="15"/>
        <v>18.570000028610231</v>
      </c>
      <c r="E81" s="50">
        <v>31</v>
      </c>
      <c r="F81" s="79">
        <v>0</v>
      </c>
      <c r="G81" s="50">
        <f>'Rate Class Customer Model'!O9</f>
        <v>11922.570048205249</v>
      </c>
      <c r="H81" s="50">
        <f t="shared" si="8"/>
        <v>17708562.390900992</v>
      </c>
      <c r="I81" s="33">
        <f t="shared" si="9"/>
        <v>-971308.60909900814</v>
      </c>
      <c r="J81" s="42">
        <f t="shared" si="10"/>
        <v>-5.1997607965226747E-2</v>
      </c>
      <c r="K81" s="12">
        <f t="shared" si="11"/>
        <v>5.1997607965226747E-2</v>
      </c>
      <c r="L81" s="10">
        <f t="shared" si="12"/>
        <v>943440414109.84985</v>
      </c>
      <c r="M81" s="10">
        <f t="shared" si="13"/>
        <v>-22812.170276962221</v>
      </c>
      <c r="N81" s="10">
        <f t="shared" si="14"/>
        <v>520395112.74511862</v>
      </c>
      <c r="O81"/>
    </row>
    <row r="82" spans="1:15" x14ac:dyDescent="0.2">
      <c r="A82" s="49">
        <v>44074</v>
      </c>
      <c r="B82" s="307">
        <v>18377276</v>
      </c>
      <c r="C82" s="50">
        <f t="shared" si="15"/>
        <v>54.610000228881837</v>
      </c>
      <c r="D82" s="50">
        <f t="shared" si="15"/>
        <v>20.229999904632567</v>
      </c>
      <c r="E82" s="50">
        <v>31</v>
      </c>
      <c r="F82" s="79">
        <v>0</v>
      </c>
      <c r="G82" s="50">
        <f>'Rate Class Customer Model'!O10</f>
        <v>11954.630436403226</v>
      </c>
      <c r="H82" s="50">
        <f t="shared" si="8"/>
        <v>17914261.330043398</v>
      </c>
      <c r="I82" s="33">
        <f t="shared" si="9"/>
        <v>-463014.66995660216</v>
      </c>
      <c r="J82" s="42">
        <f t="shared" si="10"/>
        <v>-2.519495652982532E-2</v>
      </c>
      <c r="K82" s="12">
        <f t="shared" si="11"/>
        <v>2.519495652982532E-2</v>
      </c>
      <c r="L82" s="10">
        <f t="shared" si="12"/>
        <v>214382584595.02121</v>
      </c>
      <c r="M82" s="10">
        <f t="shared" si="13"/>
        <v>508293.93914240599</v>
      </c>
      <c r="N82" s="10">
        <f t="shared" si="14"/>
        <v>258362728568.90393</v>
      </c>
      <c r="O82"/>
    </row>
    <row r="83" spans="1:15" x14ac:dyDescent="0.2">
      <c r="A83" s="49">
        <v>44104</v>
      </c>
      <c r="B83" s="307">
        <v>18090098</v>
      </c>
      <c r="C83" s="50">
        <f t="shared" si="15"/>
        <v>138.35999923706055</v>
      </c>
      <c r="D83" s="50">
        <f t="shared" si="15"/>
        <v>12.289999902248381</v>
      </c>
      <c r="E83" s="50">
        <v>30</v>
      </c>
      <c r="F83" s="79">
        <v>1</v>
      </c>
      <c r="G83" s="50">
        <f>'Rate Class Customer Model'!O11</f>
        <v>11986.777036591338</v>
      </c>
      <c r="H83" s="50">
        <f t="shared" si="8"/>
        <v>17272440.423713669</v>
      </c>
      <c r="I83" s="33">
        <f t="shared" si="9"/>
        <v>-817657.57628633082</v>
      </c>
      <c r="J83" s="42">
        <f t="shared" si="10"/>
        <v>-4.5199178925748817E-2</v>
      </c>
      <c r="K83" s="12">
        <f t="shared" si="11"/>
        <v>4.5199178925748817E-2</v>
      </c>
      <c r="L83" s="10">
        <f t="shared" si="12"/>
        <v>668563912058.43689</v>
      </c>
      <c r="M83" s="10">
        <f t="shared" si="13"/>
        <v>-354642.90632972866</v>
      </c>
      <c r="N83" s="10">
        <f t="shared" si="14"/>
        <v>125771591009.9967</v>
      </c>
      <c r="O83"/>
    </row>
    <row r="84" spans="1:15" x14ac:dyDescent="0.2">
      <c r="A84" s="49">
        <v>44135</v>
      </c>
      <c r="B84" s="307">
        <v>21983764</v>
      </c>
      <c r="C84" s="50">
        <f t="shared" si="15"/>
        <v>339.42999877929685</v>
      </c>
      <c r="D84" s="50">
        <f t="shared" si="15"/>
        <v>0.62999999761581427</v>
      </c>
      <c r="E84" s="50">
        <v>31</v>
      </c>
      <c r="F84" s="79">
        <v>1</v>
      </c>
      <c r="G84" s="50">
        <f>'Rate Class Customer Model'!O12</f>
        <v>12019.010080597949</v>
      </c>
      <c r="H84" s="50">
        <f t="shared" si="8"/>
        <v>20046184.373077624</v>
      </c>
      <c r="I84" s="33">
        <f t="shared" si="9"/>
        <v>-1937579.6269223765</v>
      </c>
      <c r="J84" s="42">
        <f t="shared" si="10"/>
        <v>-8.8136846216251979E-2</v>
      </c>
      <c r="K84" s="12">
        <f t="shared" si="11"/>
        <v>8.8136846216251979E-2</v>
      </c>
      <c r="L84" s="10">
        <f t="shared" si="12"/>
        <v>3754214810664.6558</v>
      </c>
      <c r="M84" s="10">
        <f t="shared" si="13"/>
        <v>-1119922.0506360456</v>
      </c>
      <c r="N84" s="10">
        <f t="shared" si="14"/>
        <v>1254225399500.8455</v>
      </c>
      <c r="O84"/>
    </row>
    <row r="85" spans="1:15" x14ac:dyDescent="0.2">
      <c r="A85" s="49">
        <v>44165</v>
      </c>
      <c r="B85" s="307">
        <v>22215383</v>
      </c>
      <c r="C85" s="50">
        <f t="shared" si="15"/>
        <v>540.9299945068359</v>
      </c>
      <c r="D85" s="50">
        <f t="shared" si="15"/>
        <v>0</v>
      </c>
      <c r="E85" s="50">
        <v>30</v>
      </c>
      <c r="F85" s="79">
        <v>0</v>
      </c>
      <c r="G85" s="50">
        <f>'Rate Class Customer Model'!O13</f>
        <v>12051.329800874817</v>
      </c>
      <c r="H85" s="50">
        <f t="shared" si="8"/>
        <v>22513992.357494831</v>
      </c>
      <c r="I85" s="33">
        <f t="shared" si="9"/>
        <v>298609.35749483109</v>
      </c>
      <c r="J85" s="42">
        <f t="shared" si="10"/>
        <v>1.3441557928343215E-2</v>
      </c>
      <c r="K85" s="12">
        <f t="shared" si="11"/>
        <v>1.3441557928343215E-2</v>
      </c>
      <c r="L85" s="10">
        <f t="shared" si="12"/>
        <v>89167548383.47583</v>
      </c>
      <c r="M85" s="10">
        <f t="shared" si="13"/>
        <v>2236188.9844172075</v>
      </c>
      <c r="N85" s="10">
        <f t="shared" si="14"/>
        <v>5000541174028.8623</v>
      </c>
      <c r="O85"/>
    </row>
    <row r="86" spans="1:15" x14ac:dyDescent="0.2">
      <c r="A86" s="49">
        <v>44196</v>
      </c>
      <c r="B86" s="307">
        <v>25416770</v>
      </c>
      <c r="C86" s="50">
        <f t="shared" si="15"/>
        <v>720.40000244140617</v>
      </c>
      <c r="D86" s="50">
        <f t="shared" si="15"/>
        <v>0</v>
      </c>
      <c r="E86" s="50">
        <v>31</v>
      </c>
      <c r="F86" s="79">
        <v>0</v>
      </c>
      <c r="G86" s="50">
        <f>'Rate Class Customer Model'!O14</f>
        <v>12083.736430498775</v>
      </c>
      <c r="H86" s="50">
        <f t="shared" si="8"/>
        <v>25347768.276774205</v>
      </c>
      <c r="I86" s="33">
        <f t="shared" si="9"/>
        <v>-69001.723225794733</v>
      </c>
      <c r="J86" s="42">
        <f t="shared" si="10"/>
        <v>-2.7148108601444923E-3</v>
      </c>
      <c r="K86" s="12">
        <f t="shared" si="11"/>
        <v>2.7148108601444923E-3</v>
      </c>
      <c r="L86" s="10">
        <f t="shared" si="12"/>
        <v>4761237808.12918</v>
      </c>
      <c r="M86" s="10">
        <f t="shared" si="13"/>
        <v>-367611.08072062582</v>
      </c>
      <c r="N86" s="10">
        <f t="shared" si="14"/>
        <v>135137906668.58647</v>
      </c>
      <c r="O86"/>
    </row>
    <row r="87" spans="1:15" x14ac:dyDescent="0.2">
      <c r="A87" s="49">
        <v>44227</v>
      </c>
      <c r="B87" s="307">
        <v>25867118</v>
      </c>
      <c r="C87" s="50">
        <f t="shared" si="15"/>
        <v>879.2500061035156</v>
      </c>
      <c r="D87" s="50">
        <f t="shared" si="15"/>
        <v>0</v>
      </c>
      <c r="E87" s="50">
        <v>31</v>
      </c>
      <c r="F87" s="79">
        <v>0</v>
      </c>
      <c r="G87" s="50">
        <f>'Rate Class Customer Model'!P3</f>
        <v>12084.73761549323</v>
      </c>
      <c r="H87" s="50">
        <f t="shared" si="8"/>
        <v>27035780.859095611</v>
      </c>
      <c r="I87" s="33">
        <f t="shared" si="9"/>
        <v>1168662.8590956107</v>
      </c>
      <c r="J87" s="42">
        <f t="shared" si="10"/>
        <v>4.5179476859216042E-2</v>
      </c>
      <c r="K87" s="12">
        <f t="shared" si="11"/>
        <v>4.5179476859216042E-2</v>
      </c>
      <c r="L87" s="10">
        <f t="shared" si="12"/>
        <v>1365772878229.5271</v>
      </c>
      <c r="M87" s="10">
        <f t="shared" si="13"/>
        <v>1237664.5823214054</v>
      </c>
      <c r="N87" s="10">
        <f t="shared" si="14"/>
        <v>1531813618332.8188</v>
      </c>
      <c r="O87"/>
    </row>
    <row r="88" spans="1:15" x14ac:dyDescent="0.2">
      <c r="A88" s="49">
        <v>44255</v>
      </c>
      <c r="B88" s="307">
        <v>24827388</v>
      </c>
      <c r="C88" s="50">
        <f t="shared" si="15"/>
        <v>817.92000366210937</v>
      </c>
      <c r="D88" s="50">
        <f t="shared" si="15"/>
        <v>0</v>
      </c>
      <c r="E88" s="50">
        <v>28</v>
      </c>
      <c r="F88" s="79">
        <v>0</v>
      </c>
      <c r="G88" s="50">
        <f>'Rate Class Customer Model'!P4</f>
        <v>12099.057962546922</v>
      </c>
      <c r="H88" s="50">
        <f t="shared" si="8"/>
        <v>24348957.286870554</v>
      </c>
      <c r="I88" s="33">
        <f t="shared" si="9"/>
        <v>-478430.71312944591</v>
      </c>
      <c r="J88" s="42">
        <f t="shared" si="10"/>
        <v>-1.9270279786558535E-2</v>
      </c>
      <c r="K88" s="12">
        <f t="shared" si="11"/>
        <v>1.9270279786558535E-2</v>
      </c>
      <c r="L88" s="10">
        <f t="shared" si="12"/>
        <v>228895947265.55017</v>
      </c>
      <c r="M88" s="10">
        <f t="shared" si="13"/>
        <v>-1647093.5722250566</v>
      </c>
      <c r="N88" s="10">
        <f t="shared" si="14"/>
        <v>2712917235665.0977</v>
      </c>
      <c r="O88"/>
    </row>
    <row r="89" spans="1:15" x14ac:dyDescent="0.2">
      <c r="A89" s="49">
        <v>44286</v>
      </c>
      <c r="B89" s="307">
        <v>24583551</v>
      </c>
      <c r="C89" s="50">
        <f t="shared" si="15"/>
        <v>711.95999877929694</v>
      </c>
      <c r="D89" s="50">
        <f t="shared" si="15"/>
        <v>0</v>
      </c>
      <c r="E89" s="50">
        <v>31</v>
      </c>
      <c r="F89" s="79">
        <v>1</v>
      </c>
      <c r="G89" s="50">
        <f>'Rate Class Customer Model'!P5</f>
        <v>12113.395279132452</v>
      </c>
      <c r="H89" s="50">
        <f t="shared" si="8"/>
        <v>24620953.737375639</v>
      </c>
      <c r="I89" s="33">
        <f t="shared" si="9"/>
        <v>37402.737375639379</v>
      </c>
      <c r="J89" s="42">
        <f t="shared" si="10"/>
        <v>1.5214538117637839E-3</v>
      </c>
      <c r="K89" s="12">
        <f t="shared" si="11"/>
        <v>1.5214538117637839E-3</v>
      </c>
      <c r="L89" s="10">
        <f t="shared" si="12"/>
        <v>1398964763.191051</v>
      </c>
      <c r="M89" s="10">
        <f t="shared" si="13"/>
        <v>515833.45050508529</v>
      </c>
      <c r="N89" s="10">
        <f t="shared" si="14"/>
        <v>266084148659.98227</v>
      </c>
      <c r="O89"/>
    </row>
    <row r="90" spans="1:15" x14ac:dyDescent="0.2">
      <c r="A90" s="49">
        <v>44316</v>
      </c>
      <c r="B90" s="307">
        <v>21537012</v>
      </c>
      <c r="C90" s="50">
        <f t="shared" si="15"/>
        <v>491.72000366210932</v>
      </c>
      <c r="D90" s="50">
        <f t="shared" si="15"/>
        <v>0</v>
      </c>
      <c r="E90" s="50">
        <v>30</v>
      </c>
      <c r="F90" s="79">
        <v>1</v>
      </c>
      <c r="G90" s="50">
        <f>'Rate Class Customer Model'!P6</f>
        <v>12127.749585358622</v>
      </c>
      <c r="H90" s="50">
        <f t="shared" si="8"/>
        <v>21676608.168995515</v>
      </c>
      <c r="I90" s="33">
        <f t="shared" si="9"/>
        <v>139596.16899551451</v>
      </c>
      <c r="J90" s="42">
        <f t="shared" si="10"/>
        <v>6.48168692089295E-3</v>
      </c>
      <c r="K90" s="12">
        <f t="shared" si="11"/>
        <v>6.48168692089295E-3</v>
      </c>
      <c r="L90" s="10">
        <f t="shared" si="12"/>
        <v>19487090398.224247</v>
      </c>
      <c r="M90" s="10">
        <f t="shared" si="13"/>
        <v>102193.43161987513</v>
      </c>
      <c r="N90" s="10">
        <f t="shared" si="14"/>
        <v>10443497466.246094</v>
      </c>
      <c r="O90"/>
    </row>
    <row r="91" spans="1:15" x14ac:dyDescent="0.2">
      <c r="A91" s="49">
        <v>44347</v>
      </c>
      <c r="B91" s="307">
        <v>20574453</v>
      </c>
      <c r="C91" s="50">
        <f t="shared" si="15"/>
        <v>281.6499978637695</v>
      </c>
      <c r="D91" s="50">
        <f t="shared" si="15"/>
        <v>1.8699999928474427</v>
      </c>
      <c r="E91" s="50">
        <v>31</v>
      </c>
      <c r="F91" s="79">
        <v>1</v>
      </c>
      <c r="G91" s="50">
        <f>'Rate Class Customer Model'!P7</f>
        <v>12142.120901358065</v>
      </c>
      <c r="H91" s="50">
        <f t="shared" si="8"/>
        <v>20310130.454568155</v>
      </c>
      <c r="I91" s="33">
        <f t="shared" si="9"/>
        <v>-264322.54543184489</v>
      </c>
      <c r="J91" s="42">
        <f t="shared" si="10"/>
        <v>-1.2847123830307658E-2</v>
      </c>
      <c r="K91" s="12">
        <f t="shared" si="11"/>
        <v>1.2847123830307658E-2</v>
      </c>
      <c r="L91" s="10">
        <f t="shared" si="12"/>
        <v>69866408023.569702</v>
      </c>
      <c r="M91" s="10">
        <f t="shared" si="13"/>
        <v>-403918.7144273594</v>
      </c>
      <c r="N91" s="10">
        <f t="shared" si="14"/>
        <v>163150327864.65073</v>
      </c>
      <c r="O91"/>
    </row>
    <row r="92" spans="1:15" x14ac:dyDescent="0.2">
      <c r="A92" s="49">
        <v>44377</v>
      </c>
      <c r="B92" s="307">
        <v>19092218</v>
      </c>
      <c r="C92" s="50">
        <f t="shared" si="15"/>
        <v>130.39000045776365</v>
      </c>
      <c r="D92" s="50">
        <f t="shared" si="15"/>
        <v>6.5900000768899911</v>
      </c>
      <c r="E92" s="50">
        <v>30</v>
      </c>
      <c r="F92" s="79">
        <v>0</v>
      </c>
      <c r="G92" s="50">
        <f>'Rate Class Customer Model'!P8</f>
        <v>12156.509247287264</v>
      </c>
      <c r="H92" s="50">
        <f t="shared" si="8"/>
        <v>19053436.11915803</v>
      </c>
      <c r="I92" s="33">
        <f t="shared" si="9"/>
        <v>-38781.880841970444</v>
      </c>
      <c r="J92" s="42">
        <f t="shared" si="10"/>
        <v>-2.0312925843383122E-3</v>
      </c>
      <c r="K92" s="12">
        <f t="shared" si="11"/>
        <v>2.0312925843383122E-3</v>
      </c>
      <c r="L92" s="10">
        <f t="shared" si="12"/>
        <v>1504034281.640794</v>
      </c>
      <c r="M92" s="10">
        <f t="shared" si="13"/>
        <v>225540.66458987445</v>
      </c>
      <c r="N92" s="10">
        <f t="shared" si="14"/>
        <v>50868591383.642242</v>
      </c>
      <c r="O92"/>
    </row>
    <row r="93" spans="1:15" x14ac:dyDescent="0.2">
      <c r="A93" s="49">
        <v>44408</v>
      </c>
      <c r="B93" s="307">
        <v>19443490</v>
      </c>
      <c r="C93" s="50">
        <f t="shared" si="15"/>
        <v>59.829999809265146</v>
      </c>
      <c r="D93" s="50">
        <f t="shared" si="15"/>
        <v>18.570000028610231</v>
      </c>
      <c r="E93" s="50">
        <v>31</v>
      </c>
      <c r="F93" s="79">
        <v>0</v>
      </c>
      <c r="G93" s="50">
        <f>'Rate Class Customer Model'!P9</f>
        <v>12170.914643326594</v>
      </c>
      <c r="H93" s="50">
        <f t="shared" si="8"/>
        <v>19412882.681532346</v>
      </c>
      <c r="I93" s="33">
        <f t="shared" si="9"/>
        <v>-30607.318467654288</v>
      </c>
      <c r="J93" s="42">
        <f t="shared" si="10"/>
        <v>-1.5741679332081991E-3</v>
      </c>
      <c r="K93" s="12">
        <f t="shared" si="11"/>
        <v>1.5741679332081991E-3</v>
      </c>
      <c r="L93" s="10">
        <f t="shared" si="12"/>
        <v>936807943.78041124</v>
      </c>
      <c r="M93" s="10">
        <f t="shared" si="13"/>
        <v>8174.5623743161559</v>
      </c>
      <c r="N93" s="10">
        <f t="shared" si="14"/>
        <v>66823470.011585385</v>
      </c>
      <c r="O93"/>
    </row>
    <row r="94" spans="1:15" x14ac:dyDescent="0.2">
      <c r="A94" s="49">
        <v>44439</v>
      </c>
      <c r="B94" s="307">
        <v>20406933</v>
      </c>
      <c r="C94" s="50">
        <f t="shared" si="15"/>
        <v>54.610000228881837</v>
      </c>
      <c r="D94" s="50">
        <f t="shared" si="15"/>
        <v>20.229999904632567</v>
      </c>
      <c r="E94" s="50">
        <v>31</v>
      </c>
      <c r="F94" s="79">
        <v>0</v>
      </c>
      <c r="G94" s="50">
        <f>'Rate Class Customer Model'!P10</f>
        <v>12185.33710968034</v>
      </c>
      <c r="H94" s="50">
        <f t="shared" si="8"/>
        <v>19497537.439829968</v>
      </c>
      <c r="I94" s="33">
        <f t="shared" si="9"/>
        <v>-909395.56017003208</v>
      </c>
      <c r="J94" s="42">
        <f t="shared" si="10"/>
        <v>-4.4563068843810685E-2</v>
      </c>
      <c r="K94" s="12">
        <f t="shared" si="11"/>
        <v>4.4563068843810685E-2</v>
      </c>
      <c r="L94" s="10">
        <f t="shared" si="12"/>
        <v>827000284856.96643</v>
      </c>
      <c r="M94" s="10">
        <f t="shared" si="13"/>
        <v>-878788.2417023778</v>
      </c>
      <c r="N94" s="10">
        <f t="shared" si="14"/>
        <v>772268773754.35681</v>
      </c>
      <c r="O94"/>
    </row>
    <row r="95" spans="1:15" x14ac:dyDescent="0.2">
      <c r="A95" s="49">
        <v>44469</v>
      </c>
      <c r="B95" s="307">
        <v>19210633</v>
      </c>
      <c r="C95" s="50">
        <f t="shared" si="15"/>
        <v>138.35999923706055</v>
      </c>
      <c r="D95" s="50">
        <f t="shared" si="15"/>
        <v>12.289999902248381</v>
      </c>
      <c r="E95" s="50">
        <v>30</v>
      </c>
      <c r="F95" s="79">
        <v>1</v>
      </c>
      <c r="G95" s="50">
        <f>'Rate Class Customer Model'!P11</f>
        <v>12199.776666576729</v>
      </c>
      <c r="H95" s="50">
        <f t="shared" si="8"/>
        <v>18734197.991272941</v>
      </c>
      <c r="I95" s="33">
        <f t="shared" si="9"/>
        <v>-476435.00872705877</v>
      </c>
      <c r="J95" s="42">
        <f t="shared" si="10"/>
        <v>-2.4800588753481408E-2</v>
      </c>
      <c r="K95" s="12">
        <f t="shared" si="11"/>
        <v>2.4800588753481408E-2</v>
      </c>
      <c r="L95" s="10">
        <f t="shared" si="12"/>
        <v>226990317540.75256</v>
      </c>
      <c r="M95" s="10">
        <f t="shared" si="13"/>
        <v>432960.55144297332</v>
      </c>
      <c r="N95" s="10">
        <f t="shared" si="14"/>
        <v>187454839105.80353</v>
      </c>
      <c r="O95"/>
    </row>
    <row r="96" spans="1:15" x14ac:dyDescent="0.2">
      <c r="A96" s="49">
        <v>44500</v>
      </c>
      <c r="B96" s="307">
        <v>20195668</v>
      </c>
      <c r="C96" s="50">
        <f t="shared" si="15"/>
        <v>339.42999877929685</v>
      </c>
      <c r="D96" s="50">
        <f t="shared" si="15"/>
        <v>0.62999999761581427</v>
      </c>
      <c r="E96" s="50">
        <v>31</v>
      </c>
      <c r="F96" s="79">
        <v>1</v>
      </c>
      <c r="G96" s="50">
        <f>'Rate Class Customer Model'!P12</f>
        <v>12214.233334267959</v>
      </c>
      <c r="H96" s="50">
        <f t="shared" si="8"/>
        <v>21385947.585038386</v>
      </c>
      <c r="I96" s="33">
        <f t="shared" si="9"/>
        <v>1190279.5850383863</v>
      </c>
      <c r="J96" s="42">
        <f t="shared" si="10"/>
        <v>5.8937371372830366E-2</v>
      </c>
      <c r="K96" s="12">
        <f t="shared" si="11"/>
        <v>5.8937371372830366E-2</v>
      </c>
      <c r="L96" s="10">
        <f t="shared" si="12"/>
        <v>1416765490559.1531</v>
      </c>
      <c r="M96" s="10">
        <f t="shared" si="13"/>
        <v>1666714.5937654451</v>
      </c>
      <c r="N96" s="10">
        <f t="shared" si="14"/>
        <v>2777937537070.7124</v>
      </c>
      <c r="O96"/>
    </row>
    <row r="97" spans="1:15" x14ac:dyDescent="0.2">
      <c r="A97" s="49">
        <v>44530</v>
      </c>
      <c r="B97" s="307">
        <v>23051852</v>
      </c>
      <c r="C97" s="50">
        <f t="shared" si="15"/>
        <v>540.9299945068359</v>
      </c>
      <c r="D97" s="50">
        <f t="shared" si="15"/>
        <v>0</v>
      </c>
      <c r="E97" s="50">
        <v>30</v>
      </c>
      <c r="F97" s="79">
        <v>0</v>
      </c>
      <c r="G97" s="50">
        <f>'Rate Class Customer Model'!P13</f>
        <v>12228.70713303023</v>
      </c>
      <c r="H97" s="50">
        <f t="shared" si="8"/>
        <v>23731283.944383666</v>
      </c>
      <c r="I97" s="33">
        <f t="shared" si="9"/>
        <v>679431.94438366592</v>
      </c>
      <c r="J97" s="42">
        <f t="shared" si="10"/>
        <v>2.9474071948044172E-2</v>
      </c>
      <c r="K97" s="12">
        <f t="shared" si="11"/>
        <v>2.9474071948044172E-2</v>
      </c>
      <c r="L97" s="10">
        <f t="shared" si="12"/>
        <v>461627767048.96887</v>
      </c>
      <c r="M97" s="10">
        <f t="shared" si="13"/>
        <v>-510847.64065472037</v>
      </c>
      <c r="N97" s="10">
        <f t="shared" si="14"/>
        <v>260965311962.49429</v>
      </c>
      <c r="O97"/>
    </row>
    <row r="98" spans="1:15" x14ac:dyDescent="0.2">
      <c r="A98" s="49">
        <v>44561</v>
      </c>
      <c r="B98" s="307">
        <v>26436572</v>
      </c>
      <c r="C98" s="50">
        <f t="shared" si="15"/>
        <v>720.40000244140617</v>
      </c>
      <c r="D98" s="50">
        <f t="shared" si="15"/>
        <v>0</v>
      </c>
      <c r="E98" s="50">
        <v>31</v>
      </c>
      <c r="F98" s="79">
        <v>0</v>
      </c>
      <c r="G98" s="50">
        <f>'Rate Class Customer Model'!P14</f>
        <v>12243.198083163763</v>
      </c>
      <c r="H98" s="50">
        <f t="shared" si="8"/>
        <v>26442109.508890621</v>
      </c>
      <c r="I98" s="33">
        <f t="shared" si="9"/>
        <v>5537.5088906213641</v>
      </c>
      <c r="J98" s="42">
        <f t="shared" si="10"/>
        <v>2.0946395359509409E-4</v>
      </c>
      <c r="K98" s="12">
        <f t="shared" si="11"/>
        <v>2.0946395359509409E-4</v>
      </c>
      <c r="L98" s="10">
        <f t="shared" si="12"/>
        <v>30664004.713710651</v>
      </c>
      <c r="M98" s="10">
        <f t="shared" si="13"/>
        <v>-673894.43549304456</v>
      </c>
      <c r="N98" s="10">
        <f t="shared" si="14"/>
        <v>454133710188.4892</v>
      </c>
      <c r="O98"/>
    </row>
    <row r="99" spans="1:15" x14ac:dyDescent="0.2">
      <c r="A99" s="49">
        <v>44592</v>
      </c>
      <c r="B99" s="308">
        <v>30320977</v>
      </c>
      <c r="C99" s="50">
        <f t="shared" si="15"/>
        <v>879.2500061035156</v>
      </c>
      <c r="D99" s="50">
        <f t="shared" si="15"/>
        <v>0</v>
      </c>
      <c r="E99" s="50">
        <v>31</v>
      </c>
      <c r="F99" s="79">
        <v>0</v>
      </c>
      <c r="G99" s="50">
        <f>'Rate Class Customer Model'!Q3</f>
        <v>12244.198569699198</v>
      </c>
      <c r="H99" s="50">
        <f t="shared" si="8"/>
        <v>28130117.29788091</v>
      </c>
      <c r="I99" s="33">
        <f t="shared" si="9"/>
        <v>-2190859.7021190897</v>
      </c>
      <c r="J99" s="42">
        <f t="shared" si="10"/>
        <v>-7.2255577454482744E-2</v>
      </c>
      <c r="K99" s="12">
        <f t="shared" si="11"/>
        <v>7.2255577454482744E-2</v>
      </c>
      <c r="L99" s="10">
        <f t="shared" si="12"/>
        <v>4799866234369.3467</v>
      </c>
      <c r="M99" s="10">
        <f t="shared" si="13"/>
        <v>-2196397.211009711</v>
      </c>
      <c r="N99" s="10">
        <f t="shared" si="14"/>
        <v>4824160708531.2373</v>
      </c>
      <c r="O99"/>
    </row>
    <row r="100" spans="1:15" x14ac:dyDescent="0.2">
      <c r="A100" s="49">
        <v>44620</v>
      </c>
      <c r="B100" s="308">
        <v>26652765</v>
      </c>
      <c r="C100" s="50">
        <f t="shared" si="15"/>
        <v>817.92000366210937</v>
      </c>
      <c r="D100" s="50">
        <f t="shared" si="15"/>
        <v>0</v>
      </c>
      <c r="E100" s="50">
        <v>28</v>
      </c>
      <c r="F100" s="79">
        <v>0</v>
      </c>
      <c r="G100" s="50">
        <f>'Rate Class Customer Model'!Q4</f>
        <v>12250.15580617966</v>
      </c>
      <c r="H100" s="50">
        <f t="shared" si="8"/>
        <v>25385900.010138154</v>
      </c>
      <c r="I100" s="33">
        <f t="shared" si="9"/>
        <v>-1266864.989861846</v>
      </c>
      <c r="J100" s="42">
        <f t="shared" si="10"/>
        <v>-4.7532216258307385E-2</v>
      </c>
      <c r="K100" s="12">
        <f t="shared" si="11"/>
        <v>4.7532216258307385E-2</v>
      </c>
      <c r="L100" s="10">
        <f t="shared" si="12"/>
        <v>1604946902537.655</v>
      </c>
      <c r="M100" s="10">
        <f t="shared" si="13"/>
        <v>923994.71225724369</v>
      </c>
      <c r="N100" s="10">
        <f t="shared" si="14"/>
        <v>853766228279.34656</v>
      </c>
      <c r="O100"/>
    </row>
    <row r="101" spans="1:15" x14ac:dyDescent="0.2">
      <c r="A101" s="49">
        <v>44651</v>
      </c>
      <c r="B101" s="308">
        <v>25914442</v>
      </c>
      <c r="C101" s="50">
        <f t="shared" si="15"/>
        <v>711.95999877929694</v>
      </c>
      <c r="D101" s="50">
        <f t="shared" si="15"/>
        <v>0</v>
      </c>
      <c r="E101" s="50">
        <v>31</v>
      </c>
      <c r="F101" s="79">
        <v>1</v>
      </c>
      <c r="G101" s="50">
        <f>'Rate Class Customer Model'!Q5</f>
        <v>12256.115941066768</v>
      </c>
      <c r="H101" s="50">
        <f t="shared" si="8"/>
        <v>25600406.178883947</v>
      </c>
      <c r="I101" s="33">
        <f t="shared" si="9"/>
        <v>-314035.82111605257</v>
      </c>
      <c r="J101" s="42">
        <f t="shared" si="10"/>
        <v>-1.2118178007307762E-2</v>
      </c>
      <c r="K101" s="12">
        <f t="shared" si="11"/>
        <v>1.2118178007307762E-2</v>
      </c>
      <c r="L101" s="10">
        <f t="shared" si="12"/>
        <v>98618496944.033371</v>
      </c>
      <c r="M101" s="10">
        <f t="shared" si="13"/>
        <v>952829.1687457934</v>
      </c>
      <c r="N101" s="10">
        <f t="shared" si="14"/>
        <v>907883424812.79968</v>
      </c>
      <c r="O101"/>
    </row>
    <row r="102" spans="1:15" x14ac:dyDescent="0.2">
      <c r="A102" s="49">
        <v>44681</v>
      </c>
      <c r="B102" s="308">
        <v>22945031</v>
      </c>
      <c r="C102" s="50">
        <f t="shared" si="15"/>
        <v>491.72000366210932</v>
      </c>
      <c r="D102" s="50">
        <f t="shared" si="15"/>
        <v>0</v>
      </c>
      <c r="E102" s="50">
        <v>30</v>
      </c>
      <c r="F102" s="79">
        <v>1</v>
      </c>
      <c r="G102" s="50">
        <f>'Rate Class Customer Model'!Q6</f>
        <v>12262.078975770695</v>
      </c>
      <c r="H102" s="50">
        <f t="shared" si="8"/>
        <v>22598473.634179369</v>
      </c>
      <c r="I102" s="33">
        <f t="shared" si="9"/>
        <v>-346557.36582063138</v>
      </c>
      <c r="J102" s="42">
        <f t="shared" si="10"/>
        <v>-1.5103809004251569E-2</v>
      </c>
      <c r="K102" s="12">
        <f t="shared" si="11"/>
        <v>1.5103809004251569E-2</v>
      </c>
      <c r="L102" s="10">
        <f t="shared" si="12"/>
        <v>120102007804.53493</v>
      </c>
      <c r="M102" s="10">
        <f t="shared" si="13"/>
        <v>-32521.544704578817</v>
      </c>
      <c r="N102" s="10">
        <f t="shared" si="14"/>
        <v>1057650869.9719185</v>
      </c>
      <c r="O102"/>
    </row>
    <row r="103" spans="1:15" x14ac:dyDescent="0.2">
      <c r="A103" s="49">
        <v>44712</v>
      </c>
      <c r="B103" s="308">
        <v>19916599</v>
      </c>
      <c r="C103" s="50">
        <f t="shared" si="15"/>
        <v>281.6499978637695</v>
      </c>
      <c r="D103" s="50">
        <f t="shared" si="15"/>
        <v>1.8699999928474427</v>
      </c>
      <c r="E103" s="50">
        <v>31</v>
      </c>
      <c r="F103" s="79">
        <v>1</v>
      </c>
      <c r="G103" s="50">
        <f>'Rate Class Customer Model'!Q7</f>
        <v>12268.044911702309</v>
      </c>
      <c r="H103" s="50">
        <f t="shared" si="8"/>
        <v>21174312.120380141</v>
      </c>
      <c r="I103" s="33">
        <f t="shared" si="9"/>
        <v>1257713.1203801408</v>
      </c>
      <c r="J103" s="42">
        <f t="shared" si="10"/>
        <v>6.314899046670272E-2</v>
      </c>
      <c r="K103" s="12">
        <f t="shared" si="11"/>
        <v>6.314899046670272E-2</v>
      </c>
      <c r="L103" s="10">
        <f t="shared" si="12"/>
        <v>1581842293176.3506</v>
      </c>
      <c r="M103" s="10">
        <f t="shared" si="13"/>
        <v>1604270.4862007722</v>
      </c>
      <c r="N103" s="10">
        <f t="shared" si="14"/>
        <v>2573683792894.8623</v>
      </c>
      <c r="O103"/>
    </row>
    <row r="104" spans="1:15" x14ac:dyDescent="0.2">
      <c r="A104" s="49">
        <v>44742</v>
      </c>
      <c r="B104" s="308">
        <v>18916028</v>
      </c>
      <c r="C104" s="50">
        <f t="shared" si="15"/>
        <v>130.39000045776365</v>
      </c>
      <c r="D104" s="50">
        <f t="shared" si="15"/>
        <v>6.5900000768899911</v>
      </c>
      <c r="E104" s="50">
        <v>30</v>
      </c>
      <c r="F104" s="79">
        <v>0</v>
      </c>
      <c r="G104" s="50">
        <f>'Rate Class Customer Model'!Q8</f>
        <v>12274.013750273158</v>
      </c>
      <c r="H104" s="50">
        <f t="shared" si="8"/>
        <v>19859837.03390941</v>
      </c>
      <c r="I104" s="33">
        <f t="shared" si="9"/>
        <v>943809.03390941024</v>
      </c>
      <c r="J104" s="42">
        <f t="shared" si="10"/>
        <v>4.9894673126377811E-2</v>
      </c>
      <c r="K104" s="12">
        <f t="shared" si="11"/>
        <v>4.9894673126377811E-2</v>
      </c>
      <c r="L104" s="10">
        <f t="shared" si="12"/>
        <v>890775492489.01428</v>
      </c>
      <c r="M104" s="10">
        <f t="shared" si="13"/>
        <v>-313904.0864707306</v>
      </c>
      <c r="N104" s="10">
        <f t="shared" si="14"/>
        <v>98535775503.023911</v>
      </c>
      <c r="O104"/>
    </row>
    <row r="105" spans="1:15" x14ac:dyDescent="0.2">
      <c r="A105" s="49">
        <v>44773</v>
      </c>
      <c r="B105" s="308">
        <v>19884843</v>
      </c>
      <c r="C105" s="50">
        <f t="shared" si="15"/>
        <v>59.829999809265146</v>
      </c>
      <c r="D105" s="50">
        <f t="shared" si="15"/>
        <v>18.570000028610231</v>
      </c>
      <c r="E105" s="50">
        <v>31</v>
      </c>
      <c r="F105" s="79">
        <v>0</v>
      </c>
      <c r="G105" s="50">
        <f>'Rate Class Customer Model'!Q9</f>
        <v>12279.985492895479</v>
      </c>
      <c r="H105" s="50">
        <f t="shared" si="8"/>
        <v>20161405.764733829</v>
      </c>
      <c r="I105" s="33">
        <f t="shared" si="9"/>
        <v>276562.7647338286</v>
      </c>
      <c r="J105" s="42">
        <f t="shared" si="10"/>
        <v>1.3908219679372304E-2</v>
      </c>
      <c r="K105" s="12">
        <f t="shared" si="11"/>
        <v>1.3908219679372304E-2</v>
      </c>
      <c r="L105" s="10">
        <f t="shared" si="12"/>
        <v>76486962837.219025</v>
      </c>
      <c r="M105" s="10">
        <f t="shared" si="13"/>
        <v>-667246.26917558163</v>
      </c>
      <c r="N105" s="10">
        <f t="shared" si="14"/>
        <v>445217583728.73273</v>
      </c>
      <c r="O105"/>
    </row>
    <row r="106" spans="1:15" x14ac:dyDescent="0.2">
      <c r="A106" s="49">
        <v>44804</v>
      </c>
      <c r="B106" s="308">
        <v>20536450</v>
      </c>
      <c r="C106" s="50">
        <f t="shared" si="15"/>
        <v>54.610000228881837</v>
      </c>
      <c r="D106" s="50">
        <f t="shared" si="15"/>
        <v>20.229999904632567</v>
      </c>
      <c r="E106" s="50">
        <v>31</v>
      </c>
      <c r="F106" s="79">
        <v>0</v>
      </c>
      <c r="G106" s="50">
        <f>'Rate Class Customer Model'!Q10</f>
        <v>12285.960140982195</v>
      </c>
      <c r="H106" s="50">
        <f t="shared" si="8"/>
        <v>20188085.482032336</v>
      </c>
      <c r="I106" s="33">
        <f t="shared" si="9"/>
        <v>-348364.51796766371</v>
      </c>
      <c r="J106" s="42">
        <f t="shared" si="10"/>
        <v>-1.6963229670544991E-2</v>
      </c>
      <c r="K106" s="12">
        <f t="shared" si="11"/>
        <v>1.6963229670544991E-2</v>
      </c>
      <c r="L106" s="10">
        <f t="shared" si="12"/>
        <v>121357837378.84268</v>
      </c>
      <c r="M106" s="10">
        <f t="shared" si="13"/>
        <v>-624927.28270149231</v>
      </c>
      <c r="N106" s="10">
        <f t="shared" si="14"/>
        <v>390534108664.6709</v>
      </c>
      <c r="O106"/>
    </row>
    <row r="107" spans="1:15" x14ac:dyDescent="0.2">
      <c r="A107" s="49">
        <v>44834</v>
      </c>
      <c r="B107" s="308">
        <v>20139133</v>
      </c>
      <c r="C107" s="50">
        <f t="shared" si="15"/>
        <v>138.35999923706055</v>
      </c>
      <c r="D107" s="50">
        <f t="shared" si="15"/>
        <v>12.289999902248381</v>
      </c>
      <c r="E107" s="50">
        <v>30</v>
      </c>
      <c r="F107" s="79">
        <v>1</v>
      </c>
      <c r="G107" s="50">
        <f>'Rate Class Customer Model'!Q11</f>
        <v>12291.937695946919</v>
      </c>
      <c r="H107" s="50">
        <f t="shared" si="8"/>
        <v>19366673.653907523</v>
      </c>
      <c r="I107" s="33">
        <f t="shared" si="9"/>
        <v>-772459.34609247744</v>
      </c>
      <c r="J107" s="42">
        <f t="shared" si="10"/>
        <v>-3.8356137083581376E-2</v>
      </c>
      <c r="K107" s="12">
        <f t="shared" si="11"/>
        <v>3.8356137083581376E-2</v>
      </c>
      <c r="L107" s="10">
        <f t="shared" si="12"/>
        <v>596693441365.6178</v>
      </c>
      <c r="M107" s="10">
        <f t="shared" si="13"/>
        <v>-424094.82812481374</v>
      </c>
      <c r="N107" s="10">
        <f t="shared" si="14"/>
        <v>179856423242.2153</v>
      </c>
      <c r="O107"/>
    </row>
    <row r="108" spans="1:15" x14ac:dyDescent="0.2">
      <c r="A108" s="49">
        <v>44865</v>
      </c>
      <c r="B108" s="308">
        <v>22313356</v>
      </c>
      <c r="C108" s="50">
        <f t="shared" si="15"/>
        <v>339.42999877929685</v>
      </c>
      <c r="D108" s="50">
        <f t="shared" si="15"/>
        <v>0.62999999761581427</v>
      </c>
      <c r="E108" s="50">
        <v>31</v>
      </c>
      <c r="F108" s="79">
        <v>1</v>
      </c>
      <c r="G108" s="50">
        <f>'Rate Class Customer Model'!Q12</f>
        <v>12297.918159203949</v>
      </c>
      <c r="H108" s="50">
        <f t="shared" si="8"/>
        <v>21960253.400257163</v>
      </c>
      <c r="I108" s="33">
        <f t="shared" si="9"/>
        <v>-353102.59974283725</v>
      </c>
      <c r="J108" s="42">
        <f t="shared" si="10"/>
        <v>-1.5824719497274962E-2</v>
      </c>
      <c r="K108" s="12">
        <f t="shared" si="11"/>
        <v>1.5824719497274962E-2</v>
      </c>
      <c r="L108" s="10">
        <f t="shared" si="12"/>
        <v>124681445945.15033</v>
      </c>
      <c r="M108" s="10">
        <f t="shared" si="13"/>
        <v>419356.74634964019</v>
      </c>
      <c r="N108" s="10">
        <f t="shared" si="14"/>
        <v>175860080708.95645</v>
      </c>
      <c r="O108"/>
    </row>
    <row r="109" spans="1:15" x14ac:dyDescent="0.2">
      <c r="A109" s="49">
        <v>44895</v>
      </c>
      <c r="B109" s="308">
        <v>23932631</v>
      </c>
      <c r="C109" s="50">
        <f t="shared" si="15"/>
        <v>540.9299945068359</v>
      </c>
      <c r="D109" s="50">
        <f t="shared" si="15"/>
        <v>0</v>
      </c>
      <c r="E109" s="50">
        <v>30</v>
      </c>
      <c r="F109" s="79">
        <v>0</v>
      </c>
      <c r="G109" s="50">
        <f>'Rate Class Customer Model'!Q13</f>
        <v>12303.901532168275</v>
      </c>
      <c r="H109" s="50">
        <f t="shared" si="8"/>
        <v>24247322.31489937</v>
      </c>
      <c r="I109" s="33">
        <f t="shared" si="9"/>
        <v>314691.31489937007</v>
      </c>
      <c r="J109" s="42">
        <f t="shared" si="10"/>
        <v>1.3149048046550756E-2</v>
      </c>
      <c r="K109" s="12">
        <f t="shared" si="11"/>
        <v>1.3149048046550756E-2</v>
      </c>
      <c r="L109" s="10">
        <f t="shared" si="12"/>
        <v>99030623673.094498</v>
      </c>
      <c r="M109" s="10">
        <f t="shared" si="13"/>
        <v>667793.91464220732</v>
      </c>
      <c r="N109" s="10">
        <f t="shared" si="14"/>
        <v>445948712433.1637</v>
      </c>
      <c r="O109"/>
    </row>
    <row r="110" spans="1:15" x14ac:dyDescent="0.2">
      <c r="A110" s="49">
        <v>44926</v>
      </c>
      <c r="B110" s="308">
        <v>28100635</v>
      </c>
      <c r="C110" s="50">
        <f t="shared" si="15"/>
        <v>720.40000244140617</v>
      </c>
      <c r="D110" s="50">
        <f t="shared" si="15"/>
        <v>0</v>
      </c>
      <c r="E110" s="50">
        <v>31</v>
      </c>
      <c r="F110" s="79">
        <v>0</v>
      </c>
      <c r="G110" s="50">
        <f>'Rate Class Customer Model'!Q14</f>
        <v>12309.887816255568</v>
      </c>
      <c r="H110" s="50">
        <f t="shared" si="8"/>
        <v>26899782.707816564</v>
      </c>
      <c r="I110" s="33">
        <f t="shared" si="9"/>
        <v>-1200852.2921834365</v>
      </c>
      <c r="J110" s="42">
        <f t="shared" si="10"/>
        <v>-4.2733991320247265E-2</v>
      </c>
      <c r="K110" s="12">
        <f t="shared" si="11"/>
        <v>4.2733991320247265E-2</v>
      </c>
      <c r="L110" s="10">
        <f t="shared" si="12"/>
        <v>1442046227642.2134</v>
      </c>
      <c r="M110" s="10">
        <f t="shared" si="13"/>
        <v>-1515543.6070828065</v>
      </c>
      <c r="N110" s="10">
        <f t="shared" si="14"/>
        <v>2296872424969.5645</v>
      </c>
      <c r="O110"/>
    </row>
    <row r="111" spans="1:15" x14ac:dyDescent="0.2">
      <c r="A111" s="49">
        <v>44957</v>
      </c>
      <c r="B111" s="307">
        <v>27608826</v>
      </c>
      <c r="C111" s="50">
        <f t="shared" si="15"/>
        <v>879.2500061035156</v>
      </c>
      <c r="D111" s="50">
        <f t="shared" si="15"/>
        <v>0</v>
      </c>
      <c r="E111" s="64">
        <v>31</v>
      </c>
      <c r="F111" s="80">
        <v>0</v>
      </c>
      <c r="G111" s="50">
        <f>'Rate Class Customer Model'!R3</f>
        <v>12310.888748987967</v>
      </c>
      <c r="H111" s="50">
        <f t="shared" si="8"/>
        <v>28587793.558933236</v>
      </c>
      <c r="I111" s="33">
        <f t="shared" si="9"/>
        <v>978967.5589332357</v>
      </c>
      <c r="J111" s="42">
        <f t="shared" si="10"/>
        <v>3.5458500080127846E-2</v>
      </c>
      <c r="K111" s="12">
        <f t="shared" si="11"/>
        <v>3.5458500080127846E-2</v>
      </c>
      <c r="L111" s="10">
        <f t="shared" si="12"/>
        <v>958377481443.69836</v>
      </c>
      <c r="M111" s="10">
        <f t="shared" si="13"/>
        <v>2179819.8511166722</v>
      </c>
      <c r="N111" s="10">
        <f t="shared" si="14"/>
        <v>4751614583322.3105</v>
      </c>
      <c r="O111"/>
    </row>
    <row r="112" spans="1:15" x14ac:dyDescent="0.2">
      <c r="A112" s="49">
        <v>44985</v>
      </c>
      <c r="B112" s="307">
        <v>25460858</v>
      </c>
      <c r="C112" s="50">
        <f t="shared" si="15"/>
        <v>817.92000366210937</v>
      </c>
      <c r="D112" s="50">
        <f t="shared" si="15"/>
        <v>0</v>
      </c>
      <c r="E112" s="64">
        <v>28</v>
      </c>
      <c r="F112" s="80">
        <v>0</v>
      </c>
      <c r="G112" s="50">
        <f>'Rate Class Customer Model'!R4</f>
        <v>12322.371513770477</v>
      </c>
      <c r="H112" s="50">
        <f t="shared" si="8"/>
        <v>25881496.444154337</v>
      </c>
      <c r="I112" s="33">
        <f t="shared" si="9"/>
        <v>420638.44415433705</v>
      </c>
      <c r="J112" s="42">
        <f t="shared" si="10"/>
        <v>1.6520984648448887E-2</v>
      </c>
      <c r="K112" s="12">
        <f t="shared" si="11"/>
        <v>1.6520984648448887E-2</v>
      </c>
      <c r="L112" s="10">
        <f t="shared" si="12"/>
        <v>176936700700.58133</v>
      </c>
      <c r="M112" s="10">
        <f t="shared" si="13"/>
        <v>-558329.11477889866</v>
      </c>
      <c r="N112" s="10">
        <f t="shared" si="14"/>
        <v>311731400409.78857</v>
      </c>
      <c r="O112"/>
    </row>
    <row r="113" spans="1:15" x14ac:dyDescent="0.2">
      <c r="A113" s="49">
        <v>45016</v>
      </c>
      <c r="B113" s="307">
        <v>26814114</v>
      </c>
      <c r="C113" s="50">
        <f t="shared" si="15"/>
        <v>711.95999877929694</v>
      </c>
      <c r="D113" s="50">
        <f t="shared" si="15"/>
        <v>0</v>
      </c>
      <c r="E113" s="64">
        <v>31</v>
      </c>
      <c r="F113" s="80">
        <v>1</v>
      </c>
      <c r="G113" s="50">
        <f>'Rate Class Customer Model'!R5</f>
        <v>12333.864988899715</v>
      </c>
      <c r="H113" s="50">
        <f t="shared" si="8"/>
        <v>26133976.397048809</v>
      </c>
      <c r="I113" s="33">
        <f t="shared" si="9"/>
        <v>-680137.60295119137</v>
      </c>
      <c r="J113" s="42">
        <f t="shared" si="10"/>
        <v>-2.5364910544916432E-2</v>
      </c>
      <c r="K113" s="12">
        <f t="shared" si="11"/>
        <v>2.5364910544916432E-2</v>
      </c>
      <c r="L113" s="10">
        <f t="shared" si="12"/>
        <v>462587158948.19244</v>
      </c>
      <c r="M113" s="10">
        <f t="shared" si="13"/>
        <v>-1100776.0471055284</v>
      </c>
      <c r="N113" s="10">
        <f t="shared" si="14"/>
        <v>1211707905881.2725</v>
      </c>
      <c r="O113"/>
    </row>
    <row r="114" spans="1:15" x14ac:dyDescent="0.2">
      <c r="A114" s="49">
        <v>45046</v>
      </c>
      <c r="B114" s="307">
        <v>24148903</v>
      </c>
      <c r="C114" s="50">
        <f t="shared" si="15"/>
        <v>491.72000366210932</v>
      </c>
      <c r="D114" s="50">
        <f t="shared" si="15"/>
        <v>0</v>
      </c>
      <c r="E114" s="64">
        <v>30</v>
      </c>
      <c r="F114" s="80">
        <v>1</v>
      </c>
      <c r="G114" s="50">
        <f>'Rate Class Customer Model'!R6</f>
        <v>12345.369184365571</v>
      </c>
      <c r="H114" s="50">
        <f t="shared" si="8"/>
        <v>23170071.306557953</v>
      </c>
      <c r="I114" s="33">
        <f t="shared" si="9"/>
        <v>-978831.69344204664</v>
      </c>
      <c r="J114" s="42">
        <f t="shared" si="10"/>
        <v>-4.0533174258145253E-2</v>
      </c>
      <c r="K114" s="12">
        <f t="shared" si="11"/>
        <v>4.0533174258145253E-2</v>
      </c>
      <c r="L114" s="10">
        <f t="shared" si="12"/>
        <v>958111484086.62476</v>
      </c>
      <c r="M114" s="10">
        <f t="shared" si="13"/>
        <v>-298694.09049085528</v>
      </c>
      <c r="N114" s="10">
        <f t="shared" si="14"/>
        <v>89218159694.159241</v>
      </c>
      <c r="O114"/>
    </row>
    <row r="115" spans="1:15" x14ac:dyDescent="0.2">
      <c r="A115" s="49">
        <v>45077</v>
      </c>
      <c r="B115" s="307">
        <v>21453893</v>
      </c>
      <c r="C115" s="50">
        <f t="shared" si="15"/>
        <v>281.6499978637695</v>
      </c>
      <c r="D115" s="50">
        <f t="shared" si="15"/>
        <v>1.8699999928474427</v>
      </c>
      <c r="E115" s="64">
        <v>31</v>
      </c>
      <c r="F115" s="80">
        <v>1</v>
      </c>
      <c r="G115" s="50">
        <f>'Rate Class Customer Model'!R7</f>
        <v>12356.884110167248</v>
      </c>
      <c r="H115" s="50">
        <f t="shared" si="8"/>
        <v>21783990.975976892</v>
      </c>
      <c r="I115" s="33">
        <f t="shared" si="9"/>
        <v>330097.97597689182</v>
      </c>
      <c r="J115" s="42">
        <f t="shared" si="10"/>
        <v>1.5386390524875454E-2</v>
      </c>
      <c r="K115" s="12">
        <f t="shared" si="11"/>
        <v>1.5386390524875454E-2</v>
      </c>
      <c r="L115" s="10">
        <f t="shared" si="12"/>
        <v>108964673744.04065</v>
      </c>
      <c r="M115" s="10">
        <f t="shared" si="13"/>
        <v>1308929.6694189385</v>
      </c>
      <c r="N115" s="10">
        <f t="shared" si="14"/>
        <v>1713296879485.1716</v>
      </c>
      <c r="O115"/>
    </row>
    <row r="116" spans="1:15" x14ac:dyDescent="0.2">
      <c r="A116" s="49">
        <v>45107</v>
      </c>
      <c r="B116" s="307">
        <v>20524157</v>
      </c>
      <c r="C116" s="50">
        <f t="shared" si="15"/>
        <v>130.39000045776365</v>
      </c>
      <c r="D116" s="50">
        <f t="shared" si="15"/>
        <v>6.5900000768899911</v>
      </c>
      <c r="E116" s="64">
        <v>30</v>
      </c>
      <c r="F116" s="80">
        <v>0</v>
      </c>
      <c r="G116" s="50">
        <f>'Rate Class Customer Model'!R8</f>
        <v>12368.40977631328</v>
      </c>
      <c r="H116" s="50">
        <f t="shared" si="8"/>
        <v>20507650.860727489</v>
      </c>
      <c r="I116" s="33">
        <f t="shared" si="9"/>
        <v>-16506.139272511005</v>
      </c>
      <c r="J116" s="42">
        <f t="shared" si="10"/>
        <v>-8.0422982890410578E-4</v>
      </c>
      <c r="K116" s="12">
        <f t="shared" si="11"/>
        <v>8.0422982890410578E-4</v>
      </c>
      <c r="L116" s="10">
        <f t="shared" si="12"/>
        <v>272452633.68353015</v>
      </c>
      <c r="M116" s="10">
        <f t="shared" si="13"/>
        <v>-346604.11524940282</v>
      </c>
      <c r="N116" s="10">
        <f t="shared" si="14"/>
        <v>120134412707.82132</v>
      </c>
      <c r="O116"/>
    </row>
    <row r="117" spans="1:15" x14ac:dyDescent="0.2">
      <c r="A117" s="49">
        <v>45138</v>
      </c>
      <c r="B117" s="307">
        <v>20651596</v>
      </c>
      <c r="C117" s="50">
        <f t="shared" si="15"/>
        <v>59.829999809265146</v>
      </c>
      <c r="D117" s="50">
        <f t="shared" si="15"/>
        <v>18.570000028610231</v>
      </c>
      <c r="E117" s="64">
        <v>31</v>
      </c>
      <c r="F117" s="80">
        <v>0</v>
      </c>
      <c r="G117" s="50">
        <f>'Rate Class Customer Model'!R9</f>
        <v>12379.946192821533</v>
      </c>
      <c r="H117" s="50">
        <f t="shared" si="8"/>
        <v>20847408.409834437</v>
      </c>
      <c r="I117" s="33">
        <f t="shared" si="9"/>
        <v>195812.40983443707</v>
      </c>
      <c r="J117" s="42">
        <f t="shared" si="10"/>
        <v>9.481708330650913E-3</v>
      </c>
      <c r="K117" s="12">
        <f t="shared" si="11"/>
        <v>9.481708330650913E-3</v>
      </c>
      <c r="L117" s="10">
        <f t="shared" si="12"/>
        <v>38342499845.169548</v>
      </c>
      <c r="M117" s="10">
        <f t="shared" si="13"/>
        <v>212318.54910694808</v>
      </c>
      <c r="N117" s="10">
        <f t="shared" si="14"/>
        <v>45079166294.879524</v>
      </c>
      <c r="O117"/>
    </row>
    <row r="118" spans="1:15" x14ac:dyDescent="0.2">
      <c r="A118" s="49">
        <v>45169</v>
      </c>
      <c r="B118" s="307">
        <v>20850815</v>
      </c>
      <c r="C118" s="50">
        <f t="shared" si="15"/>
        <v>54.610000228881837</v>
      </c>
      <c r="D118" s="50">
        <f t="shared" si="15"/>
        <v>20.229999904632567</v>
      </c>
      <c r="E118" s="64">
        <v>31</v>
      </c>
      <c r="F118" s="80">
        <v>0</v>
      </c>
      <c r="G118" s="50">
        <f>'Rate Class Customer Model'!R10</f>
        <v>12391.493369719219</v>
      </c>
      <c r="H118" s="50">
        <f t="shared" si="8"/>
        <v>20912330.851594187</v>
      </c>
      <c r="I118" s="33">
        <f t="shared" si="9"/>
        <v>61515.851594187319</v>
      </c>
      <c r="J118" s="42">
        <f t="shared" si="10"/>
        <v>2.9502852331761286E-3</v>
      </c>
      <c r="K118" s="12">
        <f t="shared" si="11"/>
        <v>2.9502852331761286E-3</v>
      </c>
      <c r="L118" s="10">
        <f t="shared" si="12"/>
        <v>3784199997.3580785</v>
      </c>
      <c r="M118" s="10">
        <f t="shared" si="13"/>
        <v>-134296.55824024975</v>
      </c>
      <c r="N118" s="10">
        <f t="shared" si="14"/>
        <v>18035565555.176792</v>
      </c>
      <c r="O118"/>
    </row>
    <row r="119" spans="1:15" x14ac:dyDescent="0.2">
      <c r="A119" s="49">
        <v>45199</v>
      </c>
      <c r="B119" s="307">
        <v>19577976.720000003</v>
      </c>
      <c r="C119" s="50">
        <f t="shared" si="15"/>
        <v>138.35999923706055</v>
      </c>
      <c r="D119" s="50">
        <f t="shared" si="15"/>
        <v>12.289999902248381</v>
      </c>
      <c r="E119" s="50">
        <v>30</v>
      </c>
      <c r="F119" s="79">
        <v>1</v>
      </c>
      <c r="G119" s="248">
        <f>'Rate Class Customer Model'!R11</f>
        <v>12403.0513170429</v>
      </c>
      <c r="H119" s="248">
        <f>$Q$18+$Q$19*C119+$Q$20*D119+$Q$21*E119+$Q$22*F119+$Q$23*G119</f>
        <v>20129215.713286236</v>
      </c>
      <c r="I119" s="33">
        <f t="shared" si="9"/>
        <v>551238.9932862334</v>
      </c>
      <c r="J119" s="42">
        <f t="shared" si="10"/>
        <v>2.8156075633858111E-2</v>
      </c>
      <c r="K119" s="12">
        <f t="shared" si="11"/>
        <v>2.8156075633858111E-2</v>
      </c>
      <c r="L119" s="10">
        <f t="shared" si="12"/>
        <v>303864427719.22009</v>
      </c>
      <c r="M119" s="10">
        <f t="shared" si="13"/>
        <v>489723.14169204608</v>
      </c>
      <c r="N119" s="10">
        <f t="shared" si="14"/>
        <v>239828755508.72784</v>
      </c>
      <c r="O119"/>
    </row>
    <row r="120" spans="1:15" x14ac:dyDescent="0.2">
      <c r="A120" s="49">
        <v>45230</v>
      </c>
      <c r="B120" s="307">
        <v>21816697.489999998</v>
      </c>
      <c r="C120" s="50">
        <f t="shared" si="15"/>
        <v>339.42999877929685</v>
      </c>
      <c r="D120" s="50">
        <f t="shared" si="15"/>
        <v>0.62999999761581427</v>
      </c>
      <c r="E120" s="50">
        <v>31</v>
      </c>
      <c r="F120" s="79">
        <v>1</v>
      </c>
      <c r="G120" s="248">
        <f>'Rate Class Customer Model'!R12</f>
        <v>12414.620044838503</v>
      </c>
      <c r="H120" s="248">
        <f t="shared" ref="H120:H146" si="16">$Q$18+$Q$19*C120+$Q$20*D120+$Q$21*E120+$Q$22*F120+$Q$23*G120</f>
        <v>22761146.174044825</v>
      </c>
      <c r="I120" s="33">
        <f t="shared" si="9"/>
        <v>944448.68404482678</v>
      </c>
      <c r="J120" s="42">
        <f t="shared" si="10"/>
        <v>4.3290176456712966E-2</v>
      </c>
      <c r="K120" s="12">
        <f t="shared" si="11"/>
        <v>4.3290176456712966E-2</v>
      </c>
      <c r="L120" s="10">
        <f t="shared" si="12"/>
        <v>891983316794.005</v>
      </c>
      <c r="M120" s="10">
        <f t="shared" si="13"/>
        <v>393209.69075859338</v>
      </c>
      <c r="N120" s="10">
        <f t="shared" si="14"/>
        <v>154613860906.46863</v>
      </c>
      <c r="O120"/>
    </row>
    <row r="121" spans="1:15" x14ac:dyDescent="0.2">
      <c r="A121" s="49">
        <v>45260</v>
      </c>
      <c r="B121" s="307">
        <v>25527563.699999999</v>
      </c>
      <c r="C121" s="50">
        <f t="shared" si="15"/>
        <v>540.9299945068359</v>
      </c>
      <c r="D121" s="50">
        <f t="shared" si="15"/>
        <v>0</v>
      </c>
      <c r="E121" s="50">
        <v>30</v>
      </c>
      <c r="F121" s="79">
        <v>0</v>
      </c>
      <c r="G121" s="248">
        <f>'Rate Class Customer Model'!R13</f>
        <v>12426.199563161323</v>
      </c>
      <c r="H121" s="248">
        <f t="shared" si="16"/>
        <v>25086619.88698411</v>
      </c>
      <c r="I121" s="33">
        <f t="shared" si="9"/>
        <v>-440943.81301588938</v>
      </c>
      <c r="J121" s="42">
        <f t="shared" si="10"/>
        <v>-1.7273243079436108E-2</v>
      </c>
      <c r="K121" s="12">
        <f t="shared" si="11"/>
        <v>1.7273243079436108E-2</v>
      </c>
      <c r="L121" s="10">
        <f t="shared" si="12"/>
        <v>194431446236.99161</v>
      </c>
      <c r="M121" s="10">
        <f t="shared" si="13"/>
        <v>-1385392.4970607162</v>
      </c>
      <c r="N121" s="10">
        <f t="shared" si="14"/>
        <v>1919312370912.1265</v>
      </c>
      <c r="O121"/>
    </row>
    <row r="122" spans="1:15" x14ac:dyDescent="0.2">
      <c r="A122" s="49">
        <v>45291</v>
      </c>
      <c r="B122" s="307">
        <v>26964599.219999999</v>
      </c>
      <c r="C122" s="50">
        <f t="shared" si="15"/>
        <v>720.40000244140617</v>
      </c>
      <c r="D122" s="50">
        <f t="shared" si="15"/>
        <v>0</v>
      </c>
      <c r="E122" s="50">
        <v>31</v>
      </c>
      <c r="F122" s="79">
        <v>0</v>
      </c>
      <c r="G122" s="248">
        <f>'Rate Class Customer Model'!R14</f>
        <v>12437.789882076033</v>
      </c>
      <c r="H122" s="248">
        <f t="shared" si="16"/>
        <v>27777539.221442215</v>
      </c>
      <c r="I122" s="33">
        <f t="shared" si="9"/>
        <v>812940.00144221634</v>
      </c>
      <c r="J122" s="42">
        <f t="shared" si="10"/>
        <v>3.0148417738738279E-2</v>
      </c>
      <c r="K122" s="12">
        <f t="shared" si="11"/>
        <v>3.0148417738738279E-2</v>
      </c>
      <c r="L122" s="10">
        <f t="shared" si="12"/>
        <v>660871445944.87073</v>
      </c>
      <c r="M122" s="10">
        <f t="shared" si="13"/>
        <v>1253883.8144581057</v>
      </c>
      <c r="N122" s="10">
        <f t="shared" si="14"/>
        <v>1572224620160.0093</v>
      </c>
      <c r="O122"/>
    </row>
    <row r="123" spans="1:15" x14ac:dyDescent="0.2">
      <c r="A123" s="49">
        <v>45322</v>
      </c>
      <c r="B123" s="375">
        <v>29512664.139999997</v>
      </c>
      <c r="C123" s="50">
        <f t="shared" si="15"/>
        <v>879.2500061035156</v>
      </c>
      <c r="D123" s="50">
        <f t="shared" si="15"/>
        <v>0</v>
      </c>
      <c r="E123" s="64">
        <v>31</v>
      </c>
      <c r="F123" s="80">
        <v>0</v>
      </c>
      <c r="G123" s="380">
        <f>'Rate Class Customer Model'!S3</f>
        <v>12429</v>
      </c>
      <c r="H123" s="50">
        <f t="shared" si="16"/>
        <v>29398358.417626061</v>
      </c>
      <c r="I123" s="33">
        <f t="shared" si="9"/>
        <v>-114305.72237393633</v>
      </c>
      <c r="J123" s="42">
        <f t="shared" si="10"/>
        <v>-3.8731075524629454E-3</v>
      </c>
      <c r="K123" s="12">
        <f>AVERAGE(K3:K122)</f>
        <v>5.2115423925413434E-2</v>
      </c>
      <c r="L123" s="10">
        <f t="shared" si="12"/>
        <v>13065798167.427408</v>
      </c>
      <c r="M123" s="10">
        <f t="shared" si="13"/>
        <v>-927245.72381615266</v>
      </c>
      <c r="N123" s="10">
        <f t="shared" si="14"/>
        <v>859784632335.34082</v>
      </c>
    </row>
    <row r="124" spans="1:15" x14ac:dyDescent="0.2">
      <c r="A124" s="49">
        <v>45351</v>
      </c>
      <c r="B124" s="375">
        <v>26067197.330000009</v>
      </c>
      <c r="C124" s="50">
        <f t="shared" si="15"/>
        <v>817.92000366210937</v>
      </c>
      <c r="D124" s="50">
        <f t="shared" si="15"/>
        <v>0</v>
      </c>
      <c r="E124" s="64">
        <v>29</v>
      </c>
      <c r="F124" s="80">
        <v>0</v>
      </c>
      <c r="G124" s="380">
        <f>'Rate Class Customer Model'!S4</f>
        <v>12434</v>
      </c>
      <c r="H124" s="50">
        <f t="shared" si="16"/>
        <v>27359582.657501541</v>
      </c>
      <c r="I124" s="33">
        <f t="shared" si="9"/>
        <v>1292385.3275015317</v>
      </c>
      <c r="J124" s="42">
        <f t="shared" si="10"/>
        <v>4.9578990450736396E-2</v>
      </c>
      <c r="K124" s="12">
        <f t="shared" ref="K124:K128" si="17">AVERAGE(K4:K123)</f>
        <v>5.2262685574258665E-2</v>
      </c>
      <c r="L124" s="10">
        <f t="shared" si="12"/>
        <v>1670259834741.2412</v>
      </c>
      <c r="M124" s="10">
        <f t="shared" si="13"/>
        <v>1406691.049875468</v>
      </c>
      <c r="N124" s="10">
        <f t="shared" si="14"/>
        <v>1978779709799.7463</v>
      </c>
      <c r="O124"/>
    </row>
    <row r="125" spans="1:15" x14ac:dyDescent="0.2">
      <c r="A125" s="49">
        <v>45382</v>
      </c>
      <c r="B125" s="375">
        <v>26698362.880000003</v>
      </c>
      <c r="C125" s="50">
        <f t="shared" si="15"/>
        <v>711.95999877929694</v>
      </c>
      <c r="D125" s="50">
        <f t="shared" si="15"/>
        <v>0</v>
      </c>
      <c r="E125" s="64">
        <v>31</v>
      </c>
      <c r="F125" s="80">
        <v>1</v>
      </c>
      <c r="G125" s="380">
        <f>'Rate Class Customer Model'!S5</f>
        <v>12439</v>
      </c>
      <c r="H125" s="50">
        <f t="shared" si="16"/>
        <v>26855488.909074344</v>
      </c>
      <c r="I125" s="33">
        <f t="shared" si="9"/>
        <v>157126.02907434106</v>
      </c>
      <c r="J125" s="42">
        <f t="shared" si="10"/>
        <v>5.8852308578083512E-3</v>
      </c>
      <c r="K125" s="12">
        <f t="shared" si="17"/>
        <v>5.2414023338019616E-2</v>
      </c>
      <c r="L125" s="10">
        <f t="shared" si="12"/>
        <v>24688589012.670673</v>
      </c>
      <c r="M125" s="10">
        <f t="shared" si="13"/>
        <v>-1135259.2984271906</v>
      </c>
      <c r="N125" s="10">
        <f t="shared" si="14"/>
        <v>1288813674665.397</v>
      </c>
      <c r="O125"/>
    </row>
    <row r="126" spans="1:15" x14ac:dyDescent="0.2">
      <c r="A126" s="49">
        <v>45412</v>
      </c>
      <c r="B126" s="375">
        <v>22843469.129999995</v>
      </c>
      <c r="C126" s="50">
        <f t="shared" si="15"/>
        <v>491.72000366210932</v>
      </c>
      <c r="D126" s="50">
        <f t="shared" si="15"/>
        <v>0</v>
      </c>
      <c r="E126" s="64">
        <v>30</v>
      </c>
      <c r="F126" s="80">
        <v>1</v>
      </c>
      <c r="G126" s="380">
        <f>'Rate Class Customer Model'!S6</f>
        <v>12437</v>
      </c>
      <c r="H126" s="50">
        <f t="shared" si="16"/>
        <v>23798908.258924693</v>
      </c>
      <c r="I126" s="33">
        <f t="shared" si="9"/>
        <v>955439.12892469764</v>
      </c>
      <c r="J126" s="42">
        <f t="shared" si="10"/>
        <v>4.182548296352822E-2</v>
      </c>
      <c r="K126" s="12">
        <f t="shared" si="17"/>
        <v>5.2281803960335375E-2</v>
      </c>
      <c r="L126" s="10">
        <f t="shared" si="12"/>
        <v>912863929080.38501</v>
      </c>
      <c r="M126" s="10">
        <f t="shared" si="13"/>
        <v>798313.09985035658</v>
      </c>
      <c r="N126" s="10">
        <f t="shared" si="14"/>
        <v>637303805392.68542</v>
      </c>
      <c r="O126"/>
    </row>
    <row r="127" spans="1:15" x14ac:dyDescent="0.2">
      <c r="A127" s="49">
        <v>45443</v>
      </c>
      <c r="B127" s="376">
        <v>20594154.939999998</v>
      </c>
      <c r="C127" s="50">
        <f t="shared" si="15"/>
        <v>281.6499978637695</v>
      </c>
      <c r="D127" s="50">
        <f t="shared" si="15"/>
        <v>1.8699999928474427</v>
      </c>
      <c r="E127" s="64">
        <v>31</v>
      </c>
      <c r="F127" s="80">
        <v>1</v>
      </c>
      <c r="G127" s="380">
        <f>'Rate Class Customer Model'!S7</f>
        <v>12427</v>
      </c>
      <c r="H127" s="50">
        <f t="shared" si="16"/>
        <v>22265176.9413056</v>
      </c>
      <c r="I127" s="33">
        <f t="shared" si="9"/>
        <v>1671022.0013056025</v>
      </c>
      <c r="J127" s="42">
        <f t="shared" si="10"/>
        <v>8.1140595774579646E-2</v>
      </c>
      <c r="K127" s="12">
        <f t="shared" si="17"/>
        <v>5.2654600414859733E-2</v>
      </c>
      <c r="L127" s="10">
        <f t="shared" si="12"/>
        <v>2792314528847.3809</v>
      </c>
      <c r="M127" s="10">
        <f t="shared" si="13"/>
        <v>715582.87238090485</v>
      </c>
      <c r="N127" s="10">
        <f t="shared" si="14"/>
        <v>512058847244.90637</v>
      </c>
      <c r="O127"/>
    </row>
    <row r="128" spans="1:15" x14ac:dyDescent="0.2">
      <c r="A128" s="49">
        <v>45473</v>
      </c>
      <c r="B128" s="376">
        <v>19764943.160000011</v>
      </c>
      <c r="C128" s="50">
        <f t="shared" si="15"/>
        <v>130.39000045776365</v>
      </c>
      <c r="D128" s="50">
        <f t="shared" si="15"/>
        <v>6.5900000768899911</v>
      </c>
      <c r="E128" s="64">
        <v>30</v>
      </c>
      <c r="F128" s="80">
        <v>0</v>
      </c>
      <c r="G128" s="380">
        <f>'Rate Class Customer Model'!S8</f>
        <v>12441</v>
      </c>
      <c r="H128" s="50">
        <f t="shared" si="16"/>
        <v>21005817.495158553</v>
      </c>
      <c r="I128" s="33">
        <f t="shared" si="9"/>
        <v>1240874.3351585418</v>
      </c>
      <c r="J128" s="42">
        <f t="shared" si="10"/>
        <v>6.2781578733289975E-2</v>
      </c>
      <c r="K128" s="12">
        <f t="shared" si="17"/>
        <v>5.287334077485089E-2</v>
      </c>
      <c r="L128" s="10">
        <f t="shared" si="12"/>
        <v>1539769115655.1531</v>
      </c>
      <c r="M128" s="10">
        <f t="shared" si="13"/>
        <v>-430147.66614706069</v>
      </c>
      <c r="N128" s="10">
        <f t="shared" si="14"/>
        <v>185027014691.76318</v>
      </c>
      <c r="O128"/>
    </row>
    <row r="129" spans="1:15" x14ac:dyDescent="0.2">
      <c r="A129" s="49">
        <v>45504</v>
      </c>
      <c r="B129" s="50"/>
      <c r="C129" s="50">
        <f t="shared" si="15"/>
        <v>59.829999809265146</v>
      </c>
      <c r="D129" s="50">
        <f t="shared" si="15"/>
        <v>18.570000028610231</v>
      </c>
      <c r="E129" s="64">
        <v>31</v>
      </c>
      <c r="F129" s="80">
        <v>0</v>
      </c>
      <c r="G129" s="50">
        <f>'Rate Class Customer Model'!S9</f>
        <v>12443.197818250159</v>
      </c>
      <c r="H129" s="50">
        <f t="shared" si="16"/>
        <v>21281486.826482676</v>
      </c>
      <c r="I129" s="33"/>
      <c r="J129"/>
      <c r="K129" s="5">
        <f>AVERAGE(K3:K128)</f>
        <v>5.2130577373312295E-2</v>
      </c>
      <c r="L129" s="33">
        <f>SUM(L3:L128)</f>
        <v>206234143519215</v>
      </c>
      <c r="M129" s="10"/>
      <c r="N129" s="33">
        <f>SUM(N3:N128)</f>
        <v>133519565109132.06</v>
      </c>
      <c r="O129"/>
    </row>
    <row r="130" spans="1:15" x14ac:dyDescent="0.2">
      <c r="A130" s="49">
        <v>45535</v>
      </c>
      <c r="B130" s="50"/>
      <c r="C130" s="50">
        <f t="shared" si="15"/>
        <v>54.610000228881837</v>
      </c>
      <c r="D130" s="50">
        <f t="shared" si="15"/>
        <v>20.229999904632567</v>
      </c>
      <c r="E130" s="64">
        <v>31</v>
      </c>
      <c r="F130" s="80">
        <v>0</v>
      </c>
      <c r="G130" s="50">
        <f>'Rate Class Customer Model'!S10</f>
        <v>12445.404535316051</v>
      </c>
      <c r="H130" s="50">
        <f t="shared" si="16"/>
        <v>21282308.274994008</v>
      </c>
      <c r="I130" s="33"/>
      <c r="J130"/>
      <c r="K130"/>
      <c r="M130" s="10"/>
      <c r="N130" s="10"/>
      <c r="O130"/>
    </row>
    <row r="131" spans="1:15" x14ac:dyDescent="0.2">
      <c r="A131" s="49">
        <v>45565</v>
      </c>
      <c r="B131" s="50"/>
      <c r="C131" s="50">
        <f t="shared" si="15"/>
        <v>138.35999923706055</v>
      </c>
      <c r="D131" s="50">
        <f t="shared" si="15"/>
        <v>12.289999902248381</v>
      </c>
      <c r="E131" s="64">
        <v>30</v>
      </c>
      <c r="F131" s="80">
        <v>1</v>
      </c>
      <c r="G131" s="50">
        <f>'Rate Class Customer Model'!S11</f>
        <v>12447.620150615094</v>
      </c>
      <c r="H131" s="50">
        <f t="shared" si="16"/>
        <v>20435079.295095801</v>
      </c>
      <c r="I131" s="33"/>
      <c r="J131"/>
      <c r="K131"/>
      <c r="M131" s="10"/>
      <c r="N131" s="10"/>
    </row>
    <row r="132" spans="1:15" x14ac:dyDescent="0.2">
      <c r="A132" s="49">
        <v>45596</v>
      </c>
      <c r="B132" s="50"/>
      <c r="C132" s="50">
        <f t="shared" si="15"/>
        <v>339.42999877929685</v>
      </c>
      <c r="D132" s="50">
        <f t="shared" si="15"/>
        <v>0.62999999761581427</v>
      </c>
      <c r="E132" s="64">
        <v>31</v>
      </c>
      <c r="F132" s="80">
        <v>1</v>
      </c>
      <c r="G132" s="50">
        <f>'Rate Class Customer Model'!S12</f>
        <v>12449.844663578551</v>
      </c>
      <c r="H132" s="50">
        <f t="shared" si="16"/>
        <v>23002882.993076809</v>
      </c>
      <c r="I132" s="33"/>
      <c r="J132"/>
      <c r="K132"/>
      <c r="M132" s="10"/>
      <c r="N132" s="10"/>
      <c r="O132"/>
    </row>
    <row r="133" spans="1:15" x14ac:dyDescent="0.2">
      <c r="A133" s="49">
        <v>45626</v>
      </c>
      <c r="B133" s="50"/>
      <c r="C133" s="50">
        <f t="shared" si="15"/>
        <v>540.9299945068359</v>
      </c>
      <c r="D133" s="50">
        <f t="shared" si="15"/>
        <v>0</v>
      </c>
      <c r="E133" s="64">
        <v>30</v>
      </c>
      <c r="F133" s="80">
        <v>0</v>
      </c>
      <c r="G133" s="50">
        <f>'Rate Class Customer Model'!S13</f>
        <v>12452.078073651561</v>
      </c>
      <c r="H133" s="50">
        <f t="shared" si="16"/>
        <v>25264216.949236587</v>
      </c>
      <c r="I133" s="33"/>
      <c r="M133" s="10"/>
      <c r="N133" s="10"/>
      <c r="O133"/>
    </row>
    <row r="134" spans="1:15" x14ac:dyDescent="0.2">
      <c r="A134" s="49">
        <v>45657</v>
      </c>
      <c r="B134" s="50"/>
      <c r="C134" s="50">
        <f t="shared" si="15"/>
        <v>720.40000244140617</v>
      </c>
      <c r="D134" s="50">
        <f t="shared" si="15"/>
        <v>0</v>
      </c>
      <c r="E134" s="64">
        <v>31</v>
      </c>
      <c r="F134" s="80">
        <v>0</v>
      </c>
      <c r="G134" s="50">
        <f>'Rate Class Customer Model'!S14</f>
        <v>12454.320380293106</v>
      </c>
      <c r="H134" s="50">
        <f t="shared" si="16"/>
        <v>27890983.460129328</v>
      </c>
      <c r="I134" s="33"/>
      <c r="M134" s="10"/>
      <c r="N134" s="10"/>
      <c r="O134"/>
    </row>
    <row r="135" spans="1:15" x14ac:dyDescent="0.2">
      <c r="A135" s="49">
        <v>45688</v>
      </c>
      <c r="B135" s="10"/>
      <c r="C135" s="50">
        <f t="shared" si="15"/>
        <v>879.2500061035156</v>
      </c>
      <c r="D135" s="50">
        <f t="shared" si="15"/>
        <v>0</v>
      </c>
      <c r="E135" s="64">
        <v>31</v>
      </c>
      <c r="F135" s="80">
        <v>0</v>
      </c>
      <c r="G135" s="50">
        <f>'Rate Class Customer Model'!T3</f>
        <v>12456.558839819771</v>
      </c>
      <c r="H135" s="50">
        <f t="shared" si="16"/>
        <v>29587487.115466841</v>
      </c>
      <c r="I135" s="33"/>
      <c r="M135" s="10"/>
      <c r="N135" s="10"/>
      <c r="O135"/>
    </row>
    <row r="136" spans="1:15" x14ac:dyDescent="0.2">
      <c r="A136" s="49">
        <v>45716</v>
      </c>
      <c r="B136" s="10"/>
      <c r="C136" s="50">
        <f t="shared" si="15"/>
        <v>817.92000366210937</v>
      </c>
      <c r="D136" s="50">
        <f t="shared" si="15"/>
        <v>0</v>
      </c>
      <c r="E136" s="64">
        <v>28</v>
      </c>
      <c r="F136" s="80">
        <v>0</v>
      </c>
      <c r="G136" s="50">
        <f>'Rate Class Customer Model'!T4</f>
        <v>12458.797701672769</v>
      </c>
      <c r="H136" s="50">
        <f t="shared" si="16"/>
        <v>26817751.650762528</v>
      </c>
      <c r="I136" s="33"/>
      <c r="M136" s="10"/>
      <c r="N136" s="10"/>
      <c r="O136"/>
    </row>
    <row r="137" spans="1:15" x14ac:dyDescent="0.2">
      <c r="A137" s="49">
        <v>45747</v>
      </c>
      <c r="B137" s="10"/>
      <c r="C137" s="50">
        <f t="shared" si="15"/>
        <v>711.95999877929694</v>
      </c>
      <c r="D137" s="50">
        <f t="shared" si="15"/>
        <v>0</v>
      </c>
      <c r="E137" s="64">
        <v>31</v>
      </c>
      <c r="F137" s="80">
        <v>1</v>
      </c>
      <c r="G137" s="50">
        <f>'Rate Class Customer Model'!T5</f>
        <v>12461.036965924413</v>
      </c>
      <c r="H137" s="50">
        <f t="shared" si="16"/>
        <v>27006722.513133965</v>
      </c>
      <c r="I137" s="33"/>
      <c r="M137" s="10"/>
      <c r="N137" s="10"/>
      <c r="O137"/>
    </row>
    <row r="138" spans="1:15" x14ac:dyDescent="0.2">
      <c r="A138" s="49">
        <v>45777</v>
      </c>
      <c r="B138" s="10"/>
      <c r="C138" s="50">
        <f t="shared" si="15"/>
        <v>491.72000366210932</v>
      </c>
      <c r="D138" s="50">
        <f t="shared" si="15"/>
        <v>0</v>
      </c>
      <c r="E138" s="64">
        <v>30</v>
      </c>
      <c r="F138" s="80">
        <v>1</v>
      </c>
      <c r="G138" s="50">
        <f>'Rate Class Customer Model'!T6</f>
        <v>12463.276632647026</v>
      </c>
      <c r="H138" s="50">
        <f t="shared" si="16"/>
        <v>23979237.523460984</v>
      </c>
      <c r="I138" s="33"/>
      <c r="M138" s="10"/>
      <c r="N138" s="10"/>
      <c r="O138"/>
    </row>
    <row r="139" spans="1:15" x14ac:dyDescent="0.2">
      <c r="A139" s="49">
        <v>45808</v>
      </c>
      <c r="B139" s="10"/>
      <c r="C139" s="50">
        <f t="shared" si="15"/>
        <v>281.6499978637695</v>
      </c>
      <c r="D139" s="50">
        <f t="shared" si="15"/>
        <v>1.8699999928474427</v>
      </c>
      <c r="E139" s="64">
        <v>31</v>
      </c>
      <c r="F139" s="80">
        <v>1</v>
      </c>
      <c r="G139" s="50">
        <f>'Rate Class Customer Model'!T7</f>
        <v>12465.516701912946</v>
      </c>
      <c r="H139" s="50">
        <f t="shared" si="16"/>
        <v>22529506.416913308</v>
      </c>
      <c r="I139" s="33"/>
      <c r="M139" s="10"/>
      <c r="N139" s="10"/>
      <c r="O139"/>
    </row>
    <row r="140" spans="1:15" x14ac:dyDescent="0.2">
      <c r="A140" s="49">
        <v>45838</v>
      </c>
      <c r="B140" s="10"/>
      <c r="C140" s="50">
        <f t="shared" si="15"/>
        <v>130.39000045776365</v>
      </c>
      <c r="D140" s="50">
        <f t="shared" si="15"/>
        <v>6.5900000768899911</v>
      </c>
      <c r="E140" s="64">
        <v>30</v>
      </c>
      <c r="F140" s="80">
        <v>0</v>
      </c>
      <c r="G140" s="50">
        <f>'Rate Class Customer Model'!T8</f>
        <v>12467.757173794524</v>
      </c>
      <c r="H140" s="50">
        <f t="shared" si="16"/>
        <v>21189444.580723569</v>
      </c>
      <c r="I140" s="33"/>
      <c r="M140" s="10"/>
      <c r="N140" s="10"/>
      <c r="O140"/>
    </row>
    <row r="141" spans="1:15" x14ac:dyDescent="0.2">
      <c r="A141" s="49">
        <v>45869</v>
      </c>
      <c r="B141" s="10"/>
      <c r="C141" s="50">
        <f t="shared" si="15"/>
        <v>59.829999809265146</v>
      </c>
      <c r="D141" s="50">
        <f t="shared" si="15"/>
        <v>18.570000028610231</v>
      </c>
      <c r="E141" s="64">
        <v>31</v>
      </c>
      <c r="F141" s="80">
        <v>0</v>
      </c>
      <c r="G141" s="50">
        <f>'Rate Class Customer Model'!T9</f>
        <v>12469.998048364123</v>
      </c>
      <c r="H141" s="50">
        <f t="shared" si="16"/>
        <v>21465409.395663209</v>
      </c>
      <c r="I141" s="33"/>
      <c r="M141" s="10"/>
      <c r="N141" s="10"/>
      <c r="O141"/>
    </row>
    <row r="142" spans="1:15" x14ac:dyDescent="0.2">
      <c r="A142" s="49">
        <v>45900</v>
      </c>
      <c r="B142" s="10"/>
      <c r="C142" s="50">
        <f t="shared" si="15"/>
        <v>54.610000228881837</v>
      </c>
      <c r="D142" s="50">
        <f t="shared" si="15"/>
        <v>20.229999904632567</v>
      </c>
      <c r="E142" s="64">
        <v>31</v>
      </c>
      <c r="F142" s="80">
        <v>0</v>
      </c>
      <c r="G142" s="50">
        <f>'Rate Class Customer Model'!T10</f>
        <v>12472.23932569412</v>
      </c>
      <c r="H142" s="50">
        <f t="shared" si="16"/>
        <v>21466468.021711417</v>
      </c>
      <c r="I142" s="33"/>
      <c r="M142" s="10"/>
      <c r="N142" s="10"/>
      <c r="O142"/>
    </row>
    <row r="143" spans="1:15" x14ac:dyDescent="0.2">
      <c r="A143" s="49">
        <v>45930</v>
      </c>
      <c r="B143" s="10"/>
      <c r="C143" s="50">
        <f t="shared" si="15"/>
        <v>138.35999923706055</v>
      </c>
      <c r="D143" s="50">
        <f t="shared" si="15"/>
        <v>12.289999902248381</v>
      </c>
      <c r="E143" s="64">
        <v>30</v>
      </c>
      <c r="F143" s="80">
        <v>1</v>
      </c>
      <c r="G143" s="50">
        <f>'Rate Class Customer Model'!T11</f>
        <v>12474.481005856904</v>
      </c>
      <c r="H143" s="50">
        <f t="shared" si="16"/>
        <v>20619417.917766288</v>
      </c>
      <c r="I143" s="33"/>
      <c r="M143" s="10"/>
      <c r="N143" s="10"/>
      <c r="O143"/>
    </row>
    <row r="144" spans="1:15" x14ac:dyDescent="0.2">
      <c r="A144" s="49">
        <v>45961</v>
      </c>
      <c r="B144" s="10"/>
      <c r="C144" s="50">
        <f t="shared" ref="C144:D146" si="18">C132</f>
        <v>339.42999877929685</v>
      </c>
      <c r="D144" s="50">
        <f t="shared" si="18"/>
        <v>0.62999999761581427</v>
      </c>
      <c r="E144" s="64">
        <v>31</v>
      </c>
      <c r="F144" s="80">
        <v>1</v>
      </c>
      <c r="G144" s="50">
        <f>'Rate Class Customer Model'!T12</f>
        <v>12476.723088924877</v>
      </c>
      <c r="H144" s="50">
        <f t="shared" si="16"/>
        <v>23187342.194516562</v>
      </c>
      <c r="I144" s="33"/>
      <c r="M144" s="10"/>
      <c r="N144" s="10"/>
      <c r="O144"/>
    </row>
    <row r="145" spans="1:15" x14ac:dyDescent="0.2">
      <c r="A145" s="49">
        <v>45991</v>
      </c>
      <c r="B145" s="10"/>
      <c r="C145" s="50">
        <f t="shared" si="18"/>
        <v>540.9299945068359</v>
      </c>
      <c r="D145" s="50">
        <f t="shared" si="18"/>
        <v>0</v>
      </c>
      <c r="E145" s="64">
        <v>30</v>
      </c>
      <c r="F145" s="80">
        <v>0</v>
      </c>
      <c r="G145" s="50">
        <f>'Rate Class Customer Model'!T13</f>
        <v>12478.965574970454</v>
      </c>
      <c r="H145" s="50">
        <f t="shared" si="16"/>
        <v>25448738.436566621</v>
      </c>
      <c r="I145" s="33"/>
      <c r="M145" s="10"/>
      <c r="N145" s="10"/>
      <c r="O145"/>
    </row>
    <row r="146" spans="1:15" x14ac:dyDescent="0.2">
      <c r="A146" s="49">
        <v>46022</v>
      </c>
      <c r="B146" s="10"/>
      <c r="C146" s="50">
        <f t="shared" si="18"/>
        <v>720.40000244140617</v>
      </c>
      <c r="D146" s="50">
        <f t="shared" si="18"/>
        <v>0</v>
      </c>
      <c r="E146" s="64">
        <v>31</v>
      </c>
      <c r="F146" s="80">
        <v>0</v>
      </c>
      <c r="G146" s="50">
        <f>'Rate Class Customer Model'!T14</f>
        <v>12481.208464066067</v>
      </c>
      <c r="H146" s="50">
        <f t="shared" si="16"/>
        <v>28075508.944680594</v>
      </c>
      <c r="I146" s="33"/>
      <c r="M146" s="10"/>
      <c r="N146" s="10"/>
      <c r="O146"/>
    </row>
    <row r="147" spans="1:15" x14ac:dyDescent="0.2">
      <c r="A147" s="34"/>
      <c r="E147" s="10"/>
      <c r="F147" s="60"/>
      <c r="O147"/>
    </row>
    <row r="148" spans="1:15" x14ac:dyDescent="0.2">
      <c r="A148" s="34"/>
      <c r="E148" s="10"/>
      <c r="F148" s="60"/>
      <c r="O148"/>
    </row>
    <row r="149" spans="1:15" x14ac:dyDescent="0.2">
      <c r="A149" s="34"/>
      <c r="C149" s="67" t="s">
        <v>72</v>
      </c>
      <c r="D149" s="66"/>
      <c r="E149" s="10"/>
      <c r="F149" s="60"/>
      <c r="O149"/>
    </row>
    <row r="150" spans="1:15" x14ac:dyDescent="0.2">
      <c r="A150" s="34"/>
      <c r="C150"/>
      <c r="D150"/>
      <c r="E150" s="10"/>
      <c r="F150" s="60"/>
      <c r="H150" s="33">
        <f>SUM(H2:H146)</f>
        <v>3015560110.0057101</v>
      </c>
      <c r="O150"/>
    </row>
    <row r="151" spans="1:15" x14ac:dyDescent="0.2">
      <c r="A151" s="34"/>
      <c r="E151" s="10"/>
      <c r="F151" s="60"/>
      <c r="O151"/>
    </row>
    <row r="152" spans="1:15" x14ac:dyDescent="0.2">
      <c r="H152" s="6"/>
      <c r="I152"/>
      <c r="J152"/>
      <c r="K152" s="5"/>
      <c r="L152" s="5"/>
      <c r="M152" s="5"/>
      <c r="N152" s="5"/>
      <c r="O152"/>
    </row>
    <row r="153" spans="1:15" x14ac:dyDescent="0.2">
      <c r="A153" s="25">
        <v>2014</v>
      </c>
      <c r="B153" s="6">
        <f>SUM(B3:B14)</f>
        <v>222844848</v>
      </c>
      <c r="C153" s="42"/>
      <c r="H153" s="6">
        <f>SUM(H3:H14)</f>
        <v>224059602.70431739</v>
      </c>
      <c r="I153" s="37"/>
      <c r="J153" s="254"/>
      <c r="K153" s="13"/>
      <c r="L153" s="36"/>
      <c r="M153" s="17"/>
      <c r="N153" s="35"/>
      <c r="O153"/>
    </row>
    <row r="154" spans="1:15" x14ac:dyDescent="0.2">
      <c r="A154" s="25">
        <v>2015</v>
      </c>
      <c r="B154" s="6">
        <f>SUM(B15:B26)</f>
        <v>216436884</v>
      </c>
      <c r="C154" s="42">
        <f t="shared" ref="C154:C160" si="19">B154/B153-1</f>
        <v>-2.8755271021567386E-2</v>
      </c>
      <c r="H154" s="6">
        <f>SUM(H15:H26)</f>
        <v>224087053.5983431</v>
      </c>
      <c r="I154" s="37"/>
      <c r="J154" s="254"/>
      <c r="K154" s="13"/>
      <c r="L154" s="36"/>
      <c r="M154" s="17"/>
      <c r="N154" s="35"/>
      <c r="O154"/>
    </row>
    <row r="155" spans="1:15" x14ac:dyDescent="0.2">
      <c r="A155" s="25">
        <v>2016</v>
      </c>
      <c r="B155" s="6">
        <f>SUM(B27:B38)</f>
        <v>211050246</v>
      </c>
      <c r="C155" s="42">
        <f t="shared" si="19"/>
        <v>-2.4887800546971484E-2</v>
      </c>
      <c r="H155" s="6">
        <f>SUM(H27:H38)</f>
        <v>226864744.15068904</v>
      </c>
      <c r="I155" s="37"/>
      <c r="J155" s="254"/>
      <c r="K155" s="13"/>
      <c r="L155" s="36"/>
      <c r="M155" s="17"/>
      <c r="N155" s="35"/>
      <c r="O155"/>
    </row>
    <row r="156" spans="1:15" x14ac:dyDescent="0.2">
      <c r="A156" s="25">
        <v>2017</v>
      </c>
      <c r="B156" s="6">
        <f>SUM(B39:B50)</f>
        <v>217280995.02387795</v>
      </c>
      <c r="C156" s="42">
        <f t="shared" si="19"/>
        <v>2.9522585933768442E-2</v>
      </c>
      <c r="H156" s="6">
        <f>SUM(H39:H50)</f>
        <v>228369393.06634849</v>
      </c>
      <c r="I156" s="37"/>
      <c r="J156" s="254"/>
      <c r="K156" s="13"/>
      <c r="L156" s="36"/>
      <c r="M156" s="17"/>
      <c r="N156" s="35"/>
      <c r="O156"/>
    </row>
    <row r="157" spans="1:15" x14ac:dyDescent="0.2">
      <c r="A157" s="25">
        <v>2018</v>
      </c>
      <c r="B157" s="6">
        <f>SUM(B51:B62)</f>
        <v>241087151.13</v>
      </c>
      <c r="C157" s="42">
        <f t="shared" si="19"/>
        <v>0.10956391332571846</v>
      </c>
      <c r="H157" s="6">
        <f>SUM(H51:H62)</f>
        <v>229439977.93334988</v>
      </c>
      <c r="I157" s="37"/>
      <c r="J157" s="254"/>
      <c r="K157" s="13"/>
      <c r="L157" s="36"/>
      <c r="M157" s="17"/>
      <c r="N157" s="35"/>
      <c r="O157"/>
    </row>
    <row r="158" spans="1:15" x14ac:dyDescent="0.2">
      <c r="A158" s="25">
        <v>2019</v>
      </c>
      <c r="B158" s="6">
        <f>SUM(B63:B74)</f>
        <v>255923211</v>
      </c>
      <c r="C158" s="42">
        <f t="shared" si="19"/>
        <v>6.1538160787341312E-2</v>
      </c>
      <c r="H158" s="6">
        <f>SUM(H63:H74)</f>
        <v>230304758.85437292</v>
      </c>
      <c r="I158" s="37"/>
      <c r="J158" s="254"/>
      <c r="K158" s="13"/>
      <c r="L158" s="36"/>
      <c r="M158" s="17"/>
      <c r="N158" s="35"/>
      <c r="O158"/>
    </row>
    <row r="159" spans="1:15" x14ac:dyDescent="0.2">
      <c r="A159" s="25">
        <v>2020</v>
      </c>
      <c r="B159" s="6">
        <f>SUM(B75:B86)</f>
        <v>252540603</v>
      </c>
      <c r="C159" s="42">
        <f t="shared" si="19"/>
        <v>-1.3217277115204706E-2</v>
      </c>
      <c r="H159" s="6">
        <f>SUM(H75:H86)</f>
        <v>245819619.33170184</v>
      </c>
      <c r="I159" s="37"/>
      <c r="J159" s="254"/>
      <c r="K159" s="13"/>
      <c r="L159" s="36"/>
      <c r="M159" s="17"/>
      <c r="N159" s="35"/>
      <c r="O159"/>
    </row>
    <row r="160" spans="1:15" x14ac:dyDescent="0.2">
      <c r="A160" s="25">
        <v>2021</v>
      </c>
      <c r="B160" s="6">
        <f>SUM(B87:B98)</f>
        <v>265226888</v>
      </c>
      <c r="C160" s="42">
        <f t="shared" si="19"/>
        <v>5.0234634943039147E-2</v>
      </c>
      <c r="D160" s="54" t="s">
        <v>10</v>
      </c>
      <c r="H160" s="6">
        <f>SUM(H87:H98)</f>
        <v>266249825.77701145</v>
      </c>
      <c r="I160" s="37"/>
      <c r="J160" s="254"/>
      <c r="K160" s="13"/>
      <c r="L160" s="36"/>
      <c r="M160" s="17"/>
      <c r="N160" s="35"/>
      <c r="O160"/>
    </row>
    <row r="161" spans="1:17" x14ac:dyDescent="0.2">
      <c r="A161" s="25">
        <v>2022</v>
      </c>
      <c r="B161" s="6">
        <f>SUM(B99:B110)</f>
        <v>279572890</v>
      </c>
      <c r="C161" s="42">
        <f>B161/B160-1</f>
        <v>5.4089546154913126E-2</v>
      </c>
      <c r="D161" s="5">
        <f>AVERAGE(C154:C162)</f>
        <v>2.7180427911175239E-2</v>
      </c>
      <c r="H161" s="6">
        <f>SUM(H99:H110)</f>
        <v>275572569.59901869</v>
      </c>
      <c r="I161" s="37"/>
      <c r="J161" s="254"/>
      <c r="K161" s="13"/>
      <c r="L161" s="36"/>
      <c r="M161" s="17"/>
      <c r="N161" s="35"/>
      <c r="O161"/>
    </row>
    <row r="162" spans="1:17" x14ac:dyDescent="0.2">
      <c r="A162" s="25">
        <v>2023</v>
      </c>
      <c r="B162" s="6">
        <f>SUM(B111:B122)</f>
        <v>281399999.13</v>
      </c>
      <c r="C162" s="42">
        <f>B162/B161-1</f>
        <v>6.5353587395402535E-3</v>
      </c>
      <c r="F162" s="1"/>
      <c r="G162" s="42"/>
      <c r="H162" s="6">
        <f>SUM(H111:H122)</f>
        <v>283579239.80058467</v>
      </c>
      <c r="I162" s="37"/>
      <c r="J162" s="254"/>
      <c r="K162" s="13"/>
      <c r="L162" s="36"/>
      <c r="M162" s="17"/>
      <c r="N162" s="35"/>
      <c r="O162"/>
    </row>
    <row r="163" spans="1:17" x14ac:dyDescent="0.2">
      <c r="A163" s="25">
        <v>2024</v>
      </c>
      <c r="B163" s="6">
        <f>SUM(B123:B128)</f>
        <v>145480791.58000001</v>
      </c>
      <c r="F163" s="54" t="s">
        <v>10</v>
      </c>
      <c r="G163" s="42">
        <f>H163/H162-1</f>
        <v>2.2078663735836779E-2</v>
      </c>
      <c r="H163" s="15">
        <f>SUM(H123:H134)</f>
        <v>289840290.47860599</v>
      </c>
      <c r="I163" s="24"/>
      <c r="J163" s="5"/>
      <c r="K163" s="5"/>
      <c r="L163" s="36"/>
      <c r="M163" s="5"/>
      <c r="N163" s="5"/>
      <c r="O163"/>
    </row>
    <row r="164" spans="1:17" x14ac:dyDescent="0.2">
      <c r="A164" s="25">
        <v>2025</v>
      </c>
      <c r="F164" s="5">
        <f>AVERAGE(G162:G164)</f>
        <v>1.368345051379205E-2</v>
      </c>
      <c r="G164" s="42">
        <f>H164/H163-1</f>
        <v>5.2882372917473219E-3</v>
      </c>
      <c r="H164" s="15">
        <f>SUM(H135:H146)</f>
        <v>291373034.71136582</v>
      </c>
      <c r="I164" s="24"/>
      <c r="J164" s="5"/>
      <c r="K164" s="5"/>
      <c r="L164" s="36"/>
      <c r="M164" s="5"/>
      <c r="N164" s="5"/>
      <c r="O164"/>
    </row>
    <row r="165" spans="1:17" x14ac:dyDescent="0.2">
      <c r="H165" s="6"/>
      <c r="O165"/>
    </row>
    <row r="166" spans="1:17" x14ac:dyDescent="0.2">
      <c r="A166" s="43" t="s">
        <v>8</v>
      </c>
      <c r="B166" s="6">
        <f>SUM(B153:B163)</f>
        <v>2588844506.8638783</v>
      </c>
      <c r="H166" s="6">
        <f>SUM(H153:H162)+SUM(H123:H128)</f>
        <v>2585030117.4953279</v>
      </c>
      <c r="I166" s="33"/>
      <c r="J166" s="54"/>
      <c r="O166"/>
    </row>
    <row r="167" spans="1:17" x14ac:dyDescent="0.2">
      <c r="O167"/>
    </row>
    <row r="168" spans="1:17" x14ac:dyDescent="0.2">
      <c r="H168" s="6">
        <f>SUM(H153:H164)</f>
        <v>3015560110.0057087</v>
      </c>
      <c r="I168" s="33"/>
      <c r="O168"/>
    </row>
    <row r="169" spans="1:17" x14ac:dyDescent="0.2">
      <c r="H169"/>
      <c r="I169"/>
      <c r="J169"/>
      <c r="K169"/>
      <c r="M169"/>
      <c r="O169"/>
    </row>
    <row r="170" spans="1:17" x14ac:dyDescent="0.2">
      <c r="O170"/>
    </row>
    <row r="171" spans="1:17" x14ac:dyDescent="0.2">
      <c r="O171"/>
    </row>
    <row r="172" spans="1:17" x14ac:dyDescent="0.2">
      <c r="A172"/>
      <c r="B172"/>
      <c r="C172"/>
      <c r="D172"/>
      <c r="E172"/>
      <c r="G172"/>
      <c r="H172"/>
      <c r="I172"/>
      <c r="O172"/>
    </row>
    <row r="173" spans="1:17" x14ac:dyDescent="0.2">
      <c r="A173"/>
      <c r="B173"/>
      <c r="C173"/>
      <c r="D173"/>
      <c r="E173"/>
      <c r="G173"/>
      <c r="H173"/>
      <c r="I173"/>
      <c r="O173"/>
    </row>
    <row r="174" spans="1:17" x14ac:dyDescent="0.2">
      <c r="A174"/>
      <c r="B174"/>
      <c r="C174"/>
      <c r="D174"/>
      <c r="E174"/>
      <c r="G174"/>
      <c r="H174"/>
      <c r="I174"/>
      <c r="O174"/>
    </row>
    <row r="175" spans="1:17" x14ac:dyDescent="0.2">
      <c r="A175"/>
      <c r="B175"/>
      <c r="C175"/>
      <c r="D175"/>
      <c r="E175"/>
      <c r="G175"/>
      <c r="H175"/>
      <c r="I175"/>
      <c r="O175"/>
      <c r="P175" s="6"/>
      <c r="Q175" s="37"/>
    </row>
    <row r="176" spans="1:17" x14ac:dyDescent="0.2">
      <c r="A176"/>
      <c r="B176"/>
      <c r="C176"/>
      <c r="D176"/>
      <c r="E176"/>
      <c r="G176"/>
      <c r="H176"/>
      <c r="I176"/>
      <c r="O176"/>
      <c r="P176" s="6"/>
      <c r="Q176" s="37"/>
    </row>
    <row r="177" spans="1:17" x14ac:dyDescent="0.2">
      <c r="A177"/>
      <c r="B177"/>
      <c r="C177"/>
      <c r="D177"/>
      <c r="E177"/>
      <c r="G177"/>
      <c r="H177"/>
      <c r="I177"/>
      <c r="O177"/>
      <c r="P177" s="6"/>
      <c r="Q177" s="37"/>
    </row>
    <row r="178" spans="1:17" x14ac:dyDescent="0.2">
      <c r="A178"/>
      <c r="B178"/>
      <c r="C178"/>
      <c r="D178"/>
      <c r="E178"/>
      <c r="G178"/>
      <c r="H178"/>
      <c r="I178"/>
      <c r="O178" s="5"/>
      <c r="P178" s="6"/>
      <c r="Q178" s="37"/>
    </row>
    <row r="179" spans="1:17" x14ac:dyDescent="0.2">
      <c r="A179"/>
      <c r="B179"/>
      <c r="C179"/>
      <c r="D179"/>
      <c r="E179"/>
      <c r="G179"/>
      <c r="H179"/>
      <c r="I179"/>
      <c r="O179" s="5"/>
      <c r="P179" s="6"/>
      <c r="Q179" s="37"/>
    </row>
    <row r="180" spans="1:17" x14ac:dyDescent="0.2">
      <c r="A180"/>
      <c r="B180"/>
      <c r="C180"/>
      <c r="D180"/>
      <c r="E180"/>
      <c r="G180"/>
      <c r="H180"/>
      <c r="I180"/>
      <c r="J180"/>
      <c r="K180"/>
      <c r="M180"/>
      <c r="O180" s="5"/>
      <c r="P180" s="6"/>
      <c r="Q180" s="37"/>
    </row>
    <row r="181" spans="1:17" x14ac:dyDescent="0.2">
      <c r="A181"/>
      <c r="B181"/>
      <c r="C181"/>
      <c r="D181"/>
      <c r="E181"/>
      <c r="G181"/>
      <c r="H181"/>
      <c r="I181"/>
      <c r="J181"/>
      <c r="K181"/>
      <c r="M181"/>
      <c r="O181" s="5"/>
      <c r="P181" s="6"/>
      <c r="Q181" s="37"/>
    </row>
    <row r="182" spans="1:17" x14ac:dyDescent="0.2">
      <c r="A182"/>
      <c r="B182"/>
      <c r="C182"/>
      <c r="D182"/>
      <c r="E182"/>
      <c r="G182"/>
      <c r="H182"/>
      <c r="I182"/>
      <c r="J182"/>
      <c r="K182"/>
      <c r="M182"/>
      <c r="O182" s="6"/>
      <c r="P182" s="6"/>
      <c r="Q182" s="37"/>
    </row>
    <row r="183" spans="1:17" x14ac:dyDescent="0.2">
      <c r="A183"/>
      <c r="B183"/>
      <c r="C183"/>
      <c r="D183"/>
      <c r="E183"/>
      <c r="G183"/>
      <c r="H183"/>
      <c r="I183"/>
      <c r="J183"/>
      <c r="K183"/>
      <c r="M183"/>
      <c r="O183" s="6"/>
      <c r="P183" s="6"/>
      <c r="Q183" s="37"/>
    </row>
    <row r="184" spans="1:17" x14ac:dyDescent="0.2">
      <c r="A184"/>
      <c r="B184"/>
      <c r="C184"/>
      <c r="D184"/>
      <c r="E184"/>
      <c r="G184"/>
      <c r="H184"/>
      <c r="I184"/>
      <c r="J184"/>
      <c r="K184"/>
      <c r="M184"/>
    </row>
    <row r="185" spans="1:17" x14ac:dyDescent="0.2">
      <c r="A185"/>
      <c r="J185"/>
      <c r="K185"/>
      <c r="M185"/>
    </row>
    <row r="186" spans="1:17" x14ac:dyDescent="0.2">
      <c r="A186"/>
      <c r="J186"/>
      <c r="K186"/>
      <c r="M186"/>
    </row>
    <row r="187" spans="1:17" x14ac:dyDescent="0.2">
      <c r="A187"/>
      <c r="J187"/>
      <c r="K187"/>
      <c r="M187"/>
    </row>
    <row r="188" spans="1:17" x14ac:dyDescent="0.2">
      <c r="A188"/>
      <c r="J188"/>
      <c r="K188"/>
      <c r="M188"/>
    </row>
    <row r="189" spans="1:17" x14ac:dyDescent="0.2">
      <c r="A189"/>
      <c r="J189"/>
      <c r="K189"/>
      <c r="M189"/>
    </row>
    <row r="190" spans="1:17" x14ac:dyDescent="0.2">
      <c r="A190"/>
      <c r="J190"/>
      <c r="K190"/>
      <c r="M190"/>
    </row>
    <row r="191" spans="1:17" x14ac:dyDescent="0.2">
      <c r="A191"/>
      <c r="J191"/>
      <c r="K191"/>
      <c r="M191"/>
    </row>
    <row r="192" spans="1:17" x14ac:dyDescent="0.2">
      <c r="A192"/>
      <c r="J192"/>
      <c r="K192"/>
      <c r="M192"/>
      <c r="O192"/>
    </row>
    <row r="193" spans="1:15" x14ac:dyDescent="0.2">
      <c r="A193"/>
      <c r="J193"/>
      <c r="K193"/>
      <c r="M193"/>
      <c r="O193"/>
    </row>
    <row r="194" spans="1:15" x14ac:dyDescent="0.2">
      <c r="A194"/>
      <c r="J194"/>
      <c r="K194"/>
      <c r="M194"/>
      <c r="O194"/>
    </row>
    <row r="195" spans="1:15" x14ac:dyDescent="0.2">
      <c r="A195"/>
      <c r="J195"/>
      <c r="K195"/>
      <c r="M195"/>
      <c r="O195"/>
    </row>
    <row r="196" spans="1:15" x14ac:dyDescent="0.2">
      <c r="A196"/>
      <c r="B196"/>
      <c r="C196"/>
      <c r="D196"/>
      <c r="E196"/>
      <c r="G196"/>
      <c r="H196"/>
      <c r="I196"/>
      <c r="J196"/>
      <c r="K196"/>
      <c r="M196"/>
      <c r="O196"/>
    </row>
    <row r="197" spans="1:15" x14ac:dyDescent="0.2">
      <c r="A197"/>
      <c r="B197"/>
      <c r="C197"/>
      <c r="D197"/>
      <c r="E197"/>
      <c r="G197"/>
      <c r="H197"/>
      <c r="I197"/>
      <c r="J197"/>
      <c r="K197"/>
      <c r="M197"/>
      <c r="O197"/>
    </row>
    <row r="198" spans="1:15" x14ac:dyDescent="0.2">
      <c r="O198"/>
    </row>
    <row r="199" spans="1:15" x14ac:dyDescent="0.2">
      <c r="O199"/>
    </row>
    <row r="200" spans="1:15" x14ac:dyDescent="0.2">
      <c r="O200"/>
    </row>
    <row r="201" spans="1:15" x14ac:dyDescent="0.2">
      <c r="O201"/>
    </row>
    <row r="202" spans="1:15" x14ac:dyDescent="0.2">
      <c r="O202"/>
    </row>
    <row r="203" spans="1:15" x14ac:dyDescent="0.2">
      <c r="O203"/>
    </row>
    <row r="204" spans="1:15" x14ac:dyDescent="0.2">
      <c r="O204"/>
    </row>
    <row r="205" spans="1:15" x14ac:dyDescent="0.2">
      <c r="O205"/>
    </row>
    <row r="206" spans="1:15" x14ac:dyDescent="0.2">
      <c r="O206"/>
    </row>
    <row r="207" spans="1:15" x14ac:dyDescent="0.2">
      <c r="O207"/>
    </row>
    <row r="208" spans="1:15" x14ac:dyDescent="0.2">
      <c r="O208"/>
    </row>
    <row r="209" spans="1:14" customFormat="1" x14ac:dyDescent="0.2">
      <c r="A209" s="25"/>
      <c r="B209" s="6"/>
      <c r="C209" s="1"/>
      <c r="D209" s="1"/>
      <c r="E209" s="1"/>
      <c r="F209" s="59"/>
      <c r="G209" s="1"/>
      <c r="H209" s="1"/>
      <c r="I209" s="1"/>
      <c r="J209" s="1"/>
      <c r="K209" s="1"/>
      <c r="L209" s="1"/>
      <c r="M209" s="1"/>
      <c r="N209" s="1"/>
    </row>
  </sheetData>
  <printOptions gridLines="1"/>
  <pageMargins left="0.38" right="0.75" top="0.73" bottom="0.74" header="0.5" footer="0.5"/>
  <pageSetup scale="15" orientation="landscape"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2:T64"/>
  <sheetViews>
    <sheetView zoomScale="110" zoomScaleNormal="110" workbookViewId="0">
      <pane xSplit="2" ySplit="2" topLeftCell="C6" activePane="bottomRight" state="frozen"/>
      <selection pane="topRight" activeCell="C1" sqref="C1"/>
      <selection pane="bottomLeft" activeCell="A3" sqref="A3"/>
      <selection pane="bottomRight" activeCell="C31" sqref="C31"/>
    </sheetView>
  </sheetViews>
  <sheetFormatPr defaultRowHeight="12.75" x14ac:dyDescent="0.2"/>
  <cols>
    <col min="1" max="1" width="21.5703125" customWidth="1"/>
    <col min="2" max="5" width="18" style="1" customWidth="1"/>
    <col min="6" max="6" width="15.5703125" style="1" customWidth="1"/>
    <col min="7" max="7" width="15.5703125" style="6" customWidth="1"/>
    <col min="8" max="8" width="15" style="6" customWidth="1"/>
    <col min="9" max="9" width="15.42578125" style="6" customWidth="1"/>
    <col min="10" max="10" width="14.140625" style="6" bestFit="1" customWidth="1"/>
    <col min="11" max="11" width="11.42578125" style="6" customWidth="1"/>
    <col min="12" max="12" width="12.42578125" style="6" customWidth="1"/>
    <col min="13" max="14" width="16.85546875" customWidth="1"/>
    <col min="15" max="15" width="14.42578125" customWidth="1"/>
    <col min="16" max="16" width="12.5703125" bestFit="1" customWidth="1"/>
    <col min="17" max="17" width="11.5703125" bestFit="1" customWidth="1"/>
    <col min="18" max="18" width="14" customWidth="1"/>
    <col min="19" max="19" width="10.140625" bestFit="1" customWidth="1"/>
    <col min="20" max="20" width="12.5703125" style="6" bestFit="1" customWidth="1"/>
  </cols>
  <sheetData>
    <row r="2" spans="1:14" ht="25.5" x14ac:dyDescent="0.2">
      <c r="B2" s="2" t="s">
        <v>5</v>
      </c>
      <c r="C2" s="2" t="s">
        <v>6</v>
      </c>
      <c r="D2" s="2" t="s">
        <v>36</v>
      </c>
      <c r="E2" s="2" t="s">
        <v>7</v>
      </c>
      <c r="F2" s="2" t="s">
        <v>0</v>
      </c>
      <c r="G2" s="7" t="s">
        <v>2</v>
      </c>
      <c r="H2" s="30" t="s">
        <v>162</v>
      </c>
      <c r="I2" s="31" t="s">
        <v>163</v>
      </c>
      <c r="J2" s="48" t="s">
        <v>164</v>
      </c>
      <c r="K2" s="32" t="s">
        <v>165</v>
      </c>
      <c r="L2" s="32" t="s">
        <v>53</v>
      </c>
    </row>
    <row r="3" spans="1:14" x14ac:dyDescent="0.2">
      <c r="A3">
        <v>2014</v>
      </c>
      <c r="B3" s="62">
        <f>'Power Purchased Model'!B153</f>
        <v>222844848</v>
      </c>
      <c r="C3" s="62">
        <f>'Power Purchased Model'!H153</f>
        <v>228231516.38532308</v>
      </c>
      <c r="D3" s="24">
        <f t="shared" ref="D3:D12" si="0">C3-B3</f>
        <v>5386668.3853230774</v>
      </c>
      <c r="E3" s="5">
        <f t="shared" ref="E3:E12" si="1">D3/B3</f>
        <v>2.4172281449033443E-2</v>
      </c>
      <c r="F3" s="17">
        <f>1 +(B3-G3)/G3</f>
        <v>1.0882504150567547</v>
      </c>
      <c r="G3" s="6">
        <f t="shared" ref="G3:G11" si="2">SUM(H3:L3)</f>
        <v>204773501.5</v>
      </c>
      <c r="H3" s="39">
        <v>85393126</v>
      </c>
      <c r="I3" s="39">
        <v>27212831</v>
      </c>
      <c r="J3" s="39">
        <v>83470707.799999997</v>
      </c>
      <c r="K3" s="39">
        <v>7919568</v>
      </c>
      <c r="L3" s="39">
        <v>777268.7</v>
      </c>
    </row>
    <row r="4" spans="1:14" x14ac:dyDescent="0.2">
      <c r="A4">
        <v>2015</v>
      </c>
      <c r="B4" s="62">
        <f>'Power Purchased Model'!B154</f>
        <v>216436884</v>
      </c>
      <c r="C4" s="62">
        <f>'Power Purchased Model'!H154</f>
        <v>223984882.18800622</v>
      </c>
      <c r="D4" s="24">
        <f t="shared" si="0"/>
        <v>7547998.1880062222</v>
      </c>
      <c r="E4" s="5">
        <f t="shared" si="1"/>
        <v>3.4873899718525898E-2</v>
      </c>
      <c r="F4" s="17">
        <f>1 +(B4-G4)/G4</f>
        <v>1.0760157802441876</v>
      </c>
      <c r="G4" s="6">
        <f t="shared" si="2"/>
        <v>201146570.5</v>
      </c>
      <c r="H4" s="39">
        <v>80876149.5</v>
      </c>
      <c r="I4" s="39">
        <v>26130351</v>
      </c>
      <c r="J4" s="39">
        <v>86528983.700000003</v>
      </c>
      <c r="K4" s="39">
        <v>6868390</v>
      </c>
      <c r="L4" s="39">
        <v>742696.3</v>
      </c>
    </row>
    <row r="5" spans="1:14" x14ac:dyDescent="0.2">
      <c r="A5">
        <v>2016</v>
      </c>
      <c r="B5" s="62">
        <f>'Power Purchased Model'!B155</f>
        <v>211050246</v>
      </c>
      <c r="C5" s="62">
        <f>'Power Purchased Model'!H155</f>
        <v>220670957.53909245</v>
      </c>
      <c r="D5" s="24">
        <f t="shared" si="0"/>
        <v>9620711.5390924513</v>
      </c>
      <c r="E5" s="5">
        <f t="shared" si="1"/>
        <v>4.5584934021315714E-2</v>
      </c>
      <c r="F5" s="17">
        <f t="shared" ref="F5:F12" si="3">1 +(B5-G5)/G5</f>
        <v>1.0698923597632899</v>
      </c>
      <c r="G5" s="6">
        <f t="shared" si="2"/>
        <v>197263064.90000001</v>
      </c>
      <c r="H5" s="39">
        <v>75910135.700000003</v>
      </c>
      <c r="I5" s="39">
        <v>24984442</v>
      </c>
      <c r="J5" s="39">
        <v>89578885.799999997</v>
      </c>
      <c r="K5" s="39">
        <v>6205026</v>
      </c>
      <c r="L5" s="39">
        <v>584575.4</v>
      </c>
    </row>
    <row r="6" spans="1:14" x14ac:dyDescent="0.2">
      <c r="A6">
        <v>2017</v>
      </c>
      <c r="B6" s="62">
        <f>'Power Purchased Model'!B156</f>
        <v>217280995.02387795</v>
      </c>
      <c r="C6" s="62">
        <f>'Power Purchased Model'!H156</f>
        <v>222936935.79111478</v>
      </c>
      <c r="D6" s="24">
        <f t="shared" si="0"/>
        <v>5655940.7672368288</v>
      </c>
      <c r="E6" s="5">
        <f t="shared" si="1"/>
        <v>2.603053601910868E-2</v>
      </c>
      <c r="F6" s="17">
        <f t="shared" si="3"/>
        <v>1.0700135583308517</v>
      </c>
      <c r="G6" s="6">
        <f t="shared" si="2"/>
        <v>203063777.39999998</v>
      </c>
      <c r="H6" s="39">
        <v>76321855.799999997</v>
      </c>
      <c r="I6" s="39">
        <v>25604789</v>
      </c>
      <c r="J6" s="39">
        <v>94512142.900000006</v>
      </c>
      <c r="K6" s="39">
        <v>6042453</v>
      </c>
      <c r="L6" s="39">
        <v>582536.69999999995</v>
      </c>
    </row>
    <row r="7" spans="1:14" x14ac:dyDescent="0.2">
      <c r="A7">
        <v>2018</v>
      </c>
      <c r="B7" s="62">
        <f>'Power Purchased Model'!B157</f>
        <v>241087151.13</v>
      </c>
      <c r="C7" s="62">
        <f>'Power Purchased Model'!H157</f>
        <v>231146708.30304456</v>
      </c>
      <c r="D7" s="24">
        <f t="shared" si="0"/>
        <v>-9940442.8269554377</v>
      </c>
      <c r="E7" s="5">
        <f t="shared" si="1"/>
        <v>-4.1231740390823696E-2</v>
      </c>
      <c r="F7" s="17">
        <f t="shared" si="3"/>
        <v>1.0735703205408673</v>
      </c>
      <c r="G7" s="6">
        <f t="shared" si="2"/>
        <v>224565775.07520857</v>
      </c>
      <c r="H7" s="39">
        <v>82424404.340000227</v>
      </c>
      <c r="I7" s="39">
        <v>26132430.019999992</v>
      </c>
      <c r="J7" s="39">
        <v>109385574.42520839</v>
      </c>
      <c r="K7" s="39">
        <v>6046269.2899999535</v>
      </c>
      <c r="L7" s="39">
        <v>577097.00000000012</v>
      </c>
      <c r="M7" s="6">
        <v>224565775.07520854</v>
      </c>
      <c r="N7" s="37">
        <f>G7-M7</f>
        <v>0</v>
      </c>
    </row>
    <row r="8" spans="1:14" x14ac:dyDescent="0.2">
      <c r="A8">
        <v>2019</v>
      </c>
      <c r="B8" s="62">
        <f>'Power Purchased Model'!B158</f>
        <v>255923211</v>
      </c>
      <c r="C8" s="62">
        <f>'Power Purchased Model'!H158</f>
        <v>238698376.49621281</v>
      </c>
      <c r="D8" s="24">
        <f t="shared" si="0"/>
        <v>-17224834.50378719</v>
      </c>
      <c r="E8" s="5">
        <f t="shared" si="1"/>
        <v>-6.7304698297909332E-2</v>
      </c>
      <c r="F8" s="17">
        <f t="shared" si="3"/>
        <v>1.085337953598194</v>
      </c>
      <c r="G8" s="6">
        <f t="shared" si="2"/>
        <v>235800480.53377673</v>
      </c>
      <c r="H8" s="39">
        <v>86629135.540000111</v>
      </c>
      <c r="I8" s="39">
        <v>26695948.809999999</v>
      </c>
      <c r="J8" s="39">
        <v>115631848.81377667</v>
      </c>
      <c r="K8" s="39">
        <v>6277417.3699999545</v>
      </c>
      <c r="L8" s="39">
        <v>566130.00000000012</v>
      </c>
      <c r="M8" s="6">
        <v>235800480.53377673</v>
      </c>
      <c r="N8" s="37">
        <f t="shared" ref="N8:N12" si="4">G8-M8</f>
        <v>0</v>
      </c>
    </row>
    <row r="9" spans="1:14" x14ac:dyDescent="0.2">
      <c r="A9">
        <v>2020</v>
      </c>
      <c r="B9" s="62">
        <f>'Power Purchased Model'!B159</f>
        <v>252540603</v>
      </c>
      <c r="C9" s="62">
        <f>'Power Purchased Model'!H159</f>
        <v>248560275.93597302</v>
      </c>
      <c r="D9" s="24">
        <f t="shared" si="0"/>
        <v>-3980327.0640269816</v>
      </c>
      <c r="E9" s="5">
        <f t="shared" si="1"/>
        <v>-1.5761137087436913E-2</v>
      </c>
      <c r="F9" s="17">
        <f t="shared" si="3"/>
        <v>1.1021225482123147</v>
      </c>
      <c r="G9" s="6">
        <f t="shared" si="2"/>
        <v>229140219.85089642</v>
      </c>
      <c r="H9" s="39">
        <v>91478383.059998766</v>
      </c>
      <c r="I9" s="39">
        <v>27143066.610000066</v>
      </c>
      <c r="J9" s="39">
        <v>103396925.32089764</v>
      </c>
      <c r="K9" s="39">
        <v>6529262.7599999467</v>
      </c>
      <c r="L9" s="39">
        <v>592582.10000000009</v>
      </c>
      <c r="M9" s="6">
        <v>229140219.85089642</v>
      </c>
      <c r="N9" s="37">
        <f t="shared" si="4"/>
        <v>0</v>
      </c>
    </row>
    <row r="10" spans="1:14" x14ac:dyDescent="0.2">
      <c r="A10">
        <v>2021</v>
      </c>
      <c r="B10" s="62">
        <f>'Power Purchased Model'!B160</f>
        <v>265226888</v>
      </c>
      <c r="C10" s="62">
        <f>'Power Purchased Model'!H160</f>
        <v>265083240.63657501</v>
      </c>
      <c r="D10" s="24">
        <f t="shared" si="0"/>
        <v>-143647.3634249866</v>
      </c>
      <c r="E10" s="5">
        <f t="shared" si="1"/>
        <v>-5.4160181310496168E-4</v>
      </c>
      <c r="F10" s="17">
        <f t="shared" si="3"/>
        <v>1.0855968744354785</v>
      </c>
      <c r="G10" s="6">
        <f t="shared" si="2"/>
        <v>244314343.79167747</v>
      </c>
      <c r="H10" s="39">
        <v>92005689.629998744</v>
      </c>
      <c r="I10" s="39">
        <v>27745373.102553256</v>
      </c>
      <c r="J10" s="39">
        <v>117544957.4291255</v>
      </c>
      <c r="K10" s="39">
        <v>6424167.5299999965</v>
      </c>
      <c r="L10" s="39">
        <v>594156.09999999986</v>
      </c>
      <c r="M10" s="6">
        <v>244314343.79167747</v>
      </c>
      <c r="N10" s="37">
        <f t="shared" si="4"/>
        <v>0</v>
      </c>
    </row>
    <row r="11" spans="1:14" x14ac:dyDescent="0.2">
      <c r="A11">
        <v>2022</v>
      </c>
      <c r="B11" s="62">
        <f>'Power Purchased Model'!B161</f>
        <v>279572890</v>
      </c>
      <c r="C11" s="62">
        <f>'Power Purchased Model'!H161</f>
        <v>280348495.50124574</v>
      </c>
      <c r="D11" s="24">
        <f t="shared" si="0"/>
        <v>775605.50124573708</v>
      </c>
      <c r="E11" s="5">
        <f t="shared" si="1"/>
        <v>2.7742514706835027E-3</v>
      </c>
      <c r="F11" s="17">
        <f t="shared" si="3"/>
        <v>1.0908561779344383</v>
      </c>
      <c r="G11" s="6">
        <f t="shared" si="2"/>
        <v>256287580.02670693</v>
      </c>
      <c r="H11" s="39">
        <v>99292265.290000916</v>
      </c>
      <c r="I11" s="39">
        <v>29567137.169999924</v>
      </c>
      <c r="J11" s="39">
        <v>120294405.22670604</v>
      </c>
      <c r="K11" s="39">
        <v>6540797.4400000293</v>
      </c>
      <c r="L11" s="39">
        <v>592974.89999999991</v>
      </c>
      <c r="M11" s="6">
        <v>256287580.0267069</v>
      </c>
      <c r="N11" s="37">
        <f t="shared" si="4"/>
        <v>0</v>
      </c>
    </row>
    <row r="12" spans="1:14" x14ac:dyDescent="0.2">
      <c r="A12" s="46">
        <v>2023</v>
      </c>
      <c r="B12" s="6">
        <v>281399999</v>
      </c>
      <c r="C12" s="62">
        <f>'Power Purchased Model'!H162</f>
        <v>281897516.58727068</v>
      </c>
      <c r="D12" s="24">
        <f t="shared" si="0"/>
        <v>497517.58727067709</v>
      </c>
      <c r="E12" s="5">
        <f t="shared" si="1"/>
        <v>1.7680084898318606E-3</v>
      </c>
      <c r="F12" s="17">
        <f t="shared" si="3"/>
        <v>1.083380968986414</v>
      </c>
      <c r="G12" s="6">
        <v>259742424</v>
      </c>
      <c r="H12" s="39">
        <v>96395846</v>
      </c>
      <c r="I12" s="39">
        <v>28496501</v>
      </c>
      <c r="J12" s="39">
        <v>128188723</v>
      </c>
      <c r="K12" s="39">
        <v>6123988</v>
      </c>
      <c r="L12" s="39">
        <v>537366</v>
      </c>
      <c r="M12" s="6">
        <v>259742424</v>
      </c>
      <c r="N12" s="37">
        <f t="shared" si="4"/>
        <v>0</v>
      </c>
    </row>
    <row r="13" spans="1:14" x14ac:dyDescent="0.2">
      <c r="A13" s="46">
        <v>2024</v>
      </c>
      <c r="B13" s="6"/>
      <c r="C13" s="15">
        <f>'Power Purchased Model'!H163</f>
        <v>286442559.29903477</v>
      </c>
      <c r="G13" s="15">
        <f>C13/$F$16</f>
        <v>263441796.62702098</v>
      </c>
      <c r="H13"/>
      <c r="I13"/>
      <c r="J13"/>
      <c r="K13"/>
      <c r="L13"/>
      <c r="N13" s="37"/>
    </row>
    <row r="14" spans="1:14" x14ac:dyDescent="0.2">
      <c r="A14" s="46">
        <v>2025</v>
      </c>
      <c r="B14" s="6"/>
      <c r="C14" s="15">
        <f>'Power Purchased Model'!H164</f>
        <v>291373034.71136582</v>
      </c>
      <c r="G14" s="15">
        <f>C14/$F$16</f>
        <v>267976364.75833645</v>
      </c>
      <c r="H14"/>
      <c r="I14"/>
      <c r="J14"/>
      <c r="K14"/>
      <c r="L14"/>
      <c r="N14" s="37"/>
    </row>
    <row r="15" spans="1:14" x14ac:dyDescent="0.2">
      <c r="H15" s="35"/>
      <c r="I15" s="35"/>
      <c r="J15" s="35"/>
      <c r="K15" s="35"/>
      <c r="L15" s="35"/>
    </row>
    <row r="16" spans="1:14" x14ac:dyDescent="0.2">
      <c r="A16" s="14" t="s">
        <v>10</v>
      </c>
      <c r="C16" s="36"/>
      <c r="D16" s="38"/>
      <c r="E16" s="54" t="s">
        <v>209</v>
      </c>
      <c r="F16" s="17">
        <v>1.0873087071470975</v>
      </c>
      <c r="H16" s="61"/>
      <c r="I16" s="61"/>
      <c r="J16" s="61"/>
      <c r="K16" s="61"/>
      <c r="L16" s="61"/>
    </row>
    <row r="17" spans="1:14" x14ac:dyDescent="0.2">
      <c r="C17" s="36"/>
      <c r="D17" s="38"/>
      <c r="E17" s="54"/>
      <c r="F17" s="17"/>
    </row>
    <row r="18" spans="1:14" x14ac:dyDescent="0.2">
      <c r="C18" s="166"/>
      <c r="D18" s="38"/>
      <c r="G18" s="166"/>
    </row>
    <row r="19" spans="1:14" x14ac:dyDescent="0.2">
      <c r="A19" s="16" t="s">
        <v>12</v>
      </c>
      <c r="B19" s="11"/>
      <c r="C19" s="166"/>
      <c r="G19" s="166"/>
    </row>
    <row r="21" spans="1:14" x14ac:dyDescent="0.2">
      <c r="A21">
        <v>2023</v>
      </c>
      <c r="H21" s="6">
        <f>H12/'Rate Class Customer Model'!B12</f>
        <v>11360.73612256924</v>
      </c>
      <c r="I21" s="6">
        <f>I12/'Rate Class Customer Model'!C12</f>
        <v>27010.901421800947</v>
      </c>
      <c r="J21" s="6">
        <f>J12/'Rate Class Customer Model'!D12</f>
        <v>2727419.6382978722</v>
      </c>
      <c r="K21" s="6">
        <f>K12/'Rate Class Customer Model'!E12</f>
        <v>2192.6201217329035</v>
      </c>
      <c r="L21" s="6">
        <f>L12/'Rate Class Customer Model'!F12</f>
        <v>474.91471498011487</v>
      </c>
    </row>
    <row r="22" spans="1:14" x14ac:dyDescent="0.2">
      <c r="A22">
        <f>A13</f>
        <v>2024</v>
      </c>
      <c r="H22" s="15">
        <f>H21</f>
        <v>11360.73612256924</v>
      </c>
      <c r="I22" s="15">
        <f t="shared" ref="I22:L23" si="5">I21</f>
        <v>27010.901421800947</v>
      </c>
      <c r="J22" s="15">
        <f t="shared" si="5"/>
        <v>2727419.6382978722</v>
      </c>
      <c r="K22" s="15">
        <f>K21</f>
        <v>2192.6201217329035</v>
      </c>
      <c r="L22" s="15">
        <f t="shared" si="5"/>
        <v>474.91471498011487</v>
      </c>
    </row>
    <row r="23" spans="1:14" x14ac:dyDescent="0.2">
      <c r="A23">
        <f>A14</f>
        <v>2025</v>
      </c>
      <c r="H23" s="15">
        <f>H22</f>
        <v>11360.73612256924</v>
      </c>
      <c r="I23" s="15">
        <f t="shared" si="5"/>
        <v>27010.901421800947</v>
      </c>
      <c r="J23" s="15">
        <f>J22</f>
        <v>2727419.6382978722</v>
      </c>
      <c r="K23" s="15">
        <f t="shared" si="5"/>
        <v>2192.6201217329035</v>
      </c>
      <c r="L23" s="15">
        <f t="shared" si="5"/>
        <v>474.91471498011487</v>
      </c>
    </row>
    <row r="24" spans="1:14" x14ac:dyDescent="0.2">
      <c r="H24"/>
      <c r="I24"/>
      <c r="J24"/>
      <c r="K24"/>
      <c r="L24"/>
    </row>
    <row r="25" spans="1:14" x14ac:dyDescent="0.2">
      <c r="D25" s="6"/>
      <c r="H25" s="18"/>
      <c r="I25" s="18"/>
      <c r="J25" s="18"/>
      <c r="K25" s="18"/>
      <c r="L25" s="18"/>
    </row>
    <row r="26" spans="1:14" x14ac:dyDescent="0.2">
      <c r="A26" s="14" t="s">
        <v>39</v>
      </c>
    </row>
    <row r="27" spans="1:14" x14ac:dyDescent="0.2">
      <c r="A27" s="44">
        <f>A22</f>
        <v>2024</v>
      </c>
      <c r="G27" s="6">
        <f t="shared" ref="G27:G28" si="6">SUM(H27:L27)</f>
        <v>261030929.26640177</v>
      </c>
      <c r="H27" s="6">
        <f>H22*'Rate Class Customer Model'!B13</f>
        <v>97322885.105534375</v>
      </c>
      <c r="I27" s="6">
        <f>I22*'Rate Class Customer Model'!C13</f>
        <v>28945070.693253409</v>
      </c>
      <c r="J27" s="6">
        <f>J22*'Rate Class Customer Model'!D13</f>
        <v>128188722.99999999</v>
      </c>
      <c r="K27" s="6">
        <f>K22*'Rate Class Customer Model'!E13</f>
        <v>6043770.7309812028</v>
      </c>
      <c r="L27" s="6">
        <f>L22*'Rate Class Customer Model'!F13</f>
        <v>530479.73663278832</v>
      </c>
    </row>
    <row r="28" spans="1:14" x14ac:dyDescent="0.2">
      <c r="A28" s="44">
        <f>A23</f>
        <v>2025</v>
      </c>
      <c r="G28" s="6">
        <f t="shared" si="6"/>
        <v>259300536.50616798</v>
      </c>
      <c r="H28" s="6">
        <f>H23*'Rate Class Customer Model'!B14</f>
        <v>98098649.252339989</v>
      </c>
      <c r="I28" s="6">
        <f>I23*'Rate Class Customer Model'!C14</f>
        <v>28916746.672414556</v>
      </c>
      <c r="J28" s="6">
        <f>J23*'Rate Class Customer Model'!D14</f>
        <v>125787632.98611537</v>
      </c>
      <c r="K28" s="6">
        <f>K23*'Rate Class Customer Model'!E14</f>
        <v>5961327.3980811778</v>
      </c>
      <c r="L28" s="6">
        <f>L23*'Rate Class Customer Model'!F14</f>
        <v>536180.1972169095</v>
      </c>
    </row>
    <row r="29" spans="1:14" x14ac:dyDescent="0.2">
      <c r="A29" s="44"/>
    </row>
    <row r="31" spans="1:14" x14ac:dyDescent="0.2">
      <c r="A31" s="14" t="s">
        <v>38</v>
      </c>
      <c r="N31" s="6"/>
    </row>
    <row r="32" spans="1:14" x14ac:dyDescent="0.2">
      <c r="A32" s="44">
        <f>+A27</f>
        <v>2024</v>
      </c>
      <c r="G32" s="15">
        <f>G13</f>
        <v>263441796.62702098</v>
      </c>
      <c r="H32" s="6">
        <f>H27+H40</f>
        <v>98355302.905827716</v>
      </c>
      <c r="I32" s="6">
        <f>I27+I40</f>
        <v>29252124.950657092</v>
      </c>
      <c r="J32" s="6">
        <f>J27+J40</f>
        <v>129260118.30292217</v>
      </c>
      <c r="K32" s="6">
        <f>K27+K40</f>
        <v>6043770.7309812028</v>
      </c>
      <c r="L32" s="6">
        <f>L27+L40</f>
        <v>530479.73663278832</v>
      </c>
      <c r="M32" s="6">
        <f>SUM(H32:L32)</f>
        <v>263441796.62702096</v>
      </c>
      <c r="N32" s="6">
        <f>M32-G32</f>
        <v>0</v>
      </c>
    </row>
    <row r="33" spans="1:20" x14ac:dyDescent="0.2">
      <c r="A33" s="44">
        <f>+A28</f>
        <v>2025</v>
      </c>
      <c r="G33" s="15">
        <f>G14</f>
        <v>267976364.75833645</v>
      </c>
      <c r="H33" s="6">
        <f>H28+H41</f>
        <v>101862509.1831217</v>
      </c>
      <c r="I33" s="6">
        <f>I28+I41</f>
        <v>30026227.638344064</v>
      </c>
      <c r="J33" s="242">
        <f>J28+J41+J44</f>
        <v>181489761.91863358</v>
      </c>
      <c r="K33" s="6">
        <f>K28+K41</f>
        <v>5961327.3980811778</v>
      </c>
      <c r="L33" s="6">
        <f>L28+L41</f>
        <v>536180.1972169095</v>
      </c>
      <c r="M33" s="6">
        <f>SUM(H33:L33)</f>
        <v>319876006.33539742</v>
      </c>
      <c r="N33" s="6">
        <f>M33-G33</f>
        <v>51899641.577060968</v>
      </c>
    </row>
    <row r="34" spans="1:20" x14ac:dyDescent="0.2">
      <c r="N34" s="6"/>
    </row>
    <row r="35" spans="1:20" x14ac:dyDescent="0.2">
      <c r="A35" s="14" t="s">
        <v>40</v>
      </c>
      <c r="H35" s="52">
        <f>(100%+J35)/2</f>
        <v>0.82499999999999996</v>
      </c>
      <c r="I35" s="53">
        <f>H35</f>
        <v>0.82499999999999996</v>
      </c>
      <c r="J35" s="63">
        <v>0.65</v>
      </c>
      <c r="K35" s="53">
        <v>0</v>
      </c>
      <c r="L35" s="53">
        <v>0</v>
      </c>
    </row>
    <row r="36" spans="1:20" x14ac:dyDescent="0.2">
      <c r="A36" s="44">
        <f>+A32</f>
        <v>2024</v>
      </c>
      <c r="G36" s="6">
        <f>G32-G27</f>
        <v>2410867.3606192172</v>
      </c>
      <c r="H36" s="6">
        <f>H27*H$35</f>
        <v>80291380.212065861</v>
      </c>
      <c r="I36" s="6">
        <f t="shared" ref="H36:L37" si="7">I27*I$35</f>
        <v>23879683.321934063</v>
      </c>
      <c r="J36" s="6">
        <f t="shared" si="7"/>
        <v>83322669.949999988</v>
      </c>
      <c r="K36" s="6">
        <f t="shared" si="7"/>
        <v>0</v>
      </c>
      <c r="L36" s="6">
        <f t="shared" si="7"/>
        <v>0</v>
      </c>
      <c r="M36" s="6">
        <f t="shared" ref="M36:M37" si="8">SUM(H36:L36)</f>
        <v>187493733.48399991</v>
      </c>
    </row>
    <row r="37" spans="1:20" x14ac:dyDescent="0.2">
      <c r="A37" s="44">
        <f>+A33</f>
        <v>2025</v>
      </c>
      <c r="G37" s="6">
        <f>G33-G28</f>
        <v>8675828.2521684766</v>
      </c>
      <c r="H37" s="6">
        <f t="shared" si="7"/>
        <v>80931385.633180484</v>
      </c>
      <c r="I37" s="6">
        <f t="shared" si="7"/>
        <v>23856316.004742008</v>
      </c>
      <c r="J37" s="6">
        <f t="shared" si="7"/>
        <v>81761961.440974995</v>
      </c>
      <c r="K37" s="6">
        <f t="shared" si="7"/>
        <v>0</v>
      </c>
      <c r="L37" s="6">
        <f t="shared" si="7"/>
        <v>0</v>
      </c>
      <c r="M37" s="6">
        <f t="shared" si="8"/>
        <v>186549663.07889748</v>
      </c>
    </row>
    <row r="38" spans="1:20" ht="12" customHeight="1" x14ac:dyDescent="0.2"/>
    <row r="39" spans="1:20" x14ac:dyDescent="0.2">
      <c r="A39" t="s">
        <v>41</v>
      </c>
    </row>
    <row r="40" spans="1:20" x14ac:dyDescent="0.2">
      <c r="A40" s="44">
        <f>+A36</f>
        <v>2024</v>
      </c>
      <c r="G40" s="6">
        <f>SUM(H40:L40)</f>
        <v>2410867.3606192172</v>
      </c>
      <c r="H40" s="6">
        <f>H36/$M$36*$G$36</f>
        <v>1032417.8002933417</v>
      </c>
      <c r="I40" s="6">
        <f t="shared" ref="I40:L40" si="9">I36/$M$36*$G$36</f>
        <v>307054.25740368449</v>
      </c>
      <c r="J40" s="6">
        <f t="shared" si="9"/>
        <v>1071395.3029221911</v>
      </c>
      <c r="K40" s="6">
        <f t="shared" si="9"/>
        <v>0</v>
      </c>
      <c r="L40" s="6">
        <f t="shared" si="9"/>
        <v>0</v>
      </c>
    </row>
    <row r="41" spans="1:20" x14ac:dyDescent="0.2">
      <c r="A41" s="44">
        <f>+A37</f>
        <v>2025</v>
      </c>
      <c r="G41" s="6">
        <f>SUM(H41:L41)</f>
        <v>8675828.2521684766</v>
      </c>
      <c r="H41" s="6">
        <f>H37/$M$37*$G$37</f>
        <v>3763859.9307817039</v>
      </c>
      <c r="I41" s="6">
        <f t="shared" ref="I41:L41" si="10">I37/$M$37*$G$37</f>
        <v>1109480.9659295094</v>
      </c>
      <c r="J41" s="6">
        <f t="shared" si="10"/>
        <v>3802487.355457264</v>
      </c>
      <c r="K41" s="6">
        <f t="shared" si="10"/>
        <v>0</v>
      </c>
      <c r="L41" s="6">
        <f t="shared" si="10"/>
        <v>0</v>
      </c>
    </row>
    <row r="42" spans="1:20" x14ac:dyDescent="0.2">
      <c r="G42" s="19"/>
    </row>
    <row r="43" spans="1:20" x14ac:dyDescent="0.2">
      <c r="A43" s="14" t="s">
        <v>171</v>
      </c>
    </row>
    <row r="44" spans="1:20" x14ac:dyDescent="0.2">
      <c r="A44" s="44">
        <v>2025</v>
      </c>
      <c r="J44" s="241">
        <f>2*4000*12*0.905/0.001674</f>
        <v>51899641.577060938</v>
      </c>
    </row>
    <row r="45" spans="1:20" x14ac:dyDescent="0.2">
      <c r="A45" s="14"/>
    </row>
    <row r="47" spans="1:20" x14ac:dyDescent="0.2">
      <c r="B47"/>
      <c r="C47"/>
      <c r="D47"/>
      <c r="E47"/>
      <c r="F47"/>
      <c r="G47"/>
      <c r="H47"/>
      <c r="I47"/>
      <c r="J47"/>
      <c r="K47"/>
      <c r="L47"/>
      <c r="T47"/>
    </row>
    <row r="48" spans="1:20" x14ac:dyDescent="0.2">
      <c r="B48"/>
      <c r="C48"/>
      <c r="D48"/>
      <c r="E48"/>
      <c r="F48"/>
      <c r="G48"/>
      <c r="H48"/>
      <c r="I48"/>
      <c r="J48"/>
      <c r="K48"/>
      <c r="L48"/>
      <c r="T48"/>
    </row>
    <row r="49" customFormat="1" x14ac:dyDescent="0.2"/>
    <row r="50"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sheetData>
  <phoneticPr fontId="0" type="noConversion"/>
  <pageMargins left="0.38" right="0.75" top="0.73" bottom="0.74" header="0.5" footer="0.5"/>
  <pageSetup scale="62" orientation="landscape" r:id="rId1"/>
  <headerFooter alignWithMargins="0">
    <oddFooter>&amp;L&amp;Z&amp;F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T83"/>
  <sheetViews>
    <sheetView tabSelected="1" topLeftCell="A31" zoomScaleNormal="100" workbookViewId="0">
      <selection activeCell="N37" sqref="N37"/>
    </sheetView>
  </sheetViews>
  <sheetFormatPr defaultRowHeight="12.75" x14ac:dyDescent="0.2"/>
  <cols>
    <col min="1" max="1" width="21.140625" customWidth="1"/>
    <col min="2" max="2" width="15" style="6" customWidth="1"/>
    <col min="3" max="3" width="17.42578125" style="6" customWidth="1"/>
    <col min="4" max="4" width="17.85546875" style="6" bestFit="1" customWidth="1"/>
    <col min="5" max="5" width="12.5703125" style="6" customWidth="1"/>
    <col min="6" max="6" width="11.42578125" style="6" customWidth="1"/>
    <col min="7" max="7" width="11.5703125" customWidth="1"/>
    <col min="8" max="8" width="20.5703125" bestFit="1" customWidth="1"/>
    <col min="9" max="9" width="12.5703125" customWidth="1"/>
    <col min="10" max="10" width="12.5703125" bestFit="1" customWidth="1"/>
    <col min="11" max="11" width="11.5703125" bestFit="1" customWidth="1"/>
    <col min="12" max="12" width="11.5703125" customWidth="1"/>
    <col min="13" max="13" width="17.42578125" bestFit="1" customWidth="1"/>
    <col min="14" max="14" width="11.5703125" customWidth="1"/>
    <col min="15" max="15" width="10.5703125" bestFit="1" customWidth="1"/>
    <col min="16" max="17" width="9.140625" customWidth="1"/>
    <col min="20" max="20" width="13.5703125" bestFit="1" customWidth="1"/>
  </cols>
  <sheetData>
    <row r="1" spans="1:20" x14ac:dyDescent="0.2">
      <c r="B1" s="411" t="s">
        <v>61</v>
      </c>
      <c r="C1" s="412"/>
      <c r="D1" s="412"/>
      <c r="E1" s="412"/>
      <c r="F1" s="412"/>
      <c r="L1" t="s">
        <v>203</v>
      </c>
      <c r="N1" s="74">
        <v>2019</v>
      </c>
      <c r="O1" s="74">
        <v>2020</v>
      </c>
      <c r="P1" s="74">
        <v>2021</v>
      </c>
      <c r="Q1" s="74">
        <v>2022</v>
      </c>
      <c r="R1" s="74">
        <v>2023</v>
      </c>
      <c r="S1" s="74">
        <v>2024</v>
      </c>
      <c r="T1" s="74">
        <v>2025</v>
      </c>
    </row>
    <row r="2" spans="1:20" ht="25.5" x14ac:dyDescent="0.2">
      <c r="B2" s="9" t="str">
        <f>'Rate Class Energy Model'!H2</f>
        <v>R1(i) Residential</v>
      </c>
      <c r="C2" s="9" t="str">
        <f>'Rate Class Energy Model'!I2</f>
        <v>R1(ii) GS &lt; 50 kW</v>
      </c>
      <c r="D2" s="9" t="str">
        <f>'Rate Class Energy Model'!J2</f>
        <v>R2 GS&gt;50 kW</v>
      </c>
      <c r="E2" s="9" t="str">
        <f>'Rate Class Energy Model'!K2</f>
        <v>Seasonal</v>
      </c>
      <c r="F2" s="9" t="str">
        <f>'Rate Class Energy Model'!L2</f>
        <v>Street Lights</v>
      </c>
      <c r="G2" s="1" t="s">
        <v>8</v>
      </c>
      <c r="I2" s="65" t="s">
        <v>86</v>
      </c>
      <c r="L2" s="33">
        <v>11723</v>
      </c>
      <c r="M2" t="s">
        <v>167</v>
      </c>
      <c r="N2" s="13">
        <v>5.6868796205101028E-5</v>
      </c>
      <c r="O2" s="13">
        <v>2.689050101475477E-3</v>
      </c>
      <c r="P2" s="13">
        <v>1.1849944541065301E-3</v>
      </c>
      <c r="Q2" s="13">
        <v>4.8653543525553682E-4</v>
      </c>
      <c r="R2" s="13">
        <v>9.3273239785005198E-4</v>
      </c>
      <c r="S2" s="13"/>
      <c r="T2" s="13">
        <v>1.7973357504174315E-4</v>
      </c>
    </row>
    <row r="3" spans="1:20" x14ac:dyDescent="0.2">
      <c r="A3" s="4">
        <v>2014</v>
      </c>
      <c r="B3" s="40">
        <v>7397.916666666667</v>
      </c>
      <c r="C3" s="40">
        <v>955.66666666666663</v>
      </c>
      <c r="D3" s="40">
        <v>43.416666666666664</v>
      </c>
      <c r="E3" s="40">
        <v>3254.5</v>
      </c>
      <c r="F3" s="40">
        <v>1018.5833333333334</v>
      </c>
      <c r="G3" s="51">
        <f t="shared" ref="G3:G15" si="0">SUM(B3:F3)</f>
        <v>12670.083333333334</v>
      </c>
      <c r="H3" s="37">
        <f>(B3+C3+E3)</f>
        <v>11608.083333333334</v>
      </c>
      <c r="I3" s="6">
        <f>B3+C3+D3+E3</f>
        <v>11651.5</v>
      </c>
      <c r="J3" s="6"/>
      <c r="M3" s="4" t="s">
        <v>74</v>
      </c>
      <c r="N3" s="73">
        <f>L2*(1+N2)</f>
        <v>11723.666672897911</v>
      </c>
      <c r="O3" s="73">
        <f>N14+(1+O2)</f>
        <v>11732.005266549859</v>
      </c>
      <c r="P3" s="73">
        <f t="shared" ref="P3:R3" si="1">O14+(1+P2)</f>
        <v>12084.73761549323</v>
      </c>
      <c r="Q3" s="73">
        <f>P14+(1+Q2)</f>
        <v>12244.198569699198</v>
      </c>
      <c r="R3" s="73">
        <f t="shared" si="1"/>
        <v>12310.888748987967</v>
      </c>
      <c r="S3" s="377">
        <f>SUM(B63:E63)</f>
        <v>12429</v>
      </c>
      <c r="T3" s="73">
        <f>S14*(1+T2)</f>
        <v>12456.558839819771</v>
      </c>
    </row>
    <row r="4" spans="1:20" x14ac:dyDescent="0.2">
      <c r="A4" s="4">
        <v>2015</v>
      </c>
      <c r="B4" s="40">
        <v>7479.5</v>
      </c>
      <c r="C4" s="40">
        <v>954.25</v>
      </c>
      <c r="D4" s="40">
        <v>42.166666666666664</v>
      </c>
      <c r="E4" s="40">
        <v>3175.9166666666665</v>
      </c>
      <c r="F4" s="40">
        <v>1022.6666666666666</v>
      </c>
      <c r="G4" s="51">
        <f t="shared" si="0"/>
        <v>12674.499999999998</v>
      </c>
      <c r="H4" s="37">
        <f t="shared" ref="H4:H12" si="2">(B4+C4+E4)</f>
        <v>11609.666666666666</v>
      </c>
      <c r="I4" s="6">
        <f t="shared" ref="I4:I15" si="3">B4+C4+D4+E4</f>
        <v>11651.833333333332</v>
      </c>
      <c r="J4" s="6"/>
      <c r="M4" s="75" t="s">
        <v>75</v>
      </c>
      <c r="N4" s="73">
        <f>N3*(1+N2)</f>
        <v>11724.333383708708</v>
      </c>
      <c r="O4" s="73">
        <f t="shared" ref="O4:T4" si="4">O3*(1+O2)</f>
        <v>11763.553216502387</v>
      </c>
      <c r="P4" s="73">
        <f t="shared" si="4"/>
        <v>12099.057962546922</v>
      </c>
      <c r="Q4" s="73">
        <f t="shared" si="4"/>
        <v>12250.15580617966</v>
      </c>
      <c r="R4" s="73">
        <f t="shared" si="4"/>
        <v>12322.371513770477</v>
      </c>
      <c r="S4" s="377">
        <f t="shared" ref="S4:S14" si="5">SUM(B64:E64)</f>
        <v>12434</v>
      </c>
      <c r="T4" s="73">
        <f t="shared" si="4"/>
        <v>12458.797701672769</v>
      </c>
    </row>
    <row r="5" spans="1:20" x14ac:dyDescent="0.2">
      <c r="A5" s="4">
        <v>2016</v>
      </c>
      <c r="B5" s="40">
        <v>7543.75</v>
      </c>
      <c r="C5" s="40">
        <v>951.16666666666663</v>
      </c>
      <c r="D5" s="40">
        <v>42.083333333333336</v>
      </c>
      <c r="E5" s="40">
        <v>3139.9166666666665</v>
      </c>
      <c r="F5" s="40">
        <v>1066.3333333333333</v>
      </c>
      <c r="G5" s="51">
        <f t="shared" si="0"/>
        <v>12743.25</v>
      </c>
      <c r="H5" s="37">
        <f t="shared" si="2"/>
        <v>11634.833333333332</v>
      </c>
      <c r="I5" s="6">
        <f t="shared" si="3"/>
        <v>11676.916666666666</v>
      </c>
      <c r="J5" s="6"/>
      <c r="M5" s="75" t="s">
        <v>76</v>
      </c>
      <c r="N5" s="73">
        <f>N4*(1+N2)</f>
        <v>11725.000132434547</v>
      </c>
      <c r="O5" s="73">
        <f t="shared" ref="O5:T5" si="6">O4*(1+O2)</f>
        <v>11795.186000472935</v>
      </c>
      <c r="P5" s="73">
        <f t="shared" si="6"/>
        <v>12113.395279132452</v>
      </c>
      <c r="Q5" s="73">
        <f t="shared" si="6"/>
        <v>12256.115941066768</v>
      </c>
      <c r="R5" s="73">
        <f t="shared" si="6"/>
        <v>12333.864988899715</v>
      </c>
      <c r="S5" s="377">
        <f t="shared" si="5"/>
        <v>12439</v>
      </c>
      <c r="T5" s="73">
        <f t="shared" si="6"/>
        <v>12461.036965924413</v>
      </c>
    </row>
    <row r="6" spans="1:20" x14ac:dyDescent="0.2">
      <c r="A6" s="4">
        <v>2017</v>
      </c>
      <c r="B6" s="40">
        <v>7596.416666666667</v>
      </c>
      <c r="C6" s="40">
        <v>961.16666666666663</v>
      </c>
      <c r="D6" s="40">
        <v>38.166666666666664</v>
      </c>
      <c r="E6" s="40">
        <v>3108.0833333333335</v>
      </c>
      <c r="F6" s="40">
        <v>1070</v>
      </c>
      <c r="G6" s="51">
        <f t="shared" si="0"/>
        <v>12773.833333333334</v>
      </c>
      <c r="H6" s="37">
        <f t="shared" si="2"/>
        <v>11665.666666666668</v>
      </c>
      <c r="I6" s="6">
        <f t="shared" si="3"/>
        <v>11703.833333333334</v>
      </c>
      <c r="J6" s="6"/>
      <c r="M6" s="75" t="s">
        <v>77</v>
      </c>
      <c r="N6" s="73">
        <f>N5*(1+N2)</f>
        <v>11725.666919077583</v>
      </c>
      <c r="O6" s="73">
        <f t="shared" ref="O6:T6" si="7">O5*(1+O2)</f>
        <v>11826.90384658443</v>
      </c>
      <c r="P6" s="73">
        <f t="shared" si="7"/>
        <v>12127.749585358622</v>
      </c>
      <c r="Q6" s="73">
        <f t="shared" si="7"/>
        <v>12262.078975770695</v>
      </c>
      <c r="R6" s="73">
        <f t="shared" si="7"/>
        <v>12345.369184365571</v>
      </c>
      <c r="S6" s="377">
        <f t="shared" si="5"/>
        <v>12437</v>
      </c>
      <c r="T6" s="73">
        <f t="shared" si="7"/>
        <v>12463.276632647026</v>
      </c>
    </row>
    <row r="7" spans="1:20" x14ac:dyDescent="0.2">
      <c r="A7" s="4">
        <v>2018</v>
      </c>
      <c r="B7" s="40">
        <v>7639.75</v>
      </c>
      <c r="C7" s="40">
        <v>960.91666666666663</v>
      </c>
      <c r="D7" s="40">
        <v>39.75</v>
      </c>
      <c r="E7" s="40">
        <v>3076.4166666666665</v>
      </c>
      <c r="F7" s="40">
        <v>1067.0833333333333</v>
      </c>
      <c r="G7" s="51">
        <f t="shared" si="0"/>
        <v>12783.916666666666</v>
      </c>
      <c r="H7" s="37">
        <f t="shared" si="2"/>
        <v>11677.083333333332</v>
      </c>
      <c r="I7" s="6">
        <f t="shared" si="3"/>
        <v>11716.833333333332</v>
      </c>
      <c r="J7" s="6"/>
      <c r="M7" s="75" t="s">
        <v>54</v>
      </c>
      <c r="N7" s="73">
        <f>N6*(1+N2)</f>
        <v>11726.333743639972</v>
      </c>
      <c r="O7" s="73">
        <f t="shared" ref="O7:T7" si="8">O6*(1+O2)</f>
        <v>11858.706983573229</v>
      </c>
      <c r="P7" s="73">
        <f t="shared" si="8"/>
        <v>12142.120901358065</v>
      </c>
      <c r="Q7" s="73">
        <f t="shared" si="8"/>
        <v>12268.044911702309</v>
      </c>
      <c r="R7" s="73">
        <f t="shared" si="8"/>
        <v>12356.884110167248</v>
      </c>
      <c r="S7" s="377">
        <f t="shared" si="5"/>
        <v>12427</v>
      </c>
      <c r="T7" s="73">
        <f t="shared" si="8"/>
        <v>12465.516701912946</v>
      </c>
    </row>
    <row r="8" spans="1:20" x14ac:dyDescent="0.2">
      <c r="A8" s="4">
        <v>2019</v>
      </c>
      <c r="B8" s="238">
        <f t="shared" ref="B8:F12" si="9">(B39+B40)/2</f>
        <v>7697.5</v>
      </c>
      <c r="C8" s="238">
        <f t="shared" si="9"/>
        <v>951</v>
      </c>
      <c r="D8" s="238">
        <f t="shared" si="9"/>
        <v>39.5</v>
      </c>
      <c r="E8" s="238">
        <f t="shared" si="9"/>
        <v>3038.5</v>
      </c>
      <c r="F8" s="238">
        <f t="shared" si="9"/>
        <v>1074.5</v>
      </c>
      <c r="G8" s="51">
        <f t="shared" si="0"/>
        <v>12801</v>
      </c>
      <c r="H8" s="37">
        <f>(B8+C8+E8)</f>
        <v>11687</v>
      </c>
      <c r="I8" s="6">
        <f t="shared" si="3"/>
        <v>11726.5</v>
      </c>
      <c r="J8" s="249"/>
      <c r="M8" s="75" t="s">
        <v>78</v>
      </c>
      <c r="N8" s="73">
        <f>N7*(1+N2)</f>
        <v>11727.000606123871</v>
      </c>
      <c r="O8" s="73">
        <f t="shared" ref="O8:T8" si="10">O7*(1+O2)</f>
        <v>11890.595640790776</v>
      </c>
      <c r="P8" s="73">
        <f t="shared" si="10"/>
        <v>12156.509247287264</v>
      </c>
      <c r="Q8" s="73">
        <f t="shared" si="10"/>
        <v>12274.013750273158</v>
      </c>
      <c r="R8" s="73">
        <f t="shared" si="10"/>
        <v>12368.40977631328</v>
      </c>
      <c r="S8" s="377">
        <f t="shared" si="5"/>
        <v>12441</v>
      </c>
      <c r="T8" s="73">
        <f t="shared" si="10"/>
        <v>12467.757173794524</v>
      </c>
    </row>
    <row r="9" spans="1:20" x14ac:dyDescent="0.2">
      <c r="A9" s="4">
        <v>2020</v>
      </c>
      <c r="B9" s="238">
        <f t="shared" si="9"/>
        <v>7924.5</v>
      </c>
      <c r="C9" s="238">
        <f t="shared" si="9"/>
        <v>968.5</v>
      </c>
      <c r="D9" s="238">
        <f t="shared" si="9"/>
        <v>40.5</v>
      </c>
      <c r="E9" s="238">
        <f t="shared" si="9"/>
        <v>2989.5</v>
      </c>
      <c r="F9" s="238">
        <f t="shared" si="9"/>
        <v>1105</v>
      </c>
      <c r="G9" s="51">
        <f t="shared" si="0"/>
        <v>13028</v>
      </c>
      <c r="H9" s="37">
        <f t="shared" si="2"/>
        <v>11882.5</v>
      </c>
      <c r="I9" s="6">
        <f t="shared" si="3"/>
        <v>11923</v>
      </c>
      <c r="J9" s="6"/>
      <c r="M9" s="75" t="s">
        <v>79</v>
      </c>
      <c r="N9" s="73">
        <f>N8*(1+N2)</f>
        <v>11727.667506531438</v>
      </c>
      <c r="O9" s="73">
        <f t="shared" ref="O9:T9" si="11">O8*(1+O2)</f>
        <v>11922.570048205249</v>
      </c>
      <c r="P9" s="73">
        <f t="shared" si="11"/>
        <v>12170.914643326594</v>
      </c>
      <c r="Q9" s="73">
        <f t="shared" si="11"/>
        <v>12279.985492895479</v>
      </c>
      <c r="R9" s="73">
        <f t="shared" si="11"/>
        <v>12379.946192821533</v>
      </c>
      <c r="S9" s="377">
        <f t="shared" si="5"/>
        <v>12443.197818250159</v>
      </c>
      <c r="T9" s="73">
        <f t="shared" si="11"/>
        <v>12469.998048364123</v>
      </c>
    </row>
    <row r="10" spans="1:20" x14ac:dyDescent="0.2">
      <c r="A10" s="4">
        <v>2021</v>
      </c>
      <c r="B10" s="238">
        <f t="shared" si="9"/>
        <v>8204.5</v>
      </c>
      <c r="C10" s="238">
        <f t="shared" si="9"/>
        <v>998.5</v>
      </c>
      <c r="D10" s="238">
        <f t="shared" si="9"/>
        <v>42.5</v>
      </c>
      <c r="E10" s="238">
        <f t="shared" si="9"/>
        <v>2925</v>
      </c>
      <c r="F10" s="238">
        <f t="shared" si="9"/>
        <v>1141</v>
      </c>
      <c r="G10" s="51">
        <f t="shared" si="0"/>
        <v>13311.5</v>
      </c>
      <c r="H10" s="37">
        <f t="shared" si="2"/>
        <v>12128</v>
      </c>
      <c r="I10" s="6">
        <f t="shared" si="3"/>
        <v>12170.5</v>
      </c>
      <c r="J10" s="6"/>
      <c r="M10" s="75" t="s">
        <v>80</v>
      </c>
      <c r="N10" s="73">
        <f>N9*(1+N2)</f>
        <v>11728.334444864828</v>
      </c>
      <c r="O10" s="73">
        <f t="shared" ref="O10:T10" si="12">O9*(1+O2)</f>
        <v>11954.630436403226</v>
      </c>
      <c r="P10" s="73">
        <f t="shared" si="12"/>
        <v>12185.33710968034</v>
      </c>
      <c r="Q10" s="73">
        <f t="shared" si="12"/>
        <v>12285.960140982195</v>
      </c>
      <c r="R10" s="73">
        <f t="shared" si="12"/>
        <v>12391.493369719219</v>
      </c>
      <c r="S10" s="377">
        <f t="shared" si="5"/>
        <v>12445.404535316051</v>
      </c>
      <c r="T10" s="73">
        <f t="shared" si="12"/>
        <v>12472.23932569412</v>
      </c>
    </row>
    <row r="11" spans="1:20" x14ac:dyDescent="0.2">
      <c r="A11" s="4">
        <v>2022</v>
      </c>
      <c r="B11" s="238">
        <f t="shared" si="9"/>
        <v>8360.5</v>
      </c>
      <c r="C11" s="238">
        <f t="shared" si="9"/>
        <v>1025</v>
      </c>
      <c r="D11" s="238">
        <f t="shared" si="9"/>
        <v>45.5</v>
      </c>
      <c r="E11" s="238">
        <f t="shared" si="9"/>
        <v>2848.5</v>
      </c>
      <c r="F11" s="238">
        <f t="shared" si="9"/>
        <v>1146</v>
      </c>
      <c r="G11" s="51">
        <f t="shared" si="0"/>
        <v>13425.5</v>
      </c>
      <c r="H11" s="37">
        <f t="shared" si="2"/>
        <v>12234</v>
      </c>
      <c r="I11" s="6">
        <f t="shared" si="3"/>
        <v>12279.5</v>
      </c>
      <c r="J11" s="6"/>
      <c r="K11" s="413"/>
      <c r="L11" s="413"/>
      <c r="M11" s="75" t="s">
        <v>81</v>
      </c>
      <c r="N11" s="73">
        <f>N10*(1+N2)</f>
        <v>11729.001421126197</v>
      </c>
      <c r="O11" s="73">
        <f t="shared" ref="O11:T11" si="13">O10*(1+O2)</f>
        <v>11986.777036591338</v>
      </c>
      <c r="P11" s="73">
        <f t="shared" si="13"/>
        <v>12199.776666576729</v>
      </c>
      <c r="Q11" s="73">
        <f t="shared" si="13"/>
        <v>12291.937695946919</v>
      </c>
      <c r="R11" s="73">
        <f t="shared" si="13"/>
        <v>12403.0513170429</v>
      </c>
      <c r="S11" s="377">
        <f t="shared" si="5"/>
        <v>12447.620150615094</v>
      </c>
      <c r="T11" s="73">
        <f t="shared" si="13"/>
        <v>12474.481005856904</v>
      </c>
    </row>
    <row r="12" spans="1:20" x14ac:dyDescent="0.2">
      <c r="A12" s="4">
        <v>2023</v>
      </c>
      <c r="B12" s="238">
        <f t="shared" si="9"/>
        <v>8485</v>
      </c>
      <c r="C12" s="238">
        <f>(C43+C44)/2</f>
        <v>1055</v>
      </c>
      <c r="D12" s="238">
        <f t="shared" si="9"/>
        <v>47</v>
      </c>
      <c r="E12" s="238">
        <f t="shared" si="9"/>
        <v>2793</v>
      </c>
      <c r="F12" s="238">
        <f t="shared" si="9"/>
        <v>1131.5</v>
      </c>
      <c r="G12" s="51">
        <f t="shared" si="0"/>
        <v>13511.5</v>
      </c>
      <c r="H12" s="37">
        <f t="shared" si="2"/>
        <v>12333</v>
      </c>
      <c r="I12" s="6">
        <f t="shared" si="3"/>
        <v>12380</v>
      </c>
      <c r="J12" s="42"/>
      <c r="K12" s="76"/>
      <c r="L12" s="76"/>
      <c r="M12" s="75" t="s">
        <v>82</v>
      </c>
      <c r="N12" s="73">
        <f>N11*(1+N2)</f>
        <v>11729.668435317704</v>
      </c>
      <c r="O12" s="73">
        <f t="shared" ref="O12:T12" si="14">O11*(1+O2)</f>
        <v>12019.010080597949</v>
      </c>
      <c r="P12" s="73">
        <f t="shared" si="14"/>
        <v>12214.233334267959</v>
      </c>
      <c r="Q12" s="73">
        <f t="shared" si="14"/>
        <v>12297.918159203949</v>
      </c>
      <c r="R12" s="73">
        <f t="shared" si="14"/>
        <v>12414.620044838503</v>
      </c>
      <c r="S12" s="377">
        <f t="shared" si="5"/>
        <v>12449.844663578551</v>
      </c>
      <c r="T12" s="73">
        <f t="shared" si="14"/>
        <v>12476.723088924877</v>
      </c>
    </row>
    <row r="13" spans="1:20" x14ac:dyDescent="0.2">
      <c r="A13" s="4">
        <v>2024</v>
      </c>
      <c r="B13" s="51">
        <f>B76</f>
        <v>8566.6002674063275</v>
      </c>
      <c r="C13" s="51">
        <f t="shared" ref="C13" si="15">C76</f>
        <v>1071.6069871659804</v>
      </c>
      <c r="D13" s="51">
        <f>D76</f>
        <v>47</v>
      </c>
      <c r="E13" s="51">
        <f>E76</f>
        <v>2756.4148805697369</v>
      </c>
      <c r="F13" s="51">
        <f>F76</f>
        <v>1117</v>
      </c>
      <c r="G13" s="51">
        <f t="shared" si="0"/>
        <v>13558.622135142044</v>
      </c>
      <c r="H13" s="37">
        <f>(B13+C13+E13)</f>
        <v>12394.622135142044</v>
      </c>
      <c r="I13" s="6">
        <f t="shared" si="3"/>
        <v>12441.622135142044</v>
      </c>
      <c r="J13" s="42"/>
      <c r="K13" s="76"/>
      <c r="L13" s="76"/>
      <c r="M13" s="75" t="s">
        <v>83</v>
      </c>
      <c r="N13" s="73">
        <f>N12*(1+N2)</f>
        <v>11730.335487441505</v>
      </c>
      <c r="O13" s="73">
        <f t="shared" ref="O13:T13" si="16">O12*(1+O2)</f>
        <v>12051.329800874817</v>
      </c>
      <c r="P13" s="73">
        <f t="shared" si="16"/>
        <v>12228.70713303023</v>
      </c>
      <c r="Q13" s="73">
        <f t="shared" si="16"/>
        <v>12303.901532168275</v>
      </c>
      <c r="R13" s="73">
        <f t="shared" si="16"/>
        <v>12426.199563161323</v>
      </c>
      <c r="S13" s="377">
        <f t="shared" si="5"/>
        <v>12452.078073651561</v>
      </c>
      <c r="T13" s="73">
        <f t="shared" si="16"/>
        <v>12478.965574970454</v>
      </c>
    </row>
    <row r="14" spans="1:20" x14ac:dyDescent="0.2">
      <c r="A14" s="4">
        <v>2025</v>
      </c>
      <c r="B14" s="15">
        <f>B13*B31</f>
        <v>8634.8849400222571</v>
      </c>
      <c r="C14" s="15">
        <f>C13*C31</f>
        <v>1070.55837274188</v>
      </c>
      <c r="D14" s="56">
        <f>D13*D31</f>
        <v>46.119647750507838</v>
      </c>
      <c r="E14" s="15">
        <f>E13*E31</f>
        <v>2718.8145082649953</v>
      </c>
      <c r="F14" s="15">
        <f>F13*F31</f>
        <v>1129.0031247807513</v>
      </c>
      <c r="G14" s="51">
        <f t="shared" si="0"/>
        <v>13599.38059356039</v>
      </c>
      <c r="H14" s="37">
        <f>(B14+C14+E14)</f>
        <v>12424.257821029132</v>
      </c>
      <c r="I14" s="6">
        <f t="shared" si="3"/>
        <v>12470.377468779639</v>
      </c>
      <c r="J14" s="42"/>
      <c r="K14" s="76"/>
      <c r="L14" s="76"/>
      <c r="M14" s="77" t="s">
        <v>84</v>
      </c>
      <c r="N14" s="78">
        <f>N13*(1+N2)</f>
        <v>11731.002577499758</v>
      </c>
      <c r="O14" s="78">
        <f t="shared" ref="O14:T14" si="17">O13*(1+O2)</f>
        <v>12083.736430498775</v>
      </c>
      <c r="P14" s="78">
        <f t="shared" si="17"/>
        <v>12243.198083163763</v>
      </c>
      <c r="Q14" s="78">
        <f t="shared" si="17"/>
        <v>12309.887816255568</v>
      </c>
      <c r="R14" s="78">
        <f t="shared" si="17"/>
        <v>12437.789882076033</v>
      </c>
      <c r="S14" s="377">
        <f t="shared" si="5"/>
        <v>12454.320380293106</v>
      </c>
      <c r="T14" s="78">
        <f t="shared" si="17"/>
        <v>12481.208464066067</v>
      </c>
    </row>
    <row r="15" spans="1:20" x14ac:dyDescent="0.2">
      <c r="A15" s="14" t="s">
        <v>217</v>
      </c>
      <c r="B15" s="6">
        <v>8564</v>
      </c>
      <c r="C15" s="6">
        <v>1071</v>
      </c>
      <c r="D15" s="6">
        <v>47</v>
      </c>
      <c r="E15" s="6">
        <v>2759</v>
      </c>
      <c r="F15" s="6">
        <v>1117</v>
      </c>
      <c r="G15" s="51">
        <f t="shared" si="0"/>
        <v>13558</v>
      </c>
      <c r="H15" s="37">
        <f>(B15+C15+E15)</f>
        <v>12394</v>
      </c>
      <c r="I15" s="6">
        <f t="shared" si="3"/>
        <v>12441</v>
      </c>
      <c r="M15" s="75"/>
      <c r="N15" s="73"/>
      <c r="O15" s="73"/>
    </row>
    <row r="16" spans="1:20" x14ac:dyDescent="0.2">
      <c r="A16" s="14" t="s">
        <v>37</v>
      </c>
      <c r="B16" s="5"/>
      <c r="C16" s="5"/>
      <c r="D16" s="5"/>
      <c r="E16" s="5"/>
      <c r="F16" s="17"/>
      <c r="M16" s="75" t="s">
        <v>184</v>
      </c>
      <c r="N16" s="73">
        <f>AVERAGE(N3:N14)</f>
        <v>11727.334277555334</v>
      </c>
      <c r="O16" s="73">
        <f t="shared" ref="O16:T16" si="18">AVERAGE(O4:O14)</f>
        <v>11922.999956463191</v>
      </c>
      <c r="P16" s="73">
        <f t="shared" si="18"/>
        <v>12170.999995066268</v>
      </c>
      <c r="Q16" s="73">
        <f t="shared" si="18"/>
        <v>12280.000020222271</v>
      </c>
      <c r="R16" s="73">
        <f t="shared" si="18"/>
        <v>12379.999994834165</v>
      </c>
      <c r="S16" s="73">
        <f>SUM(B76:E76)</f>
        <v>12441.622135142044</v>
      </c>
      <c r="T16" s="73">
        <f t="shared" si="18"/>
        <v>12470.000062166202</v>
      </c>
    </row>
    <row r="17" spans="1:20" x14ac:dyDescent="0.2">
      <c r="A17" s="14"/>
      <c r="B17" s="5"/>
      <c r="C17" s="5"/>
      <c r="D17" s="5"/>
      <c r="E17" s="5"/>
      <c r="F17" s="17"/>
      <c r="N17" s="6">
        <f>I8</f>
        <v>11726.5</v>
      </c>
      <c r="O17" s="6">
        <f>I9</f>
        <v>11923</v>
      </c>
      <c r="P17" s="6">
        <f>I10</f>
        <v>12170.5</v>
      </c>
      <c r="Q17" s="6">
        <f>I11</f>
        <v>12279.5</v>
      </c>
      <c r="R17" s="6">
        <f>I12</f>
        <v>12380</v>
      </c>
      <c r="S17" s="6">
        <f>I13</f>
        <v>12441.622135142044</v>
      </c>
      <c r="T17" s="6">
        <f>I14</f>
        <v>12470.377468779639</v>
      </c>
    </row>
    <row r="18" spans="1:20" x14ac:dyDescent="0.2">
      <c r="A18" s="4">
        <v>2014</v>
      </c>
      <c r="B18" s="17"/>
      <c r="C18" s="17"/>
      <c r="D18" s="17"/>
      <c r="E18" s="17"/>
      <c r="F18" s="17"/>
      <c r="N18" s="6">
        <f>N16-N17</f>
        <v>0.83427755533375603</v>
      </c>
      <c r="O18" s="6">
        <f t="shared" ref="O18:T18" si="19">O16-O17</f>
        <v>-4.3536809243960306E-5</v>
      </c>
      <c r="P18" s="6">
        <f t="shared" si="19"/>
        <v>0.49999506626772927</v>
      </c>
      <c r="Q18" s="6">
        <f t="shared" si="19"/>
        <v>0.50002022227090492</v>
      </c>
      <c r="R18" s="6">
        <f t="shared" si="19"/>
        <v>-5.165835318621248E-6</v>
      </c>
      <c r="S18" s="6">
        <f t="shared" si="19"/>
        <v>0</v>
      </c>
      <c r="T18" s="6">
        <f t="shared" si="19"/>
        <v>-0.37740661343741522</v>
      </c>
    </row>
    <row r="19" spans="1:20" x14ac:dyDescent="0.2">
      <c r="A19" s="4">
        <f t="shared" ref="A19:A26" si="20">+A4</f>
        <v>2015</v>
      </c>
      <c r="B19" s="17">
        <f t="shared" ref="B19:B27" si="21">B4/B3</f>
        <v>1.0110278794705716</v>
      </c>
      <c r="C19" s="17">
        <f t="shared" ref="C19:F27" si="22">C4/C3</f>
        <v>0.99851761423090346</v>
      </c>
      <c r="D19" s="17">
        <f t="shared" si="22"/>
        <v>0.97120921305182339</v>
      </c>
      <c r="E19" s="17">
        <f t="shared" si="22"/>
        <v>0.97585394581861007</v>
      </c>
      <c r="F19" s="17">
        <f t="shared" si="22"/>
        <v>1.0040088358013579</v>
      </c>
      <c r="H19" s="1"/>
    </row>
    <row r="20" spans="1:20" x14ac:dyDescent="0.2">
      <c r="A20" s="4">
        <f t="shared" si="20"/>
        <v>2016</v>
      </c>
      <c r="B20" s="17">
        <f t="shared" si="21"/>
        <v>1.0085901464001605</v>
      </c>
      <c r="C20" s="17">
        <f t="shared" si="22"/>
        <v>0.99676884114924458</v>
      </c>
      <c r="D20" s="17">
        <f t="shared" si="22"/>
        <v>0.99802371541501989</v>
      </c>
      <c r="E20" s="17">
        <f t="shared" si="22"/>
        <v>0.98866468998451895</v>
      </c>
      <c r="F20" s="17">
        <f t="shared" si="22"/>
        <v>1.0426988265971318</v>
      </c>
    </row>
    <row r="21" spans="1:20" x14ac:dyDescent="0.2">
      <c r="A21" s="4">
        <f t="shared" si="20"/>
        <v>2017</v>
      </c>
      <c r="B21" s="17">
        <f t="shared" si="21"/>
        <v>1.0069814968240818</v>
      </c>
      <c r="C21" s="17">
        <f t="shared" si="22"/>
        <v>1.0105134045908533</v>
      </c>
      <c r="D21" s="17">
        <f t="shared" si="22"/>
        <v>0.90693069306930685</v>
      </c>
      <c r="E21" s="17">
        <f t="shared" si="22"/>
        <v>0.98986172669126049</v>
      </c>
      <c r="F21" s="17">
        <f t="shared" si="22"/>
        <v>1.0034385745545484</v>
      </c>
      <c r="H21" s="17"/>
      <c r="O21" s="378"/>
    </row>
    <row r="22" spans="1:20" x14ac:dyDescent="0.2">
      <c r="A22" s="4">
        <f t="shared" si="20"/>
        <v>2018</v>
      </c>
      <c r="B22" s="17">
        <f t="shared" si="21"/>
        <v>1.005704443981263</v>
      </c>
      <c r="C22" s="17">
        <f t="shared" si="22"/>
        <v>0.99973989942777874</v>
      </c>
      <c r="D22" s="17">
        <f t="shared" si="22"/>
        <v>1.0414847161572054</v>
      </c>
      <c r="E22" s="17">
        <f t="shared" si="22"/>
        <v>0.98981151299032089</v>
      </c>
      <c r="F22" s="17">
        <f t="shared" si="22"/>
        <v>0.99727414330218056</v>
      </c>
      <c r="K22" s="252"/>
      <c r="N22" s="44"/>
      <c r="O22" s="46"/>
    </row>
    <row r="23" spans="1:20" x14ac:dyDescent="0.2">
      <c r="A23" s="4">
        <f t="shared" si="20"/>
        <v>2019</v>
      </c>
      <c r="B23" s="17">
        <f t="shared" si="21"/>
        <v>1.0075591478778756</v>
      </c>
      <c r="C23" s="17">
        <f t="shared" si="22"/>
        <v>0.98967999306218024</v>
      </c>
      <c r="D23" s="17">
        <f t="shared" si="22"/>
        <v>0.99371069182389937</v>
      </c>
      <c r="E23" s="17">
        <f t="shared" si="22"/>
        <v>0.98767505485277796</v>
      </c>
      <c r="F23" s="17">
        <f t="shared" si="22"/>
        <v>1.0069504099960953</v>
      </c>
      <c r="N23" s="44"/>
      <c r="O23" s="46"/>
      <c r="T23" s="379"/>
    </row>
    <row r="24" spans="1:20" x14ac:dyDescent="0.2">
      <c r="A24" s="4">
        <f t="shared" si="20"/>
        <v>2020</v>
      </c>
      <c r="B24" s="17">
        <f t="shared" si="21"/>
        <v>1.0294900941864242</v>
      </c>
      <c r="C24" s="17">
        <f t="shared" si="22"/>
        <v>1.0184016824395374</v>
      </c>
      <c r="D24" s="17">
        <f t="shared" si="22"/>
        <v>1.0253164556962024</v>
      </c>
      <c r="E24" s="17">
        <f t="shared" si="22"/>
        <v>0.98387362185288796</v>
      </c>
      <c r="F24" s="17">
        <f t="shared" si="22"/>
        <v>1.0283852954862727</v>
      </c>
      <c r="H24" s="17"/>
      <c r="K24" s="44"/>
      <c r="N24" s="44"/>
      <c r="O24" s="46"/>
    </row>
    <row r="25" spans="1:20" x14ac:dyDescent="0.2">
      <c r="A25" s="4">
        <f t="shared" si="20"/>
        <v>2021</v>
      </c>
      <c r="B25" s="17">
        <f t="shared" si="21"/>
        <v>1.0353334595242603</v>
      </c>
      <c r="C25" s="17">
        <f t="shared" si="22"/>
        <v>1.0309757356737224</v>
      </c>
      <c r="D25" s="17">
        <f t="shared" si="22"/>
        <v>1.0493827160493827</v>
      </c>
      <c r="E25" s="17">
        <f t="shared" si="22"/>
        <v>0.97842448569994978</v>
      </c>
      <c r="F25" s="17">
        <f t="shared" si="22"/>
        <v>1.0325791855203621</v>
      </c>
      <c r="I25" s="251"/>
      <c r="N25" s="44"/>
      <c r="O25" s="46"/>
    </row>
    <row r="26" spans="1:20" x14ac:dyDescent="0.2">
      <c r="A26" s="4">
        <f t="shared" si="20"/>
        <v>2022</v>
      </c>
      <c r="B26" s="17">
        <f t="shared" si="21"/>
        <v>1.0190139557559876</v>
      </c>
      <c r="C26" s="17">
        <f t="shared" si="22"/>
        <v>1.0265398097145719</v>
      </c>
      <c r="D26" s="17">
        <f t="shared" si="22"/>
        <v>1.0705882352941176</v>
      </c>
      <c r="E26" s="17">
        <f t="shared" si="22"/>
        <v>0.97384615384615381</v>
      </c>
      <c r="F26" s="17">
        <f t="shared" si="22"/>
        <v>1.0043821209465382</v>
      </c>
      <c r="N26" s="44"/>
      <c r="O26" s="46"/>
    </row>
    <row r="27" spans="1:20" x14ac:dyDescent="0.2">
      <c r="A27" s="4">
        <v>2023</v>
      </c>
      <c r="B27" s="17">
        <f t="shared" si="21"/>
        <v>1.014891453860415</v>
      </c>
      <c r="C27" s="17">
        <f t="shared" si="22"/>
        <v>1.0292682926829269</v>
      </c>
      <c r="D27" s="17">
        <f t="shared" si="22"/>
        <v>1.0329670329670331</v>
      </c>
      <c r="E27" s="17">
        <f>E12/E11</f>
        <v>0.98051606108478151</v>
      </c>
      <c r="F27" s="17">
        <f t="shared" si="22"/>
        <v>0.98734729493891793</v>
      </c>
      <c r="N27" s="44"/>
      <c r="O27" s="46"/>
    </row>
    <row r="28" spans="1:20" x14ac:dyDescent="0.2">
      <c r="A28" s="4"/>
      <c r="B28" s="17"/>
      <c r="C28" s="17"/>
      <c r="D28" s="17"/>
      <c r="E28" s="17"/>
      <c r="F28" s="17"/>
      <c r="N28" s="44"/>
      <c r="O28" s="46"/>
    </row>
    <row r="29" spans="1:20" x14ac:dyDescent="0.2">
      <c r="A29" s="4"/>
      <c r="B29" s="17"/>
      <c r="C29" s="17"/>
      <c r="D29" s="17"/>
      <c r="E29" s="17"/>
      <c r="F29" s="17"/>
      <c r="N29" s="44"/>
      <c r="O29" s="46"/>
    </row>
    <row r="30" spans="1:20" x14ac:dyDescent="0.2">
      <c r="N30" s="44"/>
      <c r="O30" s="46"/>
    </row>
    <row r="31" spans="1:20" x14ac:dyDescent="0.2">
      <c r="A31" t="s">
        <v>51</v>
      </c>
      <c r="B31" s="57">
        <f>B35</f>
        <v>1.0079710352397011</v>
      </c>
      <c r="C31" s="57">
        <f t="shared" ref="C31:F31" si="23">C35</f>
        <v>0.99902145615262028</v>
      </c>
      <c r="D31" s="57">
        <f>D35</f>
        <v>0.98126910107463483</v>
      </c>
      <c r="E31" s="57">
        <f t="shared" si="23"/>
        <v>0.98635895758298564</v>
      </c>
      <c r="F31" s="57">
        <f t="shared" si="23"/>
        <v>1.0107458592486582</v>
      </c>
      <c r="G31" s="44"/>
      <c r="N31" s="44"/>
      <c r="O31" s="46"/>
    </row>
    <row r="32" spans="1:20" x14ac:dyDescent="0.2">
      <c r="B32" s="18"/>
      <c r="C32" s="18"/>
      <c r="D32" s="18"/>
      <c r="E32" s="18"/>
      <c r="F32" s="18"/>
      <c r="N32" s="44"/>
      <c r="O32" s="46"/>
    </row>
    <row r="33" spans="1:15" x14ac:dyDescent="0.2">
      <c r="A33" t="s">
        <v>11</v>
      </c>
      <c r="B33" s="18">
        <f>IF(B12="",0,GEOMEAN(B19:B27))</f>
        <v>1.015350117767039</v>
      </c>
      <c r="C33" s="18">
        <f>IF(C12="",0,GEOMEAN(C19:C27))</f>
        <v>1.011048013344702</v>
      </c>
      <c r="D33" s="18">
        <f>IF(D12="",0,GEOMEAN(D19:D27))</f>
        <v>1.0088505151007534</v>
      </c>
      <c r="E33" s="18">
        <f>IF(E12="",0,GEOMEAN(E19:E27))</f>
        <v>0.98315216515232307</v>
      </c>
      <c r="F33" s="18">
        <f>IF(F12="",0,GEOMEAN(F19:F27))</f>
        <v>1.0117497605659946</v>
      </c>
      <c r="N33" s="44"/>
      <c r="O33" s="46"/>
    </row>
    <row r="34" spans="1:15" x14ac:dyDescent="0.2">
      <c r="A34" s="4"/>
      <c r="B34" s="18"/>
      <c r="C34" s="18"/>
      <c r="D34" s="18"/>
      <c r="E34" s="18"/>
      <c r="F34" s="18"/>
    </row>
    <row r="35" spans="1:15" x14ac:dyDescent="0.2">
      <c r="A35" t="s">
        <v>11</v>
      </c>
      <c r="B35" s="18">
        <f>IF(B12="",0,GEOMEAN(B19:B23))</f>
        <v>1.0079710352397011</v>
      </c>
      <c r="C35" s="18">
        <f>IF(C12="",0,GEOMEAN(C19:C23))</f>
        <v>0.99902145615262028</v>
      </c>
      <c r="D35" s="18">
        <f>IF(D12="",0,GEOMEAN(D19:D23))</f>
        <v>0.98126910107463483</v>
      </c>
      <c r="E35" s="18">
        <f>IF(E12="",0,GEOMEAN(E19:E23))</f>
        <v>0.98635895758298564</v>
      </c>
      <c r="F35" s="18">
        <f>IF(F12="",0,GEOMEAN(F19:F23))</f>
        <v>1.0107458592486582</v>
      </c>
    </row>
    <row r="36" spans="1:15" x14ac:dyDescent="0.2">
      <c r="A36" s="3" t="s">
        <v>208</v>
      </c>
      <c r="B36"/>
      <c r="C36"/>
      <c r="D36"/>
      <c r="E36"/>
      <c r="F36"/>
    </row>
    <row r="37" spans="1:15" x14ac:dyDescent="0.2">
      <c r="A37" s="3"/>
      <c r="B37"/>
      <c r="C37"/>
      <c r="D37"/>
      <c r="E37"/>
      <c r="F37"/>
    </row>
    <row r="38" spans="1:15" ht="25.5" x14ac:dyDescent="0.2">
      <c r="A38" s="3" t="s">
        <v>166</v>
      </c>
      <c r="B38" s="9" t="str">
        <f>B2</f>
        <v>R1(i) Residential</v>
      </c>
      <c r="C38" s="9" t="str">
        <f t="shared" ref="C38:F38" si="24">C2</f>
        <v>R1(ii) GS &lt; 50 kW</v>
      </c>
      <c r="D38" s="9" t="str">
        <f t="shared" si="24"/>
        <v>R2 GS&gt;50 kW</v>
      </c>
      <c r="E38" s="9" t="str">
        <f t="shared" si="24"/>
        <v>Seasonal</v>
      </c>
      <c r="F38" s="9" t="str">
        <f t="shared" si="24"/>
        <v>Street Lights</v>
      </c>
    </row>
    <row r="39" spans="1:15" x14ac:dyDescent="0.2">
      <c r="A39" s="4">
        <f>A7</f>
        <v>2018</v>
      </c>
      <c r="B39" s="40">
        <v>7663</v>
      </c>
      <c r="C39" s="40">
        <v>961</v>
      </c>
      <c r="D39" s="40">
        <v>39</v>
      </c>
      <c r="E39" s="40">
        <v>3058</v>
      </c>
      <c r="F39" s="40">
        <v>1075</v>
      </c>
      <c r="H39" s="37"/>
      <c r="L39" s="253"/>
    </row>
    <row r="40" spans="1:15" x14ac:dyDescent="0.2">
      <c r="A40" s="4">
        <v>2019</v>
      </c>
      <c r="B40" s="40">
        <v>7732</v>
      </c>
      <c r="C40" s="40">
        <v>941</v>
      </c>
      <c r="D40" s="40">
        <v>40</v>
      </c>
      <c r="E40" s="40">
        <v>3019</v>
      </c>
      <c r="F40" s="40">
        <v>1074</v>
      </c>
      <c r="H40" s="37"/>
    </row>
    <row r="41" spans="1:15" x14ac:dyDescent="0.2">
      <c r="A41" s="4">
        <v>2020</v>
      </c>
      <c r="B41" s="40">
        <v>8117</v>
      </c>
      <c r="C41" s="40">
        <v>996</v>
      </c>
      <c r="D41" s="40">
        <v>41</v>
      </c>
      <c r="E41" s="40">
        <v>2960</v>
      </c>
      <c r="F41" s="40">
        <v>1136</v>
      </c>
      <c r="H41" s="37"/>
    </row>
    <row r="42" spans="1:15" x14ac:dyDescent="0.2">
      <c r="A42" s="4">
        <v>2021</v>
      </c>
      <c r="B42" s="40">
        <v>8292</v>
      </c>
      <c r="C42" s="40">
        <v>1001</v>
      </c>
      <c r="D42" s="40">
        <v>44</v>
      </c>
      <c r="E42" s="40">
        <v>2890</v>
      </c>
      <c r="F42" s="40">
        <v>1146</v>
      </c>
      <c r="H42" s="37"/>
    </row>
    <row r="43" spans="1:15" x14ac:dyDescent="0.2">
      <c r="A43" s="4">
        <v>2022</v>
      </c>
      <c r="B43" s="40">
        <v>8429</v>
      </c>
      <c r="C43" s="40">
        <v>1049</v>
      </c>
      <c r="D43" s="40">
        <v>47</v>
      </c>
      <c r="E43" s="40">
        <v>2807</v>
      </c>
      <c r="F43" s="40">
        <v>1146</v>
      </c>
      <c r="H43" s="37"/>
    </row>
    <row r="44" spans="1:15" x14ac:dyDescent="0.2">
      <c r="A44" s="4">
        <v>2023</v>
      </c>
      <c r="B44" s="250">
        <v>8541</v>
      </c>
      <c r="C44" s="250">
        <v>1061</v>
      </c>
      <c r="D44" s="250">
        <v>47</v>
      </c>
      <c r="E44" s="250">
        <v>2779</v>
      </c>
      <c r="F44" s="250">
        <v>1117</v>
      </c>
    </row>
    <row r="45" spans="1:15" x14ac:dyDescent="0.2">
      <c r="A45" s="3"/>
      <c r="B45"/>
      <c r="C45"/>
      <c r="D45"/>
      <c r="E45"/>
      <c r="F45"/>
    </row>
    <row r="46" spans="1:15" x14ac:dyDescent="0.2">
      <c r="A46" s="3">
        <v>45261</v>
      </c>
      <c r="B46" s="6">
        <f>B44</f>
        <v>8541</v>
      </c>
      <c r="C46" s="6">
        <f t="shared" ref="C46:F46" si="25">C44</f>
        <v>1061</v>
      </c>
      <c r="D46" s="6">
        <f t="shared" si="25"/>
        <v>47</v>
      </c>
      <c r="E46" s="6">
        <f t="shared" si="25"/>
        <v>2779</v>
      </c>
      <c r="F46" s="6">
        <f t="shared" si="25"/>
        <v>1117</v>
      </c>
    </row>
    <row r="47" spans="1:15" x14ac:dyDescent="0.2">
      <c r="A47" s="381" t="s">
        <v>74</v>
      </c>
      <c r="B47" s="382">
        <v>8544</v>
      </c>
      <c r="C47" s="382">
        <v>1062</v>
      </c>
      <c r="D47" s="382">
        <v>47</v>
      </c>
      <c r="E47" s="382">
        <v>2776</v>
      </c>
      <c r="F47" s="382">
        <v>1117</v>
      </c>
    </row>
    <row r="48" spans="1:15" x14ac:dyDescent="0.2">
      <c r="A48" s="381" t="s">
        <v>75</v>
      </c>
      <c r="B48" s="382">
        <v>8551</v>
      </c>
      <c r="C48" s="382">
        <v>1063</v>
      </c>
      <c r="D48" s="382">
        <v>47</v>
      </c>
      <c r="E48" s="382">
        <v>2773</v>
      </c>
      <c r="F48" s="382">
        <v>1117</v>
      </c>
    </row>
    <row r="49" spans="1:6" x14ac:dyDescent="0.2">
      <c r="A49" s="381" t="s">
        <v>76</v>
      </c>
      <c r="B49" s="382">
        <v>8549</v>
      </c>
      <c r="C49" s="382">
        <v>1069</v>
      </c>
      <c r="D49" s="382">
        <v>47</v>
      </c>
      <c r="E49" s="382">
        <v>2774</v>
      </c>
      <c r="F49" s="382">
        <v>1117</v>
      </c>
    </row>
    <row r="50" spans="1:6" x14ac:dyDescent="0.2">
      <c r="A50" s="381" t="s">
        <v>77</v>
      </c>
      <c r="B50" s="382">
        <v>8557</v>
      </c>
      <c r="C50" s="382">
        <v>1068</v>
      </c>
      <c r="D50" s="382">
        <v>47</v>
      </c>
      <c r="E50" s="382">
        <v>2765</v>
      </c>
      <c r="F50" s="382">
        <v>1117</v>
      </c>
    </row>
    <row r="51" spans="1:6" x14ac:dyDescent="0.2">
      <c r="A51" s="381" t="s">
        <v>54</v>
      </c>
      <c r="B51" s="382">
        <v>8559</v>
      </c>
      <c r="C51" s="382">
        <v>1065</v>
      </c>
      <c r="D51" s="382">
        <v>47</v>
      </c>
      <c r="E51" s="382">
        <v>2756</v>
      </c>
      <c r="F51" s="382">
        <v>1117</v>
      </c>
    </row>
    <row r="52" spans="1:6" x14ac:dyDescent="0.2">
      <c r="A52" s="381" t="s">
        <v>78</v>
      </c>
      <c r="B52" s="382">
        <v>8565</v>
      </c>
      <c r="C52" s="382">
        <v>1071</v>
      </c>
      <c r="D52" s="382">
        <v>47</v>
      </c>
      <c r="E52" s="382">
        <v>2758</v>
      </c>
      <c r="F52" s="382">
        <v>1117</v>
      </c>
    </row>
    <row r="53" spans="1:6" x14ac:dyDescent="0.2">
      <c r="A53" s="3"/>
      <c r="B53" s="1"/>
      <c r="C53" s="1"/>
      <c r="D53" s="1"/>
      <c r="E53" s="1"/>
      <c r="F53" s="1"/>
    </row>
    <row r="54" spans="1:6" x14ac:dyDescent="0.2">
      <c r="A54" s="381" t="s">
        <v>74</v>
      </c>
      <c r="B54" s="17">
        <f>B47/B46</f>
        <v>1.0003512469265894</v>
      </c>
      <c r="C54" s="17">
        <f t="shared" ref="C54:F54" si="26">C47/C46</f>
        <v>1.0009425070688029</v>
      </c>
      <c r="D54" s="17">
        <f t="shared" si="26"/>
        <v>1</v>
      </c>
      <c r="E54" s="17">
        <f t="shared" si="26"/>
        <v>0.998920474991004</v>
      </c>
      <c r="F54" s="17">
        <f t="shared" si="26"/>
        <v>1</v>
      </c>
    </row>
    <row r="55" spans="1:6" x14ac:dyDescent="0.2">
      <c r="A55" s="381" t="s">
        <v>75</v>
      </c>
      <c r="B55" s="17">
        <f t="shared" ref="B55:F59" si="27">B48/B47</f>
        <v>1.0008192883895131</v>
      </c>
      <c r="C55" s="17">
        <f t="shared" si="27"/>
        <v>1.0009416195856873</v>
      </c>
      <c r="D55" s="17">
        <f t="shared" si="27"/>
        <v>1</v>
      </c>
      <c r="E55" s="17">
        <f t="shared" si="27"/>
        <v>0.99891930835734866</v>
      </c>
      <c r="F55" s="17">
        <f t="shared" si="27"/>
        <v>1</v>
      </c>
    </row>
    <row r="56" spans="1:6" x14ac:dyDescent="0.2">
      <c r="A56" s="381" t="s">
        <v>76</v>
      </c>
      <c r="B56" s="17">
        <f t="shared" si="27"/>
        <v>0.99976610922699094</v>
      </c>
      <c r="C56" s="17">
        <f t="shared" si="27"/>
        <v>1.0056444026340545</v>
      </c>
      <c r="D56" s="17">
        <f t="shared" si="27"/>
        <v>1</v>
      </c>
      <c r="E56" s="17">
        <f t="shared" si="27"/>
        <v>1.0003606202668589</v>
      </c>
      <c r="F56" s="17">
        <f t="shared" si="27"/>
        <v>1</v>
      </c>
    </row>
    <row r="57" spans="1:6" x14ac:dyDescent="0.2">
      <c r="A57" s="381" t="s">
        <v>77</v>
      </c>
      <c r="B57" s="17">
        <f t="shared" si="27"/>
        <v>1.0009357819628026</v>
      </c>
      <c r="C57" s="17">
        <f t="shared" si="27"/>
        <v>0.99906454630495789</v>
      </c>
      <c r="D57" s="17">
        <f t="shared" si="27"/>
        <v>1</v>
      </c>
      <c r="E57" s="17">
        <f t="shared" si="27"/>
        <v>0.99675558759913485</v>
      </c>
      <c r="F57" s="17">
        <f t="shared" si="27"/>
        <v>1</v>
      </c>
    </row>
    <row r="58" spans="1:6" x14ac:dyDescent="0.2">
      <c r="A58" s="381" t="s">
        <v>54</v>
      </c>
      <c r="B58" s="17">
        <f t="shared" si="27"/>
        <v>1.0002337267734018</v>
      </c>
      <c r="C58" s="17">
        <f t="shared" si="27"/>
        <v>0.9971910112359551</v>
      </c>
      <c r="D58" s="17">
        <f t="shared" si="27"/>
        <v>1</v>
      </c>
      <c r="E58" s="17">
        <f t="shared" si="27"/>
        <v>0.99674502712477397</v>
      </c>
      <c r="F58" s="17">
        <f t="shared" si="27"/>
        <v>1</v>
      </c>
    </row>
    <row r="59" spans="1:6" x14ac:dyDescent="0.2">
      <c r="A59" s="381" t="s">
        <v>78</v>
      </c>
      <c r="B59" s="17">
        <f t="shared" si="27"/>
        <v>1.0007010164738872</v>
      </c>
      <c r="C59" s="17">
        <f t="shared" si="27"/>
        <v>1.0056338028169014</v>
      </c>
      <c r="D59" s="17">
        <f t="shared" si="27"/>
        <v>1</v>
      </c>
      <c r="E59" s="17">
        <f t="shared" si="27"/>
        <v>1.0007256894049348</v>
      </c>
      <c r="F59" s="17">
        <f t="shared" si="27"/>
        <v>1</v>
      </c>
    </row>
    <row r="60" spans="1:6" x14ac:dyDescent="0.2">
      <c r="A60" s="3"/>
      <c r="B60" s="1"/>
      <c r="C60" s="1"/>
      <c r="D60" s="1"/>
      <c r="E60" s="1"/>
      <c r="F60" s="1"/>
    </row>
    <row r="61" spans="1:6" x14ac:dyDescent="0.2">
      <c r="A61" s="3" t="s">
        <v>218</v>
      </c>
      <c r="B61" s="17">
        <f>GEOMEAN(B54:B59)</f>
        <v>1.0004677818444978</v>
      </c>
      <c r="C61" s="17">
        <f t="shared" ref="C61:F61" si="28">GEOMEAN(C54:C59)</f>
        <v>1.0015647115245625</v>
      </c>
      <c r="D61" s="17">
        <f t="shared" si="28"/>
        <v>1</v>
      </c>
      <c r="E61" s="17">
        <f t="shared" si="28"/>
        <v>0.99873657023539852</v>
      </c>
      <c r="F61" s="17">
        <f t="shared" si="28"/>
        <v>1</v>
      </c>
    </row>
    <row r="62" spans="1:6" x14ac:dyDescent="0.2">
      <c r="B62"/>
      <c r="C62"/>
      <c r="D62"/>
      <c r="E62"/>
      <c r="F62"/>
    </row>
    <row r="63" spans="1:6" x14ac:dyDescent="0.2">
      <c r="A63" s="381" t="s">
        <v>74</v>
      </c>
      <c r="B63" s="383">
        <f>B47</f>
        <v>8544</v>
      </c>
      <c r="C63" s="383">
        <f t="shared" ref="C63:F63" si="29">C47</f>
        <v>1062</v>
      </c>
      <c r="D63" s="383">
        <f t="shared" si="29"/>
        <v>47</v>
      </c>
      <c r="E63" s="383">
        <f t="shared" si="29"/>
        <v>2776</v>
      </c>
      <c r="F63" s="383">
        <f t="shared" si="29"/>
        <v>1117</v>
      </c>
    </row>
    <row r="64" spans="1:6" x14ac:dyDescent="0.2">
      <c r="A64" s="381" t="s">
        <v>75</v>
      </c>
      <c r="B64" s="383">
        <f t="shared" ref="B64:F68" si="30">B48</f>
        <v>8551</v>
      </c>
      <c r="C64" s="383">
        <f t="shared" si="30"/>
        <v>1063</v>
      </c>
      <c r="D64" s="383">
        <f t="shared" si="30"/>
        <v>47</v>
      </c>
      <c r="E64" s="383">
        <f t="shared" si="30"/>
        <v>2773</v>
      </c>
      <c r="F64" s="383">
        <f t="shared" si="30"/>
        <v>1117</v>
      </c>
    </row>
    <row r="65" spans="1:6" x14ac:dyDescent="0.2">
      <c r="A65" s="381" t="s">
        <v>76</v>
      </c>
      <c r="B65" s="383">
        <f t="shared" si="30"/>
        <v>8549</v>
      </c>
      <c r="C65" s="383">
        <f t="shared" si="30"/>
        <v>1069</v>
      </c>
      <c r="D65" s="383">
        <f t="shared" si="30"/>
        <v>47</v>
      </c>
      <c r="E65" s="383">
        <f t="shared" si="30"/>
        <v>2774</v>
      </c>
      <c r="F65" s="383">
        <f t="shared" si="30"/>
        <v>1117</v>
      </c>
    </row>
    <row r="66" spans="1:6" x14ac:dyDescent="0.2">
      <c r="A66" s="381" t="s">
        <v>77</v>
      </c>
      <c r="B66" s="383">
        <f t="shared" si="30"/>
        <v>8557</v>
      </c>
      <c r="C66" s="383">
        <f t="shared" si="30"/>
        <v>1068</v>
      </c>
      <c r="D66" s="383">
        <f t="shared" si="30"/>
        <v>47</v>
      </c>
      <c r="E66" s="383">
        <f t="shared" si="30"/>
        <v>2765</v>
      </c>
      <c r="F66" s="383">
        <f t="shared" si="30"/>
        <v>1117</v>
      </c>
    </row>
    <row r="67" spans="1:6" x14ac:dyDescent="0.2">
      <c r="A67" s="381" t="s">
        <v>54</v>
      </c>
      <c r="B67" s="383">
        <f t="shared" si="30"/>
        <v>8559</v>
      </c>
      <c r="C67" s="383">
        <f t="shared" si="30"/>
        <v>1065</v>
      </c>
      <c r="D67" s="383">
        <f t="shared" si="30"/>
        <v>47</v>
      </c>
      <c r="E67" s="383">
        <f t="shared" si="30"/>
        <v>2756</v>
      </c>
      <c r="F67" s="383">
        <f t="shared" si="30"/>
        <v>1117</v>
      </c>
    </row>
    <row r="68" spans="1:6" x14ac:dyDescent="0.2">
      <c r="A68" s="381" t="s">
        <v>78</v>
      </c>
      <c r="B68" s="383">
        <f t="shared" si="30"/>
        <v>8565</v>
      </c>
      <c r="C68" s="383">
        <f t="shared" si="30"/>
        <v>1071</v>
      </c>
      <c r="D68" s="383">
        <f t="shared" si="30"/>
        <v>47</v>
      </c>
      <c r="E68" s="383">
        <f t="shared" si="30"/>
        <v>2758</v>
      </c>
      <c r="F68" s="383">
        <f t="shared" si="30"/>
        <v>1117</v>
      </c>
    </row>
    <row r="69" spans="1:6" x14ac:dyDescent="0.2">
      <c r="A69" s="381" t="s">
        <v>79</v>
      </c>
      <c r="B69" s="47">
        <f>B68*B$61</f>
        <v>8569.0065514981234</v>
      </c>
      <c r="C69" s="47">
        <f>C68*C$61</f>
        <v>1072.6758060428065</v>
      </c>
      <c r="D69" s="47">
        <f>D68*D$61</f>
        <v>47</v>
      </c>
      <c r="E69" s="47">
        <f>E68*E$61</f>
        <v>2754.515460709229</v>
      </c>
      <c r="F69" s="47">
        <f>F68*F$61</f>
        <v>1117</v>
      </c>
    </row>
    <row r="70" spans="1:6" x14ac:dyDescent="0.2">
      <c r="A70" s="381" t="s">
        <v>80</v>
      </c>
      <c r="B70" s="47">
        <f t="shared" ref="B70:B74" si="31">B69*B$61</f>
        <v>8573.0149771882971</v>
      </c>
      <c r="C70" s="47">
        <f t="shared" ref="C70:C74" si="32">C69*C$61</f>
        <v>1074.3542342386411</v>
      </c>
      <c r="D70" s="47">
        <f t="shared" ref="D70:D74" si="33">D69*D$61</f>
        <v>47</v>
      </c>
      <c r="E70" s="47">
        <f t="shared" ref="E70:E74" si="34">E69*E$61</f>
        <v>2751.0353238891139</v>
      </c>
      <c r="F70" s="47">
        <f t="shared" ref="F70:F74" si="35">F69*F$61</f>
        <v>1117</v>
      </c>
    </row>
    <row r="71" spans="1:6" x14ac:dyDescent="0.2">
      <c r="A71" s="381" t="s">
        <v>81</v>
      </c>
      <c r="B71" s="47">
        <f t="shared" si="31"/>
        <v>8577.0252779472339</v>
      </c>
      <c r="C71" s="47">
        <f t="shared" si="32"/>
        <v>1076.0352886904168</v>
      </c>
      <c r="D71" s="47">
        <f t="shared" si="33"/>
        <v>47</v>
      </c>
      <c r="E71" s="47">
        <f t="shared" si="34"/>
        <v>2747.5595839774423</v>
      </c>
      <c r="F71" s="47">
        <f t="shared" si="35"/>
        <v>1117</v>
      </c>
    </row>
    <row r="72" spans="1:6" x14ac:dyDescent="0.2">
      <c r="A72" s="381" t="s">
        <v>82</v>
      </c>
      <c r="B72" s="47">
        <f t="shared" si="31"/>
        <v>8581.0374546520561</v>
      </c>
      <c r="C72" s="47">
        <f t="shared" si="32"/>
        <v>1077.7189735074667</v>
      </c>
      <c r="D72" s="47">
        <f t="shared" si="33"/>
        <v>47</v>
      </c>
      <c r="E72" s="47">
        <f t="shared" si="34"/>
        <v>2744.0882354190294</v>
      </c>
      <c r="F72" s="47">
        <f t="shared" si="35"/>
        <v>1117</v>
      </c>
    </row>
    <row r="73" spans="1:6" x14ac:dyDescent="0.2">
      <c r="A73" s="381" t="s">
        <v>83</v>
      </c>
      <c r="B73" s="47">
        <f t="shared" si="31"/>
        <v>8585.0515081802987</v>
      </c>
      <c r="C73" s="47">
        <f t="shared" si="32"/>
        <v>1079.4052928055535</v>
      </c>
      <c r="D73" s="47">
        <f t="shared" si="33"/>
        <v>47</v>
      </c>
      <c r="E73" s="47">
        <f t="shared" si="34"/>
        <v>2740.6212726657081</v>
      </c>
      <c r="F73" s="47">
        <f t="shared" si="35"/>
        <v>1117</v>
      </c>
    </row>
    <row r="74" spans="1:6" x14ac:dyDescent="0.2">
      <c r="A74" s="381" t="s">
        <v>84</v>
      </c>
      <c r="B74" s="47">
        <f t="shared" si="31"/>
        <v>8589.0674394099042</v>
      </c>
      <c r="C74" s="47">
        <f t="shared" si="32"/>
        <v>1081.0942507068801</v>
      </c>
      <c r="D74" s="47">
        <f t="shared" si="33"/>
        <v>47</v>
      </c>
      <c r="E74" s="47">
        <f t="shared" si="34"/>
        <v>2737.1586901763221</v>
      </c>
      <c r="F74" s="47">
        <f t="shared" si="35"/>
        <v>1117</v>
      </c>
    </row>
    <row r="75" spans="1:6" x14ac:dyDescent="0.2">
      <c r="B75" s="1"/>
      <c r="C75" s="1"/>
      <c r="D75" s="1"/>
      <c r="E75" s="1"/>
      <c r="F75" s="1"/>
    </row>
    <row r="76" spans="1:6" x14ac:dyDescent="0.2">
      <c r="A76" s="381" t="s">
        <v>219</v>
      </c>
      <c r="B76" s="47">
        <f>AVERAGE(B63:B74)</f>
        <v>8566.6002674063275</v>
      </c>
      <c r="C76" s="47">
        <f t="shared" ref="C76:F76" si="36">AVERAGE(C63:C74)</f>
        <v>1071.6069871659804</v>
      </c>
      <c r="D76" s="47">
        <f t="shared" si="36"/>
        <v>47</v>
      </c>
      <c r="E76" s="47">
        <f t="shared" si="36"/>
        <v>2756.4148805697369</v>
      </c>
      <c r="F76" s="47">
        <f t="shared" si="36"/>
        <v>1117</v>
      </c>
    </row>
    <row r="77" spans="1:6" x14ac:dyDescent="0.2">
      <c r="B77"/>
      <c r="C77"/>
      <c r="D77"/>
      <c r="E77"/>
      <c r="F77"/>
    </row>
    <row r="78" spans="1:6" x14ac:dyDescent="0.2">
      <c r="B78"/>
      <c r="C78"/>
      <c r="D78"/>
      <c r="E78"/>
      <c r="F78"/>
    </row>
    <row r="79" spans="1:6" x14ac:dyDescent="0.2">
      <c r="B79"/>
      <c r="C79"/>
      <c r="D79"/>
      <c r="E79"/>
      <c r="F79"/>
    </row>
    <row r="80" spans="1:6" x14ac:dyDescent="0.2">
      <c r="B80"/>
      <c r="C80"/>
      <c r="D80"/>
      <c r="E80"/>
      <c r="F80"/>
    </row>
    <row r="81" customFormat="1" x14ac:dyDescent="0.2"/>
    <row r="82" customFormat="1" x14ac:dyDescent="0.2"/>
    <row r="83" customFormat="1" x14ac:dyDescent="0.2"/>
  </sheetData>
  <mergeCells count="2">
    <mergeCell ref="B1:F1"/>
    <mergeCell ref="K11:L11"/>
  </mergeCells>
  <phoneticPr fontId="0" type="noConversion"/>
  <pageMargins left="0.38" right="0.75" top="0.73" bottom="0.74" header="0.5" footer="0.5"/>
  <pageSetup scale="40" orientation="landscape" r:id="rId1"/>
  <headerFooter alignWithMargins="0">
    <oddFooter>&amp;L&amp;Z&amp;F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L55"/>
  <sheetViews>
    <sheetView topLeftCell="A7" zoomScale="110" zoomScaleNormal="110" workbookViewId="0">
      <selection activeCell="G18" sqref="G18"/>
    </sheetView>
  </sheetViews>
  <sheetFormatPr defaultRowHeight="12.75" x14ac:dyDescent="0.2"/>
  <cols>
    <col min="1" max="1" width="11" customWidth="1"/>
    <col min="2" max="2" width="14.140625" style="6" bestFit="1" customWidth="1"/>
    <col min="3" max="3" width="14.140625" style="6" customWidth="1"/>
    <col min="4" max="4" width="13.42578125" customWidth="1"/>
    <col min="5" max="5" width="13" customWidth="1"/>
    <col min="6" max="6" width="13.42578125" customWidth="1"/>
    <col min="7" max="7" width="12.5703125" bestFit="1" customWidth="1"/>
    <col min="9" max="9" width="12.42578125" style="6" bestFit="1" customWidth="1"/>
    <col min="10" max="10" width="13.42578125" bestFit="1" customWidth="1"/>
    <col min="11" max="12" width="9.140625" style="6" customWidth="1"/>
  </cols>
  <sheetData>
    <row r="1" spans="1:9" x14ac:dyDescent="0.2">
      <c r="B1" s="8" t="str">
        <f>'Rate Class Customer Model'!D2</f>
        <v>R2 GS&gt;50 kW</v>
      </c>
      <c r="C1" s="8" t="str">
        <f>'Rate Class Energy Model'!L2</f>
        <v>Street Lights</v>
      </c>
      <c r="D1" s="54" t="s">
        <v>8</v>
      </c>
      <c r="I1" s="8"/>
    </row>
    <row r="2" spans="1:9" x14ac:dyDescent="0.2">
      <c r="A2" s="22">
        <f>+'Rate Class Customer Model'!A3</f>
        <v>2014</v>
      </c>
      <c r="B2" s="40">
        <v>196688</v>
      </c>
      <c r="C2" s="239">
        <v>2227</v>
      </c>
      <c r="D2" s="51">
        <f t="shared" ref="D2:D13" si="0">SUM(B2:C2)</f>
        <v>198915</v>
      </c>
    </row>
    <row r="3" spans="1:9" x14ac:dyDescent="0.2">
      <c r="A3" s="22">
        <f>+'Rate Class Customer Model'!A4</f>
        <v>2015</v>
      </c>
      <c r="B3" s="40">
        <v>208261</v>
      </c>
      <c r="C3" s="239">
        <v>2128</v>
      </c>
      <c r="D3" s="51">
        <f t="shared" si="0"/>
        <v>210389</v>
      </c>
      <c r="I3" s="41"/>
    </row>
    <row r="4" spans="1:9" x14ac:dyDescent="0.2">
      <c r="A4" s="22">
        <f>+'Rate Class Customer Model'!A5</f>
        <v>2016</v>
      </c>
      <c r="B4" s="40">
        <v>217368.6</v>
      </c>
      <c r="C4" s="239">
        <v>1623</v>
      </c>
      <c r="D4" s="51">
        <f t="shared" si="0"/>
        <v>218991.6</v>
      </c>
      <c r="I4" s="41"/>
    </row>
    <row r="5" spans="1:9" x14ac:dyDescent="0.2">
      <c r="A5" s="22">
        <f>+'Rate Class Customer Model'!A6</f>
        <v>2017</v>
      </c>
      <c r="B5" s="40">
        <v>210836.1</v>
      </c>
      <c r="C5" s="239">
        <v>1619</v>
      </c>
      <c r="D5" s="51">
        <f t="shared" si="0"/>
        <v>212455.1</v>
      </c>
      <c r="I5" s="41"/>
    </row>
    <row r="6" spans="1:9" x14ac:dyDescent="0.2">
      <c r="A6" s="22">
        <f>+'Rate Class Customer Model'!A7</f>
        <v>2018</v>
      </c>
      <c r="B6" s="40">
        <v>234798.30000000002</v>
      </c>
      <c r="C6" s="239">
        <v>1580.78</v>
      </c>
      <c r="D6" s="51">
        <f t="shared" si="0"/>
        <v>236379.08000000002</v>
      </c>
      <c r="I6" s="41"/>
    </row>
    <row r="7" spans="1:9" x14ac:dyDescent="0.2">
      <c r="A7" s="22">
        <f>+'Rate Class Customer Model'!A8</f>
        <v>2019</v>
      </c>
      <c r="B7" s="40">
        <v>243009.88000000006</v>
      </c>
      <c r="C7" s="239">
        <v>1574</v>
      </c>
      <c r="D7" s="51">
        <f t="shared" si="0"/>
        <v>244583.88000000006</v>
      </c>
      <c r="I7" s="41"/>
    </row>
    <row r="8" spans="1:9" x14ac:dyDescent="0.2">
      <c r="A8" s="22">
        <f>+'Rate Class Customer Model'!A9</f>
        <v>2020</v>
      </c>
      <c r="B8" s="40">
        <v>232896.94000000003</v>
      </c>
      <c r="C8" s="239">
        <v>1635.91</v>
      </c>
      <c r="D8" s="51">
        <f t="shared" si="0"/>
        <v>234532.85000000003</v>
      </c>
    </row>
    <row r="9" spans="1:9" x14ac:dyDescent="0.2">
      <c r="A9" s="22">
        <f>+'Rate Class Customer Model'!A10</f>
        <v>2021</v>
      </c>
      <c r="B9" s="40">
        <v>251732.03000000003</v>
      </c>
      <c r="C9" s="239">
        <v>1593.23</v>
      </c>
      <c r="D9" s="51">
        <f t="shared" si="0"/>
        <v>253325.26000000004</v>
      </c>
    </row>
    <row r="10" spans="1:9" x14ac:dyDescent="0.2">
      <c r="A10" s="22">
        <f>+'Rate Class Customer Model'!A11</f>
        <v>2022</v>
      </c>
      <c r="B10" s="40">
        <v>260826.09999999986</v>
      </c>
      <c r="C10" s="239">
        <v>1705.9</v>
      </c>
      <c r="D10" s="51">
        <f t="shared" si="0"/>
        <v>262531.99999999988</v>
      </c>
    </row>
    <row r="11" spans="1:9" x14ac:dyDescent="0.2">
      <c r="A11" s="22">
        <f>+'Rate Class Customer Model'!A12</f>
        <v>2023</v>
      </c>
      <c r="B11" s="40">
        <v>278055</v>
      </c>
      <c r="C11" s="40">
        <v>1505</v>
      </c>
      <c r="D11" s="51">
        <f t="shared" si="0"/>
        <v>279560</v>
      </c>
    </row>
    <row r="12" spans="1:9" x14ac:dyDescent="0.2">
      <c r="A12" s="22">
        <f>+'Rate Class Customer Model'!A13</f>
        <v>2024</v>
      </c>
      <c r="B12" s="23">
        <f>$B$27*'Rate Class Energy Model'!J32</f>
        <v>289543.01212369604</v>
      </c>
      <c r="C12" s="23">
        <f>$C$27*'Rate Class Energy Model'!L32</f>
        <v>1481.3733740889902</v>
      </c>
      <c r="D12" s="51">
        <f t="shared" si="0"/>
        <v>291024.38549778506</v>
      </c>
    </row>
    <row r="13" spans="1:9" x14ac:dyDescent="0.2">
      <c r="A13" s="22">
        <f>+'Rate Class Customer Model'!A14</f>
        <v>2025</v>
      </c>
      <c r="B13" s="243">
        <f>$B$27*('Rate Class Energy Model'!J33-'Rate Class Energy Model'!J44)+B31</f>
        <v>377162.21757648617</v>
      </c>
      <c r="C13" s="23">
        <f>$C$27*'Rate Class Energy Model'!L33</f>
        <v>1497.2920038616603</v>
      </c>
      <c r="D13" s="51">
        <f t="shared" si="0"/>
        <v>378659.50958034786</v>
      </c>
    </row>
    <row r="14" spans="1:9" x14ac:dyDescent="0.2">
      <c r="A14" s="14" t="s">
        <v>182</v>
      </c>
      <c r="B14" s="6">
        <f>B13-B31</f>
        <v>290282.21757648617</v>
      </c>
    </row>
    <row r="15" spans="1:9" x14ac:dyDescent="0.2">
      <c r="A15" s="14" t="s">
        <v>52</v>
      </c>
      <c r="B15" s="5"/>
      <c r="C15" s="5"/>
      <c r="D15" s="6"/>
    </row>
    <row r="16" spans="1:9" x14ac:dyDescent="0.2">
      <c r="A16" s="22">
        <f t="shared" ref="A16:A25" si="1">+A2</f>
        <v>2014</v>
      </c>
      <c r="B16" s="55">
        <f>B2/'Rate Class Energy Model'!J3</f>
        <v>2.3563715366026884E-3</v>
      </c>
      <c r="C16" s="55">
        <f>C2/'Rate Class Energy Model'!L3</f>
        <v>2.8651610440507897E-3</v>
      </c>
      <c r="I16" s="20"/>
    </row>
    <row r="17" spans="1:9" x14ac:dyDescent="0.2">
      <c r="A17" s="22">
        <f t="shared" si="1"/>
        <v>2015</v>
      </c>
      <c r="B17" s="55">
        <f>B3/'Rate Class Energy Model'!J4</f>
        <v>2.4068351562067402E-3</v>
      </c>
      <c r="C17" s="55">
        <f>C3/'Rate Class Energy Model'!L4</f>
        <v>2.8652357632588175E-3</v>
      </c>
      <c r="I17" s="20"/>
    </row>
    <row r="18" spans="1:9" x14ac:dyDescent="0.2">
      <c r="A18" s="22">
        <f t="shared" si="1"/>
        <v>2016</v>
      </c>
      <c r="B18" s="55">
        <f>B4/'Rate Class Energy Model'!J5</f>
        <v>2.4265606572213025E-3</v>
      </c>
      <c r="C18" s="55">
        <f>C4/'Rate Class Energy Model'!L5</f>
        <v>2.7763740999022539E-3</v>
      </c>
      <c r="I18" s="20"/>
    </row>
    <row r="19" spans="1:9" x14ac:dyDescent="0.2">
      <c r="A19" s="22">
        <f t="shared" si="1"/>
        <v>2017</v>
      </c>
      <c r="B19" s="55">
        <f>B5/'Rate Class Energy Model'!J6</f>
        <v>2.230783193891586E-3</v>
      </c>
      <c r="C19" s="55">
        <f>C5/'Rate Class Energy Model'!L6</f>
        <v>2.7792240385884704E-3</v>
      </c>
      <c r="I19" s="20"/>
    </row>
    <row r="20" spans="1:9" x14ac:dyDescent="0.2">
      <c r="A20" s="22">
        <f t="shared" si="1"/>
        <v>2018</v>
      </c>
      <c r="B20" s="55">
        <f>B6/'Rate Class Energy Model'!J7</f>
        <v>2.1465197877672771E-3</v>
      </c>
      <c r="C20" s="55">
        <f>C6/'Rate Class Energy Model'!L7</f>
        <v>2.7391928913163637E-3</v>
      </c>
      <c r="I20" s="20"/>
    </row>
    <row r="21" spans="1:9" x14ac:dyDescent="0.2">
      <c r="A21" s="22">
        <f t="shared" si="1"/>
        <v>2019</v>
      </c>
      <c r="B21" s="55">
        <f>B7/'Rate Class Energy Model'!J8</f>
        <v>2.1015825872624746E-3</v>
      </c>
      <c r="C21" s="55">
        <f>C7/'Rate Class Energy Model'!L8</f>
        <v>2.7802801476692627E-3</v>
      </c>
      <c r="I21" s="20"/>
    </row>
    <row r="22" spans="1:9" x14ac:dyDescent="0.2">
      <c r="A22" s="22">
        <f t="shared" si="1"/>
        <v>2020</v>
      </c>
      <c r="B22" s="55">
        <f>B8/'Rate Class Energy Model'!J9</f>
        <v>2.2524551796602506E-3</v>
      </c>
      <c r="C22" s="55">
        <f>C8/'Rate Class Energy Model'!L9</f>
        <v>2.7606470057060443E-3</v>
      </c>
      <c r="I22" s="20"/>
    </row>
    <row r="23" spans="1:9" x14ac:dyDescent="0.2">
      <c r="A23" s="22">
        <f t="shared" si="1"/>
        <v>2021</v>
      </c>
      <c r="B23" s="55">
        <f>B9/'Rate Class Energy Model'!J10</f>
        <v>2.1415808513247665E-3</v>
      </c>
      <c r="C23" s="55">
        <f>C9/'Rate Class Energy Model'!L10</f>
        <v>2.6815007032663647E-3</v>
      </c>
      <c r="I23" s="20"/>
    </row>
    <row r="24" spans="1:9" x14ac:dyDescent="0.2">
      <c r="A24" s="22">
        <f t="shared" si="1"/>
        <v>2022</v>
      </c>
      <c r="B24" s="55">
        <f>B10/'Rate Class Energy Model'!J11</f>
        <v>2.1682313446618629E-3</v>
      </c>
      <c r="C24" s="55">
        <f>C10/'Rate Class Energy Model'!L11</f>
        <v>2.8768502680298954E-3</v>
      </c>
      <c r="I24" s="20"/>
    </row>
    <row r="25" spans="1:9" x14ac:dyDescent="0.2">
      <c r="A25" s="22">
        <f t="shared" si="1"/>
        <v>2023</v>
      </c>
      <c r="B25" s="55">
        <f>B11/'Rate Class Energy Model'!J12</f>
        <v>2.1691065601769041E-3</v>
      </c>
      <c r="C25" s="55">
        <f>C11/'Rate Class Energy Model'!L12</f>
        <v>2.8006982205796421E-3</v>
      </c>
      <c r="I25" s="20"/>
    </row>
    <row r="27" spans="1:9" x14ac:dyDescent="0.2">
      <c r="A27" s="44" t="s">
        <v>51</v>
      </c>
      <c r="B27" s="20">
        <f>B29</f>
        <v>2.2400026854775853E-3</v>
      </c>
      <c r="C27" s="20">
        <f>C29</f>
        <v>2.7925164182367908E-3</v>
      </c>
    </row>
    <row r="29" spans="1:9" x14ac:dyDescent="0.2">
      <c r="A29" t="s">
        <v>10</v>
      </c>
      <c r="B29" s="20">
        <f>AVERAGE(B16:B25)</f>
        <v>2.2400026854775853E-3</v>
      </c>
      <c r="C29" s="20">
        <f>AVERAGE(C16:C25)</f>
        <v>2.7925164182367908E-3</v>
      </c>
      <c r="H29" s="20"/>
      <c r="I29" s="20"/>
    </row>
    <row r="31" spans="1:9" x14ac:dyDescent="0.2">
      <c r="A31" s="44" t="s">
        <v>172</v>
      </c>
      <c r="B31" s="242">
        <f>2*4000*12*0.905</f>
        <v>86880</v>
      </c>
    </row>
    <row r="34" spans="2:3" x14ac:dyDescent="0.2">
      <c r="B34" s="19"/>
      <c r="C34" s="19"/>
    </row>
    <row r="35" spans="2:3" x14ac:dyDescent="0.2">
      <c r="B35" s="19"/>
      <c r="C35" s="19"/>
    </row>
    <row r="54" spans="2:3" x14ac:dyDescent="0.2">
      <c r="B54" s="13"/>
      <c r="C54" s="13"/>
    </row>
    <row r="55" spans="2:3" x14ac:dyDescent="0.2">
      <c r="B55" s="13"/>
      <c r="C55" s="13"/>
    </row>
  </sheetData>
  <phoneticPr fontId="0" type="noConversion"/>
  <pageMargins left="0.38" right="0.75" top="0.73" bottom="0.74" header="0.5" footer="0.5"/>
  <pageSetup orientation="landscape"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6cc231c5-bbaa-4cc2-83a6-63d57c14ec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CAFCB0D3BFDC4D8B654B7386CC6DD4" ma:contentTypeVersion="13" ma:contentTypeDescription="Create a new document." ma:contentTypeScope="" ma:versionID="6d06a3b32d0f0c3543c416aceeccaba0">
  <xsd:schema xmlns:xsd="http://www.w3.org/2001/XMLSchema" xmlns:xs="http://www.w3.org/2001/XMLSchema" xmlns:p="http://schemas.microsoft.com/office/2006/metadata/properties" xmlns:ns3="de606500-4634-4b3c-8b54-584db031cd0a" xmlns:ns4="6cc231c5-bbaa-4cc2-83a6-63d57c14ec1d" targetNamespace="http://schemas.microsoft.com/office/2006/metadata/properties" ma:root="true" ma:fieldsID="b8875085092aacc0c12f762d4b9d7cb7" ns3:_="" ns4:_="">
    <xsd:import namespace="de606500-4634-4b3c-8b54-584db031cd0a"/>
    <xsd:import namespace="6cc231c5-bbaa-4cc2-83a6-63d57c14ec1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_activity" minOccurs="0"/>
                <xsd:element ref="ns4:MediaServiceObjectDetectorVersions" minOccurs="0"/>
                <xsd:element ref="ns4:MediaServiceSearchProperties" minOccurs="0"/>
                <xsd:element ref="ns4:MediaServiceDateTaken" minOccurs="0"/>
                <xsd:element ref="ns4:MediaServiceSystemTag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606500-4634-4b3c-8b54-584db031cd0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c231c5-bbaa-4cc2-83a6-63d57c14ec1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7DA762-4D17-4EC8-B320-2E70B337B5EB}">
  <ds:schemaRefs>
    <ds:schemaRef ds:uri="http://www.w3.org/XML/1998/namespace"/>
    <ds:schemaRef ds:uri="http://purl.org/dc/terms/"/>
    <ds:schemaRef ds:uri="6cc231c5-bbaa-4cc2-83a6-63d57c14ec1d"/>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de606500-4634-4b3c-8b54-584db031cd0a"/>
    <ds:schemaRef ds:uri="http://schemas.microsoft.com/office/2006/metadata/properties"/>
  </ds:schemaRefs>
</ds:datastoreItem>
</file>

<file path=customXml/itemProps2.xml><?xml version="1.0" encoding="utf-8"?>
<ds:datastoreItem xmlns:ds="http://schemas.openxmlformats.org/officeDocument/2006/customXml" ds:itemID="{2BA53CB8-C7EE-49D5-9CD1-C61CF86BB1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606500-4634-4b3c-8b54-584db031cd0a"/>
    <ds:schemaRef ds:uri="6cc231c5-bbaa-4cc2-83a6-63d57c14ec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682609-17B8-4872-A98B-5C307DBA4B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Exhibit 3 Tables</vt:lpstr>
      <vt:lpstr>Load Forecast Summary</vt:lpstr>
      <vt:lpstr>2013</vt:lpstr>
      <vt:lpstr>Power Purchased Model</vt:lpstr>
      <vt:lpstr>Power Purchased Model WN</vt:lpstr>
      <vt:lpstr>Rate Class Energy Model</vt:lpstr>
      <vt:lpstr>Rate Class Customer Model</vt:lpstr>
      <vt:lpstr>Rate Class Load Model</vt:lpstr>
      <vt:lpstr>'Load Forecast Summary'!Print_Area</vt:lpstr>
      <vt:lpstr>'Power Purchased Model'!Print_Area</vt:lpstr>
      <vt:lpstr>'Power Purchased Model WN'!Print_Area</vt:lpstr>
      <vt:lpstr>'Rate Class Customer Model'!Print_Area</vt:lpstr>
      <vt:lpstr>'Rate Class Load Model'!Print_Area</vt:lpstr>
      <vt:lpstr>'Power Purchased Model'!Print_Titles</vt:lpstr>
      <vt:lpstr>'Power Purchased Model WN'!Print_Titles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lastModifiedBy/>
  <cp:lastPrinted>2014-03-06T15:42:29Z</cp:lastPrinted>
  <dcterms:created xsi:type="dcterms:W3CDTF">2014-03-06T15:42:29Z</dcterms:created>
  <dcterms:modified xsi:type="dcterms:W3CDTF">2024-09-05T01:39:21Z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4105</vt:lpwstr>
  </property>
  <property fmtid="{D5CDD505-2E9C-101B-9397-08002B2CF9AE}" pid="3" name="ContentTypeId">
    <vt:lpwstr>0x010100F0CAFCB0D3BFDC4D8B654B7386CC6DD4</vt:lpwstr>
  </property>
</Properties>
</file>