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powerlines-my.sharepoint.com/personal/jsweeney_essexpower_ca/Documents/Documents/2025 COS/Settlement Conference/"/>
    </mc:Choice>
  </mc:AlternateContent>
  <xr:revisionPtr revIDLastSave="0" documentId="8_{9DEC1B37-412E-4924-82BD-1C5626DBE5A8}" xr6:coauthVersionLast="47" xr6:coauthVersionMax="47" xr10:uidLastSave="{00000000-0000-0000-0000-000000000000}"/>
  <bookViews>
    <workbookView xWindow="-110" yWindow="-110" windowWidth="19420" windowHeight="11500" tabRatio="874" xr2:uid="{797B346F-C8B4-4461-A357-3300EC3217DF}"/>
  </bookViews>
  <sheets>
    <sheet name="DVA Balances HONI Assets" sheetId="15" r:id="rId1"/>
    <sheet name="ACM Approach - 2023 Infl." sheetId="21" state="hidden" r:id="rId2"/>
    <sheet name="ACM Approach - 2024 Infl." sheetId="23" state="hidden" r:id="rId3"/>
    <sheet name="Comparison" sheetId="20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5" l="1"/>
  <c r="F59" i="15"/>
  <c r="G59" i="15"/>
  <c r="G56" i="15"/>
  <c r="F56" i="15"/>
  <c r="B24" i="15"/>
  <c r="B13" i="15" l="1"/>
  <c r="B16" i="15"/>
  <c r="C6" i="15"/>
  <c r="B9" i="15"/>
  <c r="D61" i="15" l="1"/>
  <c r="E61" i="15"/>
  <c r="F61" i="15"/>
  <c r="G61" i="15"/>
  <c r="F53" i="15"/>
  <c r="F9" i="15" l="1"/>
  <c r="F41" i="15" s="1"/>
  <c r="G9" i="15"/>
  <c r="F8" i="15"/>
  <c r="F5" i="15"/>
  <c r="G3" i="15"/>
  <c r="G5" i="15" s="1"/>
  <c r="F3" i="15"/>
  <c r="F52" i="15"/>
  <c r="F50" i="15"/>
  <c r="F23" i="15"/>
  <c r="F22" i="15"/>
  <c r="F17" i="15"/>
  <c r="F31" i="15"/>
  <c r="C23" i="15"/>
  <c r="C22" i="15"/>
  <c r="C17" i="15"/>
  <c r="F10" i="15" l="1"/>
  <c r="F30" i="15"/>
  <c r="F58" i="15"/>
  <c r="F55" i="15"/>
  <c r="F6" i="15"/>
  <c r="C50" i="15"/>
  <c r="D50" i="15"/>
  <c r="E50" i="15"/>
  <c r="B50" i="15"/>
  <c r="C52" i="15"/>
  <c r="D52" i="15"/>
  <c r="E52" i="15"/>
  <c r="G52" i="15"/>
  <c r="D6" i="20"/>
  <c r="E6" i="20"/>
  <c r="F6" i="20"/>
  <c r="G6" i="20"/>
  <c r="C6" i="20"/>
  <c r="D5" i="20"/>
  <c r="E5" i="20"/>
  <c r="F5" i="20"/>
  <c r="G5" i="20"/>
  <c r="C5" i="20"/>
  <c r="E5" i="21"/>
  <c r="D5" i="21"/>
  <c r="C5" i="21"/>
  <c r="D5" i="23"/>
  <c r="E5" i="23"/>
  <c r="C5" i="23"/>
  <c r="F11" i="15" l="1"/>
  <c r="F13" i="15" s="1"/>
  <c r="F16" i="15" s="1"/>
  <c r="G8" i="15"/>
  <c r="G10" i="15" s="1"/>
  <c r="B51" i="23"/>
  <c r="E7" i="23"/>
  <c r="E33" i="23" s="1"/>
  <c r="D10" i="23"/>
  <c r="C10" i="23"/>
  <c r="F18" i="15" l="1"/>
  <c r="F21" i="15"/>
  <c r="F20" i="15"/>
  <c r="F24" i="15" s="1"/>
  <c r="F26" i="15" s="1"/>
  <c r="C6" i="23"/>
  <c r="C11" i="23" s="1"/>
  <c r="C28" i="23" s="1"/>
  <c r="C43" i="23" s="1"/>
  <c r="D6" i="23"/>
  <c r="D11" i="23" s="1"/>
  <c r="D28" i="23" s="1"/>
  <c r="D7" i="23"/>
  <c r="D33" i="23" s="1"/>
  <c r="C32" i="23"/>
  <c r="D32" i="23"/>
  <c r="D43" i="23"/>
  <c r="D12" i="23"/>
  <c r="C12" i="23"/>
  <c r="E10" i="23"/>
  <c r="C7" i="23"/>
  <c r="C33" i="23" s="1"/>
  <c r="E6" i="23"/>
  <c r="E11" i="23" s="1"/>
  <c r="E28" i="23" s="1"/>
  <c r="F40" i="15" l="1"/>
  <c r="F29" i="15"/>
  <c r="F33" i="15" s="1"/>
  <c r="F35" i="15" s="1"/>
  <c r="F36" i="15" s="1"/>
  <c r="F42" i="15" s="1"/>
  <c r="E12" i="23"/>
  <c r="E15" i="23" s="1"/>
  <c r="E18" i="23" s="1"/>
  <c r="E14" i="23"/>
  <c r="E17" i="23" s="1"/>
  <c r="E21" i="23"/>
  <c r="E23" i="23" s="1"/>
  <c r="E31" i="23" s="1"/>
  <c r="D14" i="23"/>
  <c r="D17" i="23" s="1"/>
  <c r="D21" i="23"/>
  <c r="D23" i="23" s="1"/>
  <c r="D31" i="23" s="1"/>
  <c r="D34" i="23" s="1"/>
  <c r="D38" i="23" s="1"/>
  <c r="D39" i="23" s="1"/>
  <c r="D44" i="23" s="1"/>
  <c r="D15" i="23"/>
  <c r="D18" i="23" s="1"/>
  <c r="E43" i="23"/>
  <c r="E32" i="23"/>
  <c r="C21" i="23"/>
  <c r="C23" i="23" s="1"/>
  <c r="C31" i="23" s="1"/>
  <c r="C34" i="23" s="1"/>
  <c r="C38" i="23" s="1"/>
  <c r="C39" i="23" s="1"/>
  <c r="C44" i="23" s="1"/>
  <c r="C15" i="23"/>
  <c r="C18" i="23" s="1"/>
  <c r="C14" i="23"/>
  <c r="C17" i="23" s="1"/>
  <c r="C19" i="23" s="1"/>
  <c r="C25" i="23" s="1"/>
  <c r="C42" i="23" s="1"/>
  <c r="F43" i="15" l="1"/>
  <c r="D19" i="23"/>
  <c r="D25" i="23" s="1"/>
  <c r="D42" i="23" s="1"/>
  <c r="D45" i="23" s="1"/>
  <c r="D49" i="23" s="1"/>
  <c r="E49" i="23" s="1"/>
  <c r="F49" i="23" s="1"/>
  <c r="E34" i="23"/>
  <c r="E38" i="23" s="1"/>
  <c r="E39" i="23" s="1"/>
  <c r="E44" i="23" s="1"/>
  <c r="C45" i="23"/>
  <c r="C48" i="23" s="1"/>
  <c r="E19" i="23"/>
  <c r="E25" i="23" s="1"/>
  <c r="E42" i="23" s="1"/>
  <c r="E45" i="23" l="1"/>
  <c r="E50" i="23" s="1"/>
  <c r="F50" i="23" s="1"/>
  <c r="D48" i="23"/>
  <c r="C51" i="23"/>
  <c r="E48" i="23" l="1"/>
  <c r="D51" i="23"/>
  <c r="E51" i="23" l="1"/>
  <c r="F48" i="23"/>
  <c r="F51" i="23" s="1"/>
  <c r="F52" i="23" l="1"/>
  <c r="D10" i="21" l="1"/>
  <c r="E10" i="21"/>
  <c r="C10" i="21"/>
  <c r="C7" i="21" l="1"/>
  <c r="C33" i="21" s="1"/>
  <c r="D7" i="21"/>
  <c r="D33" i="21" s="1"/>
  <c r="E7" i="21"/>
  <c r="E33" i="21" s="1"/>
  <c r="D6" i="21"/>
  <c r="D11" i="21" s="1"/>
  <c r="D12" i="21" s="1"/>
  <c r="E6" i="21"/>
  <c r="E11" i="21" s="1"/>
  <c r="E12" i="21" s="1"/>
  <c r="C6" i="21"/>
  <c r="C11" i="21" s="1"/>
  <c r="C12" i="21" s="1"/>
  <c r="D21" i="21" l="1"/>
  <c r="D23" i="21" s="1"/>
  <c r="D31" i="21" s="1"/>
  <c r="D28" i="21"/>
  <c r="C21" i="21"/>
  <c r="C23" i="21" s="1"/>
  <c r="C31" i="21" s="1"/>
  <c r="C28" i="21"/>
  <c r="E21" i="21"/>
  <c r="E23" i="21" s="1"/>
  <c r="E31" i="21" s="1"/>
  <c r="E28" i="21"/>
  <c r="D15" i="21"/>
  <c r="D18" i="21" s="1"/>
  <c r="D14" i="21"/>
  <c r="D17" i="21" s="1"/>
  <c r="B52" i="15"/>
  <c r="B53" i="15" s="1"/>
  <c r="C53" i="15" s="1"/>
  <c r="D53" i="15" s="1"/>
  <c r="E53" i="15" s="1"/>
  <c r="G53" i="15" s="1"/>
  <c r="G68" i="15" s="1"/>
  <c r="B41" i="15" l="1"/>
  <c r="C32" i="21"/>
  <c r="C34" i="21" s="1"/>
  <c r="C38" i="21" s="1"/>
  <c r="C39" i="21" s="1"/>
  <c r="C44" i="21" s="1"/>
  <c r="C43" i="21"/>
  <c r="E32" i="21"/>
  <c r="E34" i="21" s="1"/>
  <c r="E38" i="21" s="1"/>
  <c r="E39" i="21" s="1"/>
  <c r="E44" i="21" s="1"/>
  <c r="E43" i="21"/>
  <c r="D32" i="21"/>
  <c r="D34" i="21" s="1"/>
  <c r="D38" i="21" s="1"/>
  <c r="D39" i="21" s="1"/>
  <c r="D44" i="21" s="1"/>
  <c r="D43" i="21"/>
  <c r="C14" i="21"/>
  <c r="C17" i="21" s="1"/>
  <c r="C15" i="21"/>
  <c r="C18" i="21" s="1"/>
  <c r="E14" i="21"/>
  <c r="E17" i="21" s="1"/>
  <c r="E15" i="21"/>
  <c r="E18" i="21" s="1"/>
  <c r="D19" i="21"/>
  <c r="D25" i="21" s="1"/>
  <c r="D42" i="21" s="1"/>
  <c r="B5" i="15"/>
  <c r="C3" i="15" s="1"/>
  <c r="H6" i="20"/>
  <c r="C5" i="15" l="1"/>
  <c r="C31" i="15"/>
  <c r="B58" i="15"/>
  <c r="B59" i="15" s="1"/>
  <c r="B55" i="15"/>
  <c r="B56" i="15" s="1"/>
  <c r="B30" i="15"/>
  <c r="C9" i="15"/>
  <c r="D9" i="15" s="1"/>
  <c r="E9" i="15" s="1"/>
  <c r="B10" i="15"/>
  <c r="B11" i="15" s="1"/>
  <c r="B6" i="15"/>
  <c r="E19" i="21"/>
  <c r="E25" i="21" s="1"/>
  <c r="E42" i="21" s="1"/>
  <c r="C19" i="21"/>
  <c r="C25" i="21" s="1"/>
  <c r="C42" i="21" s="1"/>
  <c r="C8" i="15" l="1"/>
  <c r="B21" i="15" l="1"/>
  <c r="B18" i="15"/>
  <c r="B29" i="15" s="1"/>
  <c r="B33" i="15" s="1"/>
  <c r="B35" i="15" s="1"/>
  <c r="B36" i="15" s="1"/>
  <c r="B42" i="15" s="1"/>
  <c r="B20" i="15"/>
  <c r="B26" i="15" l="1"/>
  <c r="B40" i="15"/>
  <c r="B61" i="15" l="1"/>
  <c r="B62" i="15" s="1"/>
  <c r="B43" i="15"/>
  <c r="B51" i="21"/>
  <c r="B46" i="15" l="1"/>
  <c r="C47" i="15" s="1"/>
  <c r="B47" i="15"/>
  <c r="B64" i="15"/>
  <c r="B65" i="15" s="1"/>
  <c r="C4" i="20"/>
  <c r="C8" i="20" s="1"/>
  <c r="C9" i="20" l="1"/>
  <c r="C10" i="20"/>
  <c r="B48" i="15"/>
  <c r="C45" i="21"/>
  <c r="D45" i="21"/>
  <c r="D49" i="21" s="1"/>
  <c r="E49" i="21" s="1"/>
  <c r="F49" i="21" s="1"/>
  <c r="C48" i="21" l="1"/>
  <c r="D48" i="21" l="1"/>
  <c r="D51" i="21" s="1"/>
  <c r="C51" i="21"/>
  <c r="E45" i="21"/>
  <c r="D23" i="15"/>
  <c r="E23" i="15" s="1"/>
  <c r="G23" i="15" s="1"/>
  <c r="D22" i="15"/>
  <c r="D17" i="15"/>
  <c r="E17" i="15" s="1"/>
  <c r="G17" i="15" s="1"/>
  <c r="E48" i="21" l="1"/>
  <c r="F48" i="21" s="1"/>
  <c r="H5" i="20"/>
  <c r="E50" i="21"/>
  <c r="F50" i="21" s="1"/>
  <c r="E22" i="15"/>
  <c r="G22" i="15" s="1"/>
  <c r="E51" i="21" l="1"/>
  <c r="F51" i="21"/>
  <c r="F52" i="21" l="1"/>
  <c r="C30" i="15"/>
  <c r="D3" i="15"/>
  <c r="D5" i="15" l="1"/>
  <c r="D31" i="15"/>
  <c r="C10" i="15"/>
  <c r="C41" i="15"/>
  <c r="E3" i="15"/>
  <c r="E31" i="15" s="1"/>
  <c r="C58" i="15" l="1"/>
  <c r="C59" i="15" s="1"/>
  <c r="C55" i="15"/>
  <c r="C56" i="15" s="1"/>
  <c r="E5" i="15"/>
  <c r="G31" i="15" s="1"/>
  <c r="D8" i="15"/>
  <c r="C11" i="15"/>
  <c r="C13" i="15" s="1"/>
  <c r="D6" i="15"/>
  <c r="G6" i="15" l="1"/>
  <c r="C21" i="15"/>
  <c r="C16" i="15"/>
  <c r="C18" i="15" s="1"/>
  <c r="C29" i="15" s="1"/>
  <c r="C33" i="15" s="1"/>
  <c r="C20" i="15"/>
  <c r="D30" i="15"/>
  <c r="E6" i="15"/>
  <c r="G30" i="15" l="1"/>
  <c r="G41" i="15"/>
  <c r="C24" i="15"/>
  <c r="D10" i="15"/>
  <c r="E8" i="15" s="1"/>
  <c r="D41" i="15"/>
  <c r="C35" i="15"/>
  <c r="C36" i="15" s="1"/>
  <c r="C42" i="15" s="1"/>
  <c r="G58" i="15" l="1"/>
  <c r="G55" i="15"/>
  <c r="D58" i="15"/>
  <c r="D59" i="15" s="1"/>
  <c r="D55" i="15"/>
  <c r="D56" i="15" s="1"/>
  <c r="E30" i="15"/>
  <c r="C40" i="15"/>
  <c r="C26" i="15"/>
  <c r="D11" i="15"/>
  <c r="D13" i="15" s="1"/>
  <c r="E10" i="15"/>
  <c r="E41" i="15"/>
  <c r="C61" i="15" l="1"/>
  <c r="C62" i="15" s="1"/>
  <c r="E58" i="15"/>
  <c r="E55" i="15"/>
  <c r="E56" i="15" s="1"/>
  <c r="E59" i="15"/>
  <c r="G69" i="15" s="1"/>
  <c r="C43" i="15"/>
  <c r="C46" i="15" s="1"/>
  <c r="D47" i="15" s="1"/>
  <c r="E11" i="15"/>
  <c r="E13" i="15" s="1"/>
  <c r="D20" i="15"/>
  <c r="D21" i="15"/>
  <c r="D16" i="15"/>
  <c r="D18" i="15" s="1"/>
  <c r="D29" i="15" s="1"/>
  <c r="D33" i="15" s="1"/>
  <c r="C48" i="15" l="1"/>
  <c r="D4" i="20"/>
  <c r="D10" i="20" s="1"/>
  <c r="G11" i="15"/>
  <c r="G13" i="15" s="1"/>
  <c r="G16" i="15" s="1"/>
  <c r="D24" i="15"/>
  <c r="D40" i="15" s="1"/>
  <c r="E21" i="15"/>
  <c r="E20" i="15"/>
  <c r="E16" i="15"/>
  <c r="E18" i="15" s="1"/>
  <c r="E29" i="15" s="1"/>
  <c r="E33" i="15" s="1"/>
  <c r="D35" i="15"/>
  <c r="D36" i="15" s="1"/>
  <c r="C64" i="15" l="1"/>
  <c r="C65" i="15" s="1"/>
  <c r="D8" i="20"/>
  <c r="D9" i="20"/>
  <c r="G20" i="15"/>
  <c r="G18" i="15"/>
  <c r="G21" i="15"/>
  <c r="E24" i="15"/>
  <c r="E26" i="15" s="1"/>
  <c r="D26" i="15"/>
  <c r="D42" i="15"/>
  <c r="D43" i="15" s="1"/>
  <c r="E35" i="15"/>
  <c r="E36" i="15" s="1"/>
  <c r="D62" i="15" l="1"/>
  <c r="D46" i="15"/>
  <c r="D64" i="15"/>
  <c r="D65" i="15" s="1"/>
  <c r="E4" i="20"/>
  <c r="G24" i="15"/>
  <c r="G26" i="15" s="1"/>
  <c r="G29" i="15"/>
  <c r="G33" i="15" s="1"/>
  <c r="G35" i="15" s="1"/>
  <c r="G36" i="15" s="1"/>
  <c r="G42" i="15" s="1"/>
  <c r="E40" i="15"/>
  <c r="E42" i="15"/>
  <c r="E47" i="15" l="1"/>
  <c r="F46" i="15"/>
  <c r="E62" i="15"/>
  <c r="F62" i="15" s="1"/>
  <c r="G62" i="15" s="1"/>
  <c r="D48" i="15"/>
  <c r="E10" i="20"/>
  <c r="E8" i="20"/>
  <c r="E9" i="20"/>
  <c r="G40" i="15"/>
  <c r="E43" i="15"/>
  <c r="G47" i="15" l="1"/>
  <c r="G43" i="15"/>
  <c r="G44" i="15" s="1"/>
  <c r="E64" i="15"/>
  <c r="E65" i="15" s="1"/>
  <c r="E46" i="15"/>
  <c r="F47" i="15" s="1"/>
  <c r="F64" i="15" s="1"/>
  <c r="F4" i="20"/>
  <c r="F65" i="15" l="1"/>
  <c r="F48" i="15"/>
  <c r="G4" i="20"/>
  <c r="G9" i="20" s="1"/>
  <c r="G64" i="15"/>
  <c r="G46" i="15"/>
  <c r="E48" i="15"/>
  <c r="F8" i="20"/>
  <c r="F10" i="20"/>
  <c r="F9" i="20"/>
  <c r="G65" i="15" l="1"/>
  <c r="G70" i="15" s="1"/>
  <c r="H4" i="20"/>
  <c r="G10" i="20"/>
  <c r="H10" i="20" s="1"/>
  <c r="G8" i="20"/>
  <c r="G48" i="15"/>
  <c r="H8" i="20"/>
  <c r="H9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tc={B8A41D41-A0A4-4DB5-AB68-71A9D8D975A4}</author>
    <author>tc={A556ABF8-8456-40AB-B15E-621127683AEE}</author>
    <author>tc={592208B6-9814-4AD8-B539-24B3B6062DC8}</author>
    <author>tc={5BF97349-DC90-4E73-AF0F-06119B0A4B43}</author>
    <author>tc={339361F0-76AC-4B72-AB02-309B3A8568C6}</author>
    <author>tc={6B56F6C8-AF0E-429C-B793-23A527D7B8CF}</author>
    <author>tc={FD7DF70D-63A3-4C75-BE53-82B2C4F3C021}</author>
    <author>tc={82937BAA-3F10-4B16-BC75-0DD3AB302180}</author>
  </authors>
  <commentList>
    <comment ref="B31" authorId="0" shapeId="0" xr:uid="{B8A41D41-A0A4-4DB5-AB68-71A9D8D975A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calculation should reflect the accelerated CCA which is three times the legacy CCA rules. </t>
      </text>
    </comment>
    <comment ref="G56" authorId="1" shapeId="0" xr:uid="{A556ABF8-8456-40AB-B15E-621127683AEE}">
      <text>
        <t>[Threaded comment]
Your version of Excel allows you to read this threaded comment; however, any edits to it will get removed if the file is opened in a newer version of Excel. Learn more: https://go.microsoft.com/fwlink/?linkid=870924
Comment:
    Ending balance of this cell should be updated accordingly.
Reply:
    Updated</t>
      </text>
    </comment>
    <comment ref="G59" authorId="2" shapeId="0" xr:uid="{592208B6-9814-4AD8-B539-24B3B6062DC8}">
      <text>
        <t>[Threaded comment]
Your version of Excel allows you to read this threaded comment; however, any edits to it will get removed if the file is opened in a newer version of Excel. Learn more: https://go.microsoft.com/fwlink/?linkid=870924
Comment:
    Ending balance of this cell should be updated accordingly.
Reply:
    updated</t>
      </text>
    </comment>
    <comment ref="G62" authorId="3" shapeId="0" xr:uid="{5BF97349-DC90-4E73-AF0F-06119B0A4B43}">
      <text>
        <t>[Threaded comment]
Your version of Excel allows you to read this threaded comment; however, any edits to it will get removed if the file is opened in a newer version of Excel. Learn more: https://go.microsoft.com/fwlink/?linkid=870924
Comment:
    Ending balance of this cell should be updated accordingly.
Reply:
    updated</t>
      </text>
    </comment>
    <comment ref="F65" authorId="4" shapeId="0" xr:uid="{339361F0-76AC-4B72-AB02-309B3A8568C6}">
      <text>
        <t>[Threaded comment]
Your version of Excel allows you to read this threaded comment; however, any edits to it will get removed if the file is opened in a newer version of Excel. Learn more: https://go.microsoft.com/fwlink/?linkid=870924
Comment:
    F65 should be the sum of E65 and F64. Similar formula errors are noted in F56, G56, F59, G59, F62 and G62.</t>
      </text>
    </comment>
    <comment ref="G65" authorId="5" shapeId="0" xr:uid="{6B56F6C8-AF0E-429C-B793-23A527D7B8CF}">
      <text>
        <t>[Threaded comment]
Your version of Excel allows you to read this threaded comment; however, any edits to it will get removed if the file is opened in a newer version of Excel. Learn more: https://go.microsoft.com/fwlink/?linkid=870924
Comment:
    G65 should be the sum of F65 and G64. Therefore, the ending balance of the carrying charges should be updated accordingly.
Reply:
    updated</t>
      </text>
    </comment>
    <comment ref="G69" authorId="6" shapeId="0" xr:uid="{FD7DF70D-63A3-4C75-BE53-82B2C4F3C021}">
      <text>
        <t>[Threaded comment]
Your version of Excel allows you to read this threaded comment; however, any edits to it will get removed if the file is opened in a newer version of Excel. Learn more: https://go.microsoft.com/fwlink/?linkid=870924
Comment:
    Ending balance of this cell should be updated accordingly.
Reply:
    Corrected</t>
      </text>
    </comment>
    <comment ref="G70" authorId="7" shapeId="0" xr:uid="{82937BAA-3F10-4B16-BC75-0DD3AB302180}">
      <text>
        <t>[Threaded comment]
Your version of Excel allows you to read this threaded comment; however, any edits to it will get removed if the file is opened in a newer version of Excel. Learn more: https://go.microsoft.com/fwlink/?linkid=870924
Comment:
    Ending balance of this cell should be updated accordingly.
Reply:
    corrected</t>
      </text>
    </comment>
  </commentList>
</comments>
</file>

<file path=xl/sharedStrings.xml><?xml version="1.0" encoding="utf-8"?>
<sst xmlns="http://schemas.openxmlformats.org/spreadsheetml/2006/main" count="173" uniqueCount="97">
  <si>
    <t>HONI Incremental Asset Purchases (2024-27)</t>
  </si>
  <si>
    <t>Opening Gross PP&amp;E</t>
  </si>
  <si>
    <t>Assumptions</t>
  </si>
  <si>
    <t xml:space="preserve">Additions </t>
  </si>
  <si>
    <t>EUL of Assets</t>
  </si>
  <si>
    <t>Closing Gross PP&amp;E</t>
  </si>
  <si>
    <t>CCA Rate (Class 47)</t>
  </si>
  <si>
    <t>Average Gross PP&amp;E</t>
  </si>
  <si>
    <t>Half-Year Rule</t>
  </si>
  <si>
    <t>In effect for purpose of depreciation and return</t>
  </si>
  <si>
    <t>AIIP</t>
  </si>
  <si>
    <t>2024-2027 Phase Out (suspension of half-year rule for CCA)</t>
  </si>
  <si>
    <t>Opening Accumulated Depreciation</t>
  </si>
  <si>
    <r>
      <t xml:space="preserve">In 2024, the accelerated CCA is </t>
    </r>
    <r>
      <rPr>
        <u/>
        <sz val="11"/>
        <color rgb="FF000000"/>
        <rFont val="Calibri"/>
        <family val="2"/>
        <scheme val="minor"/>
      </rPr>
      <t>three times</t>
    </r>
    <r>
      <rPr>
        <sz val="11"/>
        <color rgb="FF000000"/>
        <rFont val="Calibri"/>
        <family val="2"/>
        <scheme val="minor"/>
      </rPr>
      <t xml:space="preserve"> the legacy rule for the additions.</t>
    </r>
  </si>
  <si>
    <t>Additions</t>
  </si>
  <si>
    <r>
      <t xml:space="preserve">In 2025-2027, the accelerated CCA is </t>
    </r>
    <r>
      <rPr>
        <u/>
        <sz val="11"/>
        <color rgb="FF000000"/>
        <rFont val="Calibri"/>
        <family val="2"/>
        <scheme val="minor"/>
      </rPr>
      <t>twice</t>
    </r>
    <r>
      <rPr>
        <sz val="11"/>
        <color rgb="FF000000"/>
        <rFont val="Calibri"/>
        <family val="2"/>
        <scheme val="minor"/>
      </rPr>
      <t xml:space="preserve"> the legacy rule for the additions.</t>
    </r>
  </si>
  <si>
    <t>Closing Accumulated Depreciation</t>
  </si>
  <si>
    <t>Average Accumulated Depreciation</t>
  </si>
  <si>
    <t>Average Net PP&amp;E</t>
  </si>
  <si>
    <t>Return on Rate Base</t>
  </si>
  <si>
    <t>Equity</t>
  </si>
  <si>
    <t>ROE</t>
  </si>
  <si>
    <t>Deemed Return on Equity</t>
  </si>
  <si>
    <t>Long Term Debt</t>
  </si>
  <si>
    <t>Short Term Debt</t>
  </si>
  <si>
    <t>Long Term Rate</t>
  </si>
  <si>
    <t>Short Term Rate</t>
  </si>
  <si>
    <t>Deemed Interest</t>
  </si>
  <si>
    <t>Taxes / PILs</t>
  </si>
  <si>
    <t>Regulatory Taxable Income</t>
  </si>
  <si>
    <t>Add Back Amortization Expense</t>
  </si>
  <si>
    <t>Deduct CCA</t>
  </si>
  <si>
    <t>Taxable Income</t>
  </si>
  <si>
    <t>Income Tax / PILs Before Gross-Up</t>
  </si>
  <si>
    <t>Income Tax / PILs Grossed Up</t>
  </si>
  <si>
    <t>Incremental Revenue Requirement</t>
  </si>
  <si>
    <t>Return on Rate Base - Total</t>
  </si>
  <si>
    <t>Amortization Expense - Total</t>
  </si>
  <si>
    <t>Grossed Up Taxes / PILs - Total</t>
  </si>
  <si>
    <t>Principal Balance</t>
  </si>
  <si>
    <t xml:space="preserve">Interest </t>
  </si>
  <si>
    <t>Combined Balance</t>
  </si>
  <si>
    <t>Debits</t>
  </si>
  <si>
    <t>Balance</t>
  </si>
  <si>
    <t>On Disposition</t>
  </si>
  <si>
    <t>Debit to Gross PP&amp;E</t>
  </si>
  <si>
    <t>Debit to Accumulated Depreciation</t>
  </si>
  <si>
    <t>Recovery from Ratepayers</t>
  </si>
  <si>
    <t>BATU Rate Base Eligible for Recovery</t>
  </si>
  <si>
    <t>Total Capital Expenditure</t>
  </si>
  <si>
    <t>Materiality Threhold</t>
  </si>
  <si>
    <t>Amount of Eligible Capital Claimed</t>
  </si>
  <si>
    <t>No Half-Year Rule per ICM/ACM Policy</t>
  </si>
  <si>
    <t>Depreciation / Amortization Expense</t>
  </si>
  <si>
    <t>CCA</t>
  </si>
  <si>
    <t>ACM/ICM Riders</t>
  </si>
  <si>
    <t>Revenue requirements for each year prepared in isolation, to continue on fixed basis until next rebasing without adjustment for Net PP&amp;E and other multi-year adjustments</t>
  </si>
  <si>
    <t>Incremental Capital</t>
  </si>
  <si>
    <t>Depreciation Expense (Pro-rated to Eligible Incremental Capital)</t>
  </si>
  <si>
    <t>Incremental Capital in Rate Base (Average NBV in Year)</t>
  </si>
  <si>
    <t>Deemed Short Term Debt (% of Cap Structure)</t>
  </si>
  <si>
    <t>Deemed Long Term Debt (% of Cap Structure)</t>
  </si>
  <si>
    <t>(% Rate)</t>
  </si>
  <si>
    <t xml:space="preserve">Short Term Interest </t>
  </si>
  <si>
    <t xml:space="preserve">Lont Term Interest </t>
  </si>
  <si>
    <t>Return on Rate Base - Interest</t>
  </si>
  <si>
    <t>Deemed Equity (% of Cap Structure)</t>
  </si>
  <si>
    <t>Return on Rate Base - Equity</t>
  </si>
  <si>
    <t>Amortization Expense</t>
  </si>
  <si>
    <t>Amortization Expense - Incremental</t>
  </si>
  <si>
    <t>Grossed Up Taxes / PILs</t>
  </si>
  <si>
    <t>Incremental Taxable Income</t>
  </si>
  <si>
    <t>Current Tax Rate (%)</t>
  </si>
  <si>
    <t>Eligible Incremental Revenue Requirement</t>
  </si>
  <si>
    <t>Eligible Incremental Revenue Requirement(s)</t>
  </si>
  <si>
    <t>Cumulative Cost Recovery</t>
  </si>
  <si>
    <t>2025 ACM Riders</t>
  </si>
  <si>
    <t>2026 ACM Riders</t>
  </si>
  <si>
    <t>2027 ACM Riders</t>
  </si>
  <si>
    <t>Total Eligible Incremental Revenue Requirement</t>
  </si>
  <si>
    <t>BATU Contribution Revenue Requirement Eligible for Recovery</t>
  </si>
  <si>
    <t>Total</t>
  </si>
  <si>
    <t>DVA Approach</t>
  </si>
  <si>
    <t>ACM Approach - 2023 Inflation Factor</t>
  </si>
  <si>
    <t>ACM Approach - 2024 Inflation Factor</t>
  </si>
  <si>
    <t>Deficiency - ACM 2023 Inflation Factor</t>
  </si>
  <si>
    <t>Deficiency - ACM 2024 Inflation Factor</t>
  </si>
  <si>
    <t>Deficiency - No Relief / Recovery</t>
  </si>
  <si>
    <t>DVA Prescribed interest Rate</t>
  </si>
  <si>
    <t>Q3 2024</t>
  </si>
  <si>
    <t>Total Incremental Revenue Requirement</t>
  </si>
  <si>
    <t>HONI Assets Purchase</t>
  </si>
  <si>
    <t>HONI Assets Purchase Sub-Accounts</t>
  </si>
  <si>
    <t>HONI Assets Purchase Depreciation Expense</t>
  </si>
  <si>
    <t>HONI Assets Purchase Return and PILs</t>
  </si>
  <si>
    <t>HONI Asset Purchase Carrying Charges</t>
  </si>
  <si>
    <t>HONI Assets Purchase Accumulated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</si>
</sst>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&quot;$&quot;* #,##0_-;\-&quot;$&quot;* #,##0_-;_-&quot;$&quot;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_-* #,##0.00_-;\-* #,##0.00_-;_-* \-??_-;_-@_-"/>
    <numFmt numFmtId="174" formatCode="_-* #,##0_-;\-* #,##0_-;_-* &quot;-&quot;??_-;_-@_-"/>
    <numFmt numFmtId="175" formatCode="_-* #,##0.0000_-;\-* #,##0.000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Mangal"/>
      <family val="2"/>
      <charset val="1"/>
    </font>
    <font>
      <sz val="11"/>
      <color theme="1"/>
      <name val="Calibri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38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2" fillId="36" borderId="0" applyNumberFormat="0" applyBorder="0" applyAlignment="0" applyProtection="0"/>
    <xf numFmtId="0" fontId="23" fillId="53" borderId="11" applyNumberFormat="0" applyAlignment="0" applyProtection="0"/>
    <xf numFmtId="0" fontId="24" fillId="54" borderId="12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40" borderId="11" applyNumberFormat="0" applyAlignment="0" applyProtection="0"/>
    <xf numFmtId="0" fontId="31" fillId="0" borderId="16" applyNumberFormat="0" applyFill="0" applyAlignment="0" applyProtection="0"/>
    <xf numFmtId="0" fontId="32" fillId="55" borderId="0" applyNumberFormat="0" applyBorder="0" applyAlignment="0" applyProtection="0"/>
    <xf numFmtId="0" fontId="3" fillId="56" borderId="17" applyNumberFormat="0" applyFont="0" applyAlignment="0" applyProtection="0"/>
    <xf numFmtId="0" fontId="33" fillId="53" borderId="18" applyNumberFormat="0" applyAlignment="0" applyProtection="0"/>
    <xf numFmtId="0" fontId="18" fillId="0" borderId="0"/>
    <xf numFmtId="0" fontId="34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4" fillId="0" borderId="2" applyNumberFormat="0" applyFill="0" applyAlignment="0" applyProtection="0"/>
    <xf numFmtId="0" fontId="1" fillId="0" borderId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38" fillId="6" borderId="0" applyNumberFormat="0" applyBorder="0" applyAlignment="0" applyProtection="0"/>
    <xf numFmtId="0" fontId="9" fillId="7" borderId="5" applyNumberFormat="0" applyAlignment="0" applyProtection="0"/>
    <xf numFmtId="0" fontId="10" fillId="8" borderId="6" applyNumberFormat="0" applyAlignment="0" applyProtection="0"/>
    <xf numFmtId="0" fontId="11" fillId="8" borderId="5" applyNumberFormat="0" applyAlignment="0" applyProtection="0"/>
    <xf numFmtId="0" fontId="12" fillId="0" borderId="7" applyNumberFormat="0" applyFill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6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/>
    <xf numFmtId="167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8" fontId="3" fillId="0" borderId="0"/>
    <xf numFmtId="169" fontId="3" fillId="0" borderId="0"/>
    <xf numFmtId="168" fontId="3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19" fillId="57" borderId="0" applyNumberFormat="0" applyBorder="0" applyAlignment="0" applyProtection="0"/>
    <xf numFmtId="10" fontId="19" fillId="58" borderId="20" applyNumberFormat="0" applyBorder="0" applyAlignment="0" applyProtection="0"/>
    <xf numFmtId="170" fontId="3" fillId="0" borderId="0"/>
    <xf numFmtId="171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2" fontId="3" fillId="0" borderId="0"/>
    <xf numFmtId="10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73" fontId="39" fillId="0" borderId="0" applyFill="0" applyBorder="0" applyAlignment="0" applyProtection="0"/>
    <xf numFmtId="9" fontId="39" fillId="0" borderId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0" fillId="40" borderId="11" applyNumberFormat="0" applyAlignment="0" applyProtection="0"/>
    <xf numFmtId="0" fontId="18" fillId="0" borderId="0"/>
    <xf numFmtId="0" fontId="30" fillId="40" borderId="11" applyNumberFormat="0" applyAlignment="0" applyProtection="0"/>
    <xf numFmtId="9" fontId="3" fillId="0" borderId="0" applyFont="0" applyFill="0" applyBorder="0" applyAlignment="0" applyProtection="0"/>
    <xf numFmtId="0" fontId="1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9" fontId="3" fillId="0" borderId="0" applyFont="0" applyFill="0" applyBorder="0" applyAlignment="0" applyProtection="0"/>
    <xf numFmtId="0" fontId="30" fillId="40" borderId="11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0" fontId="30" fillId="40" borderId="11" applyNumberForma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/>
    <xf numFmtId="44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165" fontId="0" fillId="0" borderId="0" xfId="0" applyNumberFormat="1"/>
    <xf numFmtId="165" fontId="0" fillId="0" borderId="1" xfId="1" applyNumberFormat="1" applyFont="1" applyBorder="1"/>
    <xf numFmtId="165" fontId="0" fillId="0" borderId="0" xfId="1" applyNumberFormat="1" applyFont="1" applyBorder="1"/>
    <xf numFmtId="0" fontId="0" fillId="3" borderId="0" xfId="0" applyFill="1"/>
    <xf numFmtId="164" fontId="0" fillId="0" borderId="0" xfId="2" applyNumberFormat="1" applyFont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10" fontId="0" fillId="0" borderId="1" xfId="2" applyNumberFormat="1" applyFont="1" applyFill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165" fontId="0" fillId="0" borderId="1" xfId="0" applyNumberFormat="1" applyBorder="1"/>
    <xf numFmtId="0" fontId="17" fillId="0" borderId="21" xfId="0" applyFont="1" applyBorder="1"/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0" fillId="0" borderId="24" xfId="0" applyBorder="1" applyAlignment="1">
      <alignment horizontal="right"/>
    </xf>
    <xf numFmtId="165" fontId="0" fillId="0" borderId="25" xfId="0" applyNumberForma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9" xfId="0" applyBorder="1"/>
    <xf numFmtId="10" fontId="0" fillId="0" borderId="30" xfId="2" applyNumberFormat="1" applyFont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0" fontId="0" fillId="0" borderId="25" xfId="2" applyNumberFormat="1" applyFont="1" applyBorder="1" applyAlignment="1">
      <alignment horizontal="center" vertical="center"/>
    </xf>
    <xf numFmtId="0" fontId="0" fillId="0" borderId="26" xfId="0" applyBorder="1"/>
    <xf numFmtId="165" fontId="0" fillId="0" borderId="25" xfId="1" applyNumberFormat="1" applyFont="1" applyFill="1" applyBorder="1"/>
    <xf numFmtId="165" fontId="0" fillId="0" borderId="25" xfId="1" applyNumberFormat="1" applyFont="1" applyBorder="1"/>
    <xf numFmtId="165" fontId="0" fillId="0" borderId="30" xfId="0" applyNumberFormat="1" applyBorder="1"/>
    <xf numFmtId="0" fontId="0" fillId="0" borderId="29" xfId="0" applyBorder="1" applyAlignment="1">
      <alignment horizontal="right"/>
    </xf>
    <xf numFmtId="0" fontId="0" fillId="0" borderId="1" xfId="0" applyBorder="1"/>
    <xf numFmtId="0" fontId="0" fillId="0" borderId="30" xfId="0" applyBorder="1"/>
    <xf numFmtId="165" fontId="0" fillId="0" borderId="30" xfId="1" applyNumberFormat="1" applyFont="1" applyBorder="1"/>
    <xf numFmtId="0" fontId="2" fillId="0" borderId="26" xfId="0" applyFont="1" applyBorder="1"/>
    <xf numFmtId="165" fontId="2" fillId="0" borderId="27" xfId="0" applyNumberFormat="1" applyFont="1" applyBorder="1"/>
    <xf numFmtId="165" fontId="2" fillId="0" borderId="28" xfId="0" applyNumberFormat="1" applyFont="1" applyBorder="1"/>
    <xf numFmtId="0" fontId="2" fillId="0" borderId="26" xfId="0" applyFont="1" applyBorder="1" applyAlignment="1">
      <alignment horizontal="right"/>
    </xf>
    <xf numFmtId="165" fontId="2" fillId="0" borderId="27" xfId="1" applyNumberFormat="1" applyFont="1" applyFill="1" applyBorder="1"/>
    <xf numFmtId="165" fontId="2" fillId="0" borderId="28" xfId="1" applyNumberFormat="1" applyFont="1" applyFill="1" applyBorder="1"/>
    <xf numFmtId="165" fontId="0" fillId="0" borderId="27" xfId="1" applyNumberFormat="1" applyFont="1" applyBorder="1"/>
    <xf numFmtId="0" fontId="2" fillId="0" borderId="27" xfId="1" applyNumberFormat="1" applyFont="1" applyBorder="1" applyAlignment="1">
      <alignment horizontal="right"/>
    </xf>
    <xf numFmtId="165" fontId="2" fillId="0" borderId="28" xfId="1" applyNumberFormat="1" applyFont="1" applyBorder="1"/>
    <xf numFmtId="0" fontId="2" fillId="0" borderId="24" xfId="0" applyFont="1" applyBorder="1"/>
    <xf numFmtId="165" fontId="2" fillId="0" borderId="0" xfId="1" applyNumberFormat="1" applyFont="1" applyBorder="1"/>
    <xf numFmtId="1" fontId="0" fillId="0" borderId="0" xfId="0" applyNumberFormat="1" applyAlignment="1">
      <alignment horizontal="left" vertical="center"/>
    </xf>
    <xf numFmtId="1" fontId="0" fillId="0" borderId="23" xfId="0" applyNumberFormat="1" applyBorder="1" applyAlignment="1">
      <alignment horizontal="left" vertical="center"/>
    </xf>
    <xf numFmtId="1" fontId="0" fillId="0" borderId="25" xfId="1" applyNumberFormat="1" applyFont="1" applyFill="1" applyBorder="1" applyAlignment="1">
      <alignment horizontal="left" vertical="center"/>
    </xf>
    <xf numFmtId="9" fontId="0" fillId="0" borderId="25" xfId="2" applyFont="1" applyBorder="1" applyAlignment="1">
      <alignment horizontal="left" vertical="center"/>
    </xf>
    <xf numFmtId="1" fontId="0" fillId="0" borderId="25" xfId="0" applyNumberFormat="1" applyBorder="1" applyAlignment="1">
      <alignment horizontal="left" vertical="center"/>
    </xf>
    <xf numFmtId="165" fontId="0" fillId="0" borderId="30" xfId="1" applyNumberFormat="1" applyFont="1" applyFill="1" applyBorder="1"/>
    <xf numFmtId="165" fontId="2" fillId="0" borderId="25" xfId="1" applyNumberFormat="1" applyFont="1" applyBorder="1"/>
    <xf numFmtId="0" fontId="0" fillId="0" borderId="27" xfId="0" applyBorder="1"/>
    <xf numFmtId="0" fontId="0" fillId="0" borderId="25" xfId="0" applyBorder="1"/>
    <xf numFmtId="0" fontId="2" fillId="0" borderId="20" xfId="0" applyFont="1" applyBorder="1" applyAlignment="1">
      <alignment horizontal="center" vertical="center"/>
    </xf>
    <xf numFmtId="165" fontId="0" fillId="0" borderId="20" xfId="1" applyNumberFormat="1" applyFont="1" applyBorder="1"/>
    <xf numFmtId="0" fontId="0" fillId="0" borderId="20" xfId="0" applyBorder="1"/>
    <xf numFmtId="165" fontId="0" fillId="0" borderId="20" xfId="0" applyNumberFormat="1" applyBorder="1"/>
    <xf numFmtId="0" fontId="2" fillId="2" borderId="20" xfId="0" applyFont="1" applyFill="1" applyBorder="1" applyAlignment="1">
      <alignment horizontal="center" vertical="center"/>
    </xf>
    <xf numFmtId="165" fontId="0" fillId="2" borderId="20" xfId="1" applyNumberFormat="1" applyFont="1" applyFill="1" applyBorder="1"/>
    <xf numFmtId="165" fontId="0" fillId="2" borderId="20" xfId="0" applyNumberFormat="1" applyFill="1" applyBorder="1"/>
    <xf numFmtId="0" fontId="0" fillId="2" borderId="31" xfId="0" applyFill="1" applyBorder="1"/>
    <xf numFmtId="0" fontId="0" fillId="2" borderId="32" xfId="0" applyFill="1" applyBorder="1"/>
    <xf numFmtId="1" fontId="2" fillId="0" borderId="22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0" fontId="2" fillId="0" borderId="33" xfId="0" applyFont="1" applyBorder="1"/>
    <xf numFmtId="165" fontId="2" fillId="0" borderId="34" xfId="1" applyNumberFormat="1" applyFont="1" applyBorder="1"/>
    <xf numFmtId="165" fontId="2" fillId="0" borderId="35" xfId="1" applyNumberFormat="1" applyFont="1" applyBorder="1"/>
    <xf numFmtId="165" fontId="0" fillId="0" borderId="0" xfId="1" applyNumberFormat="1" applyFont="1"/>
    <xf numFmtId="9" fontId="0" fillId="0" borderId="0" xfId="2" applyFont="1" applyBorder="1"/>
    <xf numFmtId="9" fontId="42" fillId="0" borderId="0" xfId="2" applyFont="1" applyBorder="1" applyAlignment="1">
      <alignment horizontal="center" vertical="center"/>
    </xf>
    <xf numFmtId="10" fontId="0" fillId="0" borderId="0" xfId="2" applyNumberFormat="1" applyFont="1" applyBorder="1"/>
    <xf numFmtId="165" fontId="0" fillId="0" borderId="28" xfId="1" applyNumberFormat="1" applyFont="1" applyBorder="1"/>
    <xf numFmtId="1" fontId="0" fillId="0" borderId="0" xfId="0" applyNumberFormat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25" xfId="1" applyNumberFormat="1" applyFont="1" applyBorder="1" applyAlignment="1">
      <alignment horizontal="center" vertical="center"/>
    </xf>
    <xf numFmtId="165" fontId="1" fillId="0" borderId="30" xfId="1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0" fontId="0" fillId="0" borderId="1" xfId="2" applyNumberFormat="1" applyFont="1" applyBorder="1"/>
    <xf numFmtId="0" fontId="0" fillId="0" borderId="33" xfId="0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65" fontId="42" fillId="0" borderId="1" xfId="1" applyNumberFormat="1" applyFont="1" applyBorder="1" applyAlignment="1">
      <alignment horizontal="center" vertical="center"/>
    </xf>
    <xf numFmtId="10" fontId="0" fillId="0" borderId="34" xfId="2" applyNumberFormat="1" applyFont="1" applyBorder="1"/>
    <xf numFmtId="165" fontId="2" fillId="0" borderId="27" xfId="1" applyNumberFormat="1" applyFont="1" applyBorder="1"/>
    <xf numFmtId="0" fontId="0" fillId="0" borderId="26" xfId="0" applyBorder="1" applyAlignment="1">
      <alignment horizontal="right"/>
    </xf>
    <xf numFmtId="165" fontId="0" fillId="0" borderId="27" xfId="1" applyNumberFormat="1" applyFont="1" applyFill="1" applyBorder="1"/>
    <xf numFmtId="0" fontId="17" fillId="0" borderId="0" xfId="0" applyFont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165" fontId="0" fillId="0" borderId="22" xfId="1" applyNumberFormat="1" applyFont="1" applyBorder="1"/>
    <xf numFmtId="165" fontId="0" fillId="0" borderId="23" xfId="1" applyNumberFormat="1" applyFont="1" applyBorder="1"/>
    <xf numFmtId="164" fontId="0" fillId="0" borderId="0" xfId="2" applyNumberFormat="1" applyFont="1" applyBorder="1"/>
    <xf numFmtId="0" fontId="17" fillId="0" borderId="36" xfId="0" applyFont="1" applyBorder="1"/>
    <xf numFmtId="165" fontId="0" fillId="0" borderId="37" xfId="1" applyNumberFormat="1" applyFont="1" applyBorder="1"/>
    <xf numFmtId="165" fontId="0" fillId="0" borderId="38" xfId="1" applyNumberFormat="1" applyFont="1" applyBorder="1"/>
    <xf numFmtId="10" fontId="2" fillId="0" borderId="0" xfId="2" applyNumberFormat="1" applyFont="1" applyAlignment="1">
      <alignment horizontal="center"/>
    </xf>
    <xf numFmtId="1" fontId="2" fillId="0" borderId="0" xfId="0" applyNumberFormat="1" applyFont="1" applyAlignment="1">
      <alignment horizontal="left" vertical="center"/>
    </xf>
    <xf numFmtId="0" fontId="0" fillId="0" borderId="21" xfId="0" applyBorder="1"/>
    <xf numFmtId="165" fontId="0" fillId="0" borderId="22" xfId="0" applyNumberFormat="1" applyBorder="1"/>
    <xf numFmtId="165" fontId="0" fillId="0" borderId="23" xfId="0" applyNumberFormat="1" applyBorder="1"/>
    <xf numFmtId="0" fontId="42" fillId="0" borderId="0" xfId="0" applyFont="1"/>
    <xf numFmtId="165" fontId="42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40" xfId="0" applyNumberFormat="1" applyBorder="1"/>
    <xf numFmtId="165" fontId="0" fillId="0" borderId="41" xfId="0" applyNumberFormat="1" applyBorder="1"/>
    <xf numFmtId="165" fontId="0" fillId="0" borderId="43" xfId="0" applyNumberFormat="1" applyBorder="1"/>
    <xf numFmtId="165" fontId="0" fillId="0" borderId="45" xfId="0" applyNumberFormat="1" applyBorder="1"/>
    <xf numFmtId="0" fontId="2" fillId="0" borderId="39" xfId="0" applyFont="1" applyBorder="1" applyAlignment="1">
      <alignment horizontal="left"/>
    </xf>
    <xf numFmtId="0" fontId="0" fillId="0" borderId="40" xfId="0" applyBorder="1"/>
    <xf numFmtId="165" fontId="0" fillId="0" borderId="42" xfId="0" applyNumberFormat="1" applyBorder="1"/>
    <xf numFmtId="165" fontId="0" fillId="0" borderId="44" xfId="0" applyNumberFormat="1" applyBorder="1"/>
    <xf numFmtId="0" fontId="0" fillId="0" borderId="1" xfId="0" applyBorder="1" applyAlignment="1">
      <alignment horizontal="right"/>
    </xf>
    <xf numFmtId="1" fontId="2" fillId="0" borderId="0" xfId="0" applyNumberFormat="1" applyFont="1" applyAlignment="1">
      <alignment horizontal="center" vertical="center"/>
    </xf>
    <xf numFmtId="0" fontId="2" fillId="0" borderId="31" xfId="0" applyFont="1" applyBorder="1"/>
    <xf numFmtId="0" fontId="0" fillId="0" borderId="46" xfId="0" applyBorder="1" applyAlignment="1">
      <alignment horizontal="right"/>
    </xf>
    <xf numFmtId="0" fontId="0" fillId="0" borderId="32" xfId="0" applyBorder="1" applyAlignment="1">
      <alignment horizontal="right"/>
    </xf>
    <xf numFmtId="174" fontId="0" fillId="0" borderId="0" xfId="175" applyNumberFormat="1" applyFont="1"/>
    <xf numFmtId="175" fontId="0" fillId="0" borderId="0" xfId="175" applyNumberFormat="1" applyFont="1" applyFill="1" applyBorder="1"/>
    <xf numFmtId="1" fontId="0" fillId="0" borderId="0" xfId="1" applyNumberFormat="1" applyFont="1" applyFill="1" applyBorder="1" applyAlignment="1">
      <alignment horizontal="left" vertical="center"/>
    </xf>
    <xf numFmtId="9" fontId="0" fillId="0" borderId="0" xfId="2" applyFont="1" applyBorder="1" applyAlignment="1">
      <alignment horizontal="left" vertical="center"/>
    </xf>
    <xf numFmtId="0" fontId="43" fillId="0" borderId="0" xfId="0" applyFont="1"/>
    <xf numFmtId="164" fontId="0" fillId="0" borderId="0" xfId="2" applyNumberFormat="1" applyFont="1" applyBorder="1" applyAlignment="1">
      <alignment horizontal="left" vertical="center"/>
    </xf>
    <xf numFmtId="1" fontId="0" fillId="0" borderId="22" xfId="0" applyNumberFormat="1" applyBorder="1" applyAlignment="1">
      <alignment horizontal="left" vertical="center"/>
    </xf>
    <xf numFmtId="0" fontId="17" fillId="0" borderId="24" xfId="0" applyFont="1" applyBorder="1"/>
    <xf numFmtId="1" fontId="0" fillId="0" borderId="27" xfId="0" applyNumberFormat="1" applyBorder="1" applyAlignment="1">
      <alignment horizontal="left" vertical="center"/>
    </xf>
    <xf numFmtId="0" fontId="0" fillId="0" borderId="28" xfId="0" applyBorder="1"/>
    <xf numFmtId="0" fontId="2" fillId="0" borderId="0" xfId="0" applyFont="1" applyAlignment="1">
      <alignment horizontal="center"/>
    </xf>
    <xf numFmtId="165" fontId="0" fillId="59" borderId="1" xfId="0" applyNumberFormat="1" applyFill="1" applyBorder="1"/>
    <xf numFmtId="165" fontId="0" fillId="59" borderId="45" xfId="0" applyNumberFormat="1" applyFill="1" applyBorder="1"/>
    <xf numFmtId="165" fontId="0" fillId="59" borderId="0" xfId="1" applyNumberFormat="1" applyFont="1" applyFill="1" applyBorder="1"/>
    <xf numFmtId="165" fontId="0" fillId="59" borderId="43" xfId="0" applyNumberFormat="1" applyFill="1" applyBorder="1"/>
    <xf numFmtId="1" fontId="0" fillId="0" borderId="25" xfId="0" applyNumberFormat="1" applyBorder="1" applyAlignment="1">
      <alignment horizontal="left" vertical="top" wrapText="1"/>
    </xf>
    <xf numFmtId="1" fontId="0" fillId="0" borderId="28" xfId="0" applyNumberFormat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/>
    </xf>
    <xf numFmtId="1" fontId="0" fillId="0" borderId="0" xfId="0" applyNumberFormat="1"/>
  </cellXfs>
  <cellStyles count="176">
    <cellStyle name="$" xfId="105" xr:uid="{E08FC031-D031-422F-951C-71A40251C322}"/>
    <cellStyle name="$.00" xfId="106" xr:uid="{44D4FFA4-4382-48CD-AEDC-3FC17E5E5F30}"/>
    <cellStyle name="$_9. Rev2Cost_GDPIPI" xfId="107" xr:uid="{2B83FF5D-3D67-4A6B-AA49-A9988F4797E6}"/>
    <cellStyle name="$_lists" xfId="108" xr:uid="{BD4D6678-0084-4545-93B8-DCBA92B2568B}"/>
    <cellStyle name="$_lists_4. Current Monthly Fixed Charge" xfId="109" xr:uid="{8D155C0F-03A1-4B78-AB2C-C9A11F00F836}"/>
    <cellStyle name="$_Sheet4" xfId="110" xr:uid="{C3C3958D-E282-4313-AA2B-D037E883423D}"/>
    <cellStyle name="$M" xfId="111" xr:uid="{33DCDEF3-3708-4F60-95FC-1662E581E332}"/>
    <cellStyle name="$M.00" xfId="112" xr:uid="{341F658B-D54C-4B90-B803-96FF079C49DD}"/>
    <cellStyle name="$M_9. Rev2Cost_GDPIPI" xfId="113" xr:uid="{74FC2177-65DB-4FF3-9F2A-A62D9DF2AAF9}"/>
    <cellStyle name="20% - Accent1 2" xfId="72" xr:uid="{F9A040A5-5913-4162-B720-80A37A7227B3}"/>
    <cellStyle name="20% - Accent1 3" xfId="9" xr:uid="{7B1B4103-4529-42B2-8EF6-C52A4AD63F4D}"/>
    <cellStyle name="20% - Accent2 2" xfId="76" xr:uid="{D1D4C726-2672-4DD7-A189-66BDE0C7FB0D}"/>
    <cellStyle name="20% - Accent2 3" xfId="10" xr:uid="{D0DA67BB-0DE5-4310-BA59-203971C65314}"/>
    <cellStyle name="20% - Accent3 2" xfId="80" xr:uid="{AB742864-B7A5-4845-982F-9A7840EA9E22}"/>
    <cellStyle name="20% - Accent3 3" xfId="11" xr:uid="{A1978BA6-8DE2-419A-BDF4-DA27B7A150BC}"/>
    <cellStyle name="20% - Accent4 2" xfId="84" xr:uid="{FD0B3528-4801-4FE8-BF26-E6935F9ACFC4}"/>
    <cellStyle name="20% - Accent4 3" xfId="12" xr:uid="{9138516D-E1B5-4F07-A8F4-B6DAF759010B}"/>
    <cellStyle name="20% - Accent5 2" xfId="88" xr:uid="{906E8C90-AA2A-43C5-9000-1430B56A0960}"/>
    <cellStyle name="20% - Accent5 3" xfId="13" xr:uid="{48FEEE62-8746-40DD-A815-43BA1B0B40EE}"/>
    <cellStyle name="20% - Accent6 2" xfId="92" xr:uid="{59BC35F9-8CB5-48D7-89A3-2D88D1A4C4E2}"/>
    <cellStyle name="20% - Accent6 3" xfId="14" xr:uid="{4582A141-C7FB-4076-9A5A-449F3834EF21}"/>
    <cellStyle name="40% - Accent1 2" xfId="73" xr:uid="{A0C81D4B-C739-4E8A-8166-393ABC9251F1}"/>
    <cellStyle name="40% - Accent1 3" xfId="15" xr:uid="{2BFF0E16-F48E-4DE7-B2AC-6A7C8A1FCAFC}"/>
    <cellStyle name="40% - Accent2 2" xfId="77" xr:uid="{6B96760D-0D88-47FD-B127-F7BDD279A243}"/>
    <cellStyle name="40% - Accent2 3" xfId="16" xr:uid="{F0E96E0D-AB55-4990-9C15-31DE94548C1E}"/>
    <cellStyle name="40% - Accent3 2" xfId="81" xr:uid="{49CFCD61-1716-49E7-8A49-F0B0DCE360BA}"/>
    <cellStyle name="40% - Accent3 3" xfId="17" xr:uid="{1D092DF8-DF8E-4D81-9968-2F0538DC6E93}"/>
    <cellStyle name="40% - Accent4 2" xfId="85" xr:uid="{D00C696D-F1E1-4603-A819-F86FF5BEBED6}"/>
    <cellStyle name="40% - Accent4 3" xfId="18" xr:uid="{C21087CA-9B48-4494-A7D5-768D19F03387}"/>
    <cellStyle name="40% - Accent5 2" xfId="89" xr:uid="{5BF80D19-3960-40EB-9011-E0F191E8683E}"/>
    <cellStyle name="40% - Accent5 3" xfId="19" xr:uid="{1484B3E3-FA15-40A6-8F95-964D3F591827}"/>
    <cellStyle name="40% - Accent6 2" xfId="93" xr:uid="{FE569AB8-7808-4519-AA51-EA04DBCDB4FA}"/>
    <cellStyle name="40% - Accent6 3" xfId="20" xr:uid="{E25E9D91-FCBB-4629-8F04-90E88F9B0CD4}"/>
    <cellStyle name="60% - Accent1 2" xfId="74" xr:uid="{2F2DD733-0504-41EA-8E92-A5FE66AA1D2D}"/>
    <cellStyle name="60% - Accent1 3" xfId="21" xr:uid="{E43D3BF5-8150-4754-8A13-F97D03010DED}"/>
    <cellStyle name="60% - Accent2 2" xfId="78" xr:uid="{9A8C9D20-33C6-4C60-8770-B5D56A36849A}"/>
    <cellStyle name="60% - Accent2 3" xfId="22" xr:uid="{724941A5-5831-428C-A5B9-1EBA89CE4B1F}"/>
    <cellStyle name="60% - Accent3 2" xfId="82" xr:uid="{2F400662-EFF1-4066-840D-ECC2B34B6607}"/>
    <cellStyle name="60% - Accent3 3" xfId="23" xr:uid="{1B96BE99-ABCA-4B82-8484-E2007724E653}"/>
    <cellStyle name="60% - Accent4 2" xfId="86" xr:uid="{40683E20-FE00-45A1-8078-BDDFCF41F718}"/>
    <cellStyle name="60% - Accent4 3" xfId="24" xr:uid="{7C60B315-F5A6-43C1-B18F-7DC62DC1D20A}"/>
    <cellStyle name="60% - Accent5 2" xfId="90" xr:uid="{85736E3F-B6A3-42CA-B2CF-AB0DDD20CEA0}"/>
    <cellStyle name="60% - Accent5 3" xfId="25" xr:uid="{802F56D6-2585-4A0D-A71B-E4D777362D3F}"/>
    <cellStyle name="60% - Accent6 2" xfId="94" xr:uid="{7C65D377-C8B1-41BA-9594-B380DDA33F46}"/>
    <cellStyle name="60% - Accent6 3" xfId="26" xr:uid="{37237529-5226-4010-9874-CCA34B5DB7BA}"/>
    <cellStyle name="Accent1 2" xfId="71" xr:uid="{854338E5-6023-464F-A667-ADC9868317BE}"/>
    <cellStyle name="Accent1 3" xfId="27" xr:uid="{BA335EB6-FC23-4BB6-821C-948A03739358}"/>
    <cellStyle name="Accent2 2" xfId="75" xr:uid="{81A955FC-C437-43D2-A05D-1FD8EC59653E}"/>
    <cellStyle name="Accent2 3" xfId="28" xr:uid="{ACD63FF2-2AC0-4933-83B9-E06550D4072B}"/>
    <cellStyle name="Accent3 2" xfId="79" xr:uid="{5F64CD3D-EBD9-4DF5-B9D7-4D6536B2DC9C}"/>
    <cellStyle name="Accent3 3" xfId="29" xr:uid="{1002AEA9-43F0-4E86-88A3-3BA03B97959B}"/>
    <cellStyle name="Accent4 2" xfId="83" xr:uid="{4A2B92CB-5620-420F-8D48-D0DBC1B8044A}"/>
    <cellStyle name="Accent4 3" xfId="30" xr:uid="{ABF8C71E-94E5-40ED-B0A0-0B1E916D4178}"/>
    <cellStyle name="Accent5 2" xfId="87" xr:uid="{D8F35278-8790-4829-BB6D-A4D349F24C5A}"/>
    <cellStyle name="Accent5 3" xfId="31" xr:uid="{AF7A47A5-B2C1-4F7D-B6F3-390F47F1B7FE}"/>
    <cellStyle name="Accent6 2" xfId="91" xr:uid="{1889BA4C-1656-4515-BDE8-93DD42A8409C}"/>
    <cellStyle name="Accent6 3" xfId="32" xr:uid="{4211D181-A79F-49FA-A61A-7175C608B602}"/>
    <cellStyle name="Bad 2" xfId="60" xr:uid="{62DED261-6197-4623-A74F-53194927F28E}"/>
    <cellStyle name="Bad 3" xfId="33" xr:uid="{E224A1E3-D99F-4558-B45F-055C695470DB}"/>
    <cellStyle name="Calculation 2" xfId="64" xr:uid="{AE2A3F0A-9C83-4B46-915A-025AE1548D9D}"/>
    <cellStyle name="Calculation 3" xfId="34" xr:uid="{2F064D22-AEAD-4CD1-BB9E-BA26BB31121A}"/>
    <cellStyle name="Check Cell 2" xfId="66" xr:uid="{9E086A95-2982-4F8A-B251-D6D5FF87738F}"/>
    <cellStyle name="Check Cell 3" xfId="35" xr:uid="{A581DC3E-AF53-4B77-8D9D-11A66A0D9F7A}"/>
    <cellStyle name="Comma" xfId="175" builtinId="3"/>
    <cellStyle name="Comma 2" xfId="5" xr:uid="{96FF78F5-7CCA-429E-9445-6860299FF817}"/>
    <cellStyle name="Comma 2 2" xfId="96" xr:uid="{2879E106-C1E3-4AB8-B984-0977D48A18DA}"/>
    <cellStyle name="Comma 2 3" xfId="171" xr:uid="{F8A28FEB-C29D-4CE4-83F8-017BBC7E1BFF}"/>
    <cellStyle name="Comma 3" xfId="99" xr:uid="{B6088168-16C0-47BB-A997-A78B08E85EC2}"/>
    <cellStyle name="Comma 3 2" xfId="129" xr:uid="{D5A1A822-EF10-4E93-9B4B-B957779E7BE7}"/>
    <cellStyle name="Comma 3 2 2" xfId="133" xr:uid="{1EFBCF96-8C66-4629-B5B4-A89C1484AA18}"/>
    <cellStyle name="Comma 4" xfId="104" xr:uid="{6B139352-4148-41DD-B21B-D253EB12EDED}"/>
    <cellStyle name="Comma 5" xfId="137" xr:uid="{4FBE9916-7E2A-4430-B4B0-7F2031C0DC1B}"/>
    <cellStyle name="Comma 6" xfId="140" xr:uid="{5EAB9BFA-940E-4FE9-A4DC-2F8D804D8BB6}"/>
    <cellStyle name="Comma 7" xfId="144" xr:uid="{04E8F28C-763B-4FF5-8BF2-A7CEF5B6612D}"/>
    <cellStyle name="Comma 7 2" xfId="150" xr:uid="{01305AEF-5563-4000-9A6C-945304C9F41E}"/>
    <cellStyle name="Comma 8" xfId="149" xr:uid="{DF2A281C-05C7-4ACF-A374-CDFDDA91D33B}"/>
    <cellStyle name="Comma 9" xfId="36" xr:uid="{E7D3726D-803E-4609-B5C0-56B60E4B311C}"/>
    <cellStyle name="Comma0" xfId="114" xr:uid="{E5219A96-E75F-4F6E-846E-BBE1EC405EE6}"/>
    <cellStyle name="Currency" xfId="1" builtinId="4"/>
    <cellStyle name="Currency 2" xfId="6" xr:uid="{6DD963D1-4F49-460B-8C6F-E0B8D2A4B61A}"/>
    <cellStyle name="Currency 2 2" xfId="139" xr:uid="{21F53489-C583-4940-A48A-4228C2F8B0BA}"/>
    <cellStyle name="Currency 2 3" xfId="103" xr:uid="{6A70DD53-FF8F-4B0F-9CB8-1145F641EB8C}"/>
    <cellStyle name="Currency 2 4" xfId="170" xr:uid="{D10201DE-54CB-42D1-9D12-3788B947947F}"/>
    <cellStyle name="Currency 3" xfId="131" xr:uid="{370EB0B5-C64B-4284-A70B-FA8CC9E65735}"/>
    <cellStyle name="Currency 3 2" xfId="173" xr:uid="{07F8530E-4AF3-4960-879C-634BB3EC8855}"/>
    <cellStyle name="Currency 4" xfId="136" xr:uid="{97BBB0E2-255E-403F-BDF5-5EB09BCD8F84}"/>
    <cellStyle name="Currency 5" xfId="143" xr:uid="{055C275C-2F64-4FAD-A160-AE80A00013D4}"/>
    <cellStyle name="Currency 6" xfId="37" xr:uid="{BA8E70B0-4E25-4E0A-8E56-C6C5115BDEC7}"/>
    <cellStyle name="Currency0" xfId="115" xr:uid="{83A3A893-42CF-4B46-9737-C6A8762CE6A0}"/>
    <cellStyle name="Date" xfId="116" xr:uid="{B3DFE421-03DB-490A-973A-3052E36F7155}"/>
    <cellStyle name="Explanatory Text 2" xfId="69" xr:uid="{C46371AC-FBCE-4807-8F7A-F679E37F89F4}"/>
    <cellStyle name="Explanatory Text 3" xfId="38" xr:uid="{0E905C60-CC4C-4744-B51F-558DACD8302C}"/>
    <cellStyle name="Fixed" xfId="117" xr:uid="{6786249C-9F59-4F9C-B866-F9994BB48FBF}"/>
    <cellStyle name="Good 2" xfId="59" xr:uid="{C50CDCD1-63FA-476E-B502-4F953836E9DA}"/>
    <cellStyle name="Good 3" xfId="39" xr:uid="{AB66A5C5-E96A-4FF4-BCA9-1980CF43DE16}"/>
    <cellStyle name="Grey" xfId="118" xr:uid="{395FB1BA-380D-434E-BEF8-7AC1BD99EFC5}"/>
    <cellStyle name="Heading 1 2" xfId="55" xr:uid="{F4FF4137-4778-45F2-BBB0-A0ED4012058E}"/>
    <cellStyle name="Heading 1 3" xfId="40" xr:uid="{8C8E3162-4466-4808-8D0E-EE9F93EE4C2B}"/>
    <cellStyle name="Heading 2 2" xfId="54" xr:uid="{B9C5BD42-AC46-4AC7-B48A-6F3DA6CA028A}"/>
    <cellStyle name="Heading 2 3" xfId="41" xr:uid="{B1437D71-A16C-488F-98FA-4464D10A2B85}"/>
    <cellStyle name="Heading 3 2" xfId="57" xr:uid="{937888B5-0FF9-49A9-A312-DEF4D5B96546}"/>
    <cellStyle name="Heading 3 3" xfId="42" xr:uid="{26289B19-79FF-48E2-92A6-ED16C56CD57C}"/>
    <cellStyle name="Heading 4 2" xfId="58" xr:uid="{CB4795D0-503A-4D45-9F93-7792DCC52798}"/>
    <cellStyle name="Heading 4 3" xfId="43" xr:uid="{7EF69CC2-79D2-4BD4-9825-1853764BEC22}"/>
    <cellStyle name="Input [yellow]" xfId="119" xr:uid="{61E2FCF9-B296-4D3D-876C-A112A46CD7C5}"/>
    <cellStyle name="Input 2" xfId="62" xr:uid="{897B6BD3-E7CA-4B00-888E-23898D8876AE}"/>
    <cellStyle name="Input 3" xfId="44" xr:uid="{A1419B9E-11C9-45A1-8E71-114BCE3F00B9}"/>
    <cellStyle name="Input 4" xfId="155" xr:uid="{B427F64C-34DB-4600-BB88-DE042EA6AA9A}"/>
    <cellStyle name="Input 5" xfId="162" xr:uid="{F8287E0B-7A5A-4496-85EE-416D228DEA67}"/>
    <cellStyle name="Input 6" xfId="153" xr:uid="{5F3FC0EF-CED0-44DE-838A-EE4BED76324B}"/>
    <cellStyle name="Input 7" xfId="165" xr:uid="{8D404342-D1B4-4F89-800E-C146403AED06}"/>
    <cellStyle name="Linked Cell 2" xfId="65" xr:uid="{8BF2A03C-386A-4EC7-A009-2187408485E5}"/>
    <cellStyle name="Linked Cell 3" xfId="45" xr:uid="{FA0D5DB5-1892-4557-B2FA-B6F1782E3650}"/>
    <cellStyle name="M" xfId="120" xr:uid="{857EED2D-F528-4673-802C-2C9B47757564}"/>
    <cellStyle name="M.00" xfId="121" xr:uid="{2B88456D-C3FA-4664-871E-5F96DDB9FEE5}"/>
    <cellStyle name="M_9. Rev2Cost_GDPIPI" xfId="122" xr:uid="{9AE880B9-BED1-4BE1-A0FD-D5271880EC63}"/>
    <cellStyle name="M_lists" xfId="123" xr:uid="{D11E9435-3900-42FC-8EE3-247B6B765843}"/>
    <cellStyle name="M_lists_4. Current Monthly Fixed Charge" xfId="124" xr:uid="{631C515F-898E-46B9-A045-5C8EF61EA2D0}"/>
    <cellStyle name="M_Sheet4" xfId="125" xr:uid="{BAC3C5FD-6546-466F-8C67-C963CB52FD38}"/>
    <cellStyle name="Neutral 2" xfId="61" xr:uid="{0F7803EE-51CE-40A1-A17A-D74D4F9B45EA}"/>
    <cellStyle name="Neutral 3" xfId="46" xr:uid="{2408F505-2D19-45B6-AA00-C779D4B1FAE4}"/>
    <cellStyle name="Normal" xfId="0" builtinId="0"/>
    <cellStyle name="Normal - Style1" xfId="126" xr:uid="{B586FAF6-DAF0-4D7C-94FC-C61FFD6B459C}"/>
    <cellStyle name="Normal 10" xfId="147" xr:uid="{E952B448-E2FF-4F14-8809-AD359802B2B2}"/>
    <cellStyle name="Normal 11" xfId="148" xr:uid="{7225953D-D611-4DA4-9A4B-D3DFE51F25B6}"/>
    <cellStyle name="Normal 12" xfId="151" xr:uid="{336A77E1-6B1D-41F0-BA2A-28E70D4438B6}"/>
    <cellStyle name="Normal 122 2" xfId="4" xr:uid="{13EF5C93-6BDB-4AAE-ABA2-B5F08075792F}"/>
    <cellStyle name="Normal 13" xfId="8" xr:uid="{1C9CB966-E6B9-43B1-85CD-51444EA05F2B}"/>
    <cellStyle name="Normal 14" xfId="49" xr:uid="{24DF811C-37D9-4B1C-9AFE-15B338F6CD90}"/>
    <cellStyle name="Normal 15" xfId="157" xr:uid="{F44F3B62-5774-46E6-BEE4-FD44BB4E56B7}"/>
    <cellStyle name="Normal 16" xfId="152" xr:uid="{7D6FFB60-817A-4C37-8EF1-C460148938A1}"/>
    <cellStyle name="Normal 17" xfId="160" xr:uid="{78A66FDE-684E-45EA-B003-8770EC1E7176}"/>
    <cellStyle name="Normal 18" xfId="154" xr:uid="{B1E5C6FE-B19D-4793-AD83-221FE52FFBD4}"/>
    <cellStyle name="Normal 19" xfId="164" xr:uid="{A95C1C38-25E9-4D26-8F2D-6CE5E11FD2D1}"/>
    <cellStyle name="Normal 2" xfId="3" xr:uid="{0A617BE9-95CF-4EF6-ACDB-00FD80C23337}"/>
    <cellStyle name="Normal 20" xfId="166" xr:uid="{2618F337-E8D8-480F-AC60-5B9B0AA3B892}"/>
    <cellStyle name="Normal 21" xfId="167" xr:uid="{16E896DC-184B-4EAF-A47D-332C8C4FBCF6}"/>
    <cellStyle name="Normal 3" xfId="56" xr:uid="{2B056AEB-8E53-4396-9BA5-DCFD3758FF22}"/>
    <cellStyle name="Normal 4" xfId="95" xr:uid="{94486F8F-4921-44F2-96AC-5D19E96B00F7}"/>
    <cellStyle name="Normal 4 2" xfId="142" xr:uid="{F314D08D-7672-4206-8BF9-EB11D8064DC8}"/>
    <cellStyle name="Normal 5" xfId="98" xr:uid="{F481504B-CB18-4296-B3DB-5F02BB569B95}"/>
    <cellStyle name="Normal 5 2" xfId="128" xr:uid="{4CFFCEF8-3405-4908-9628-944B903DC599}"/>
    <cellStyle name="Normal 5 2 2" xfId="132" xr:uid="{63962183-F5AA-454B-8B43-ADE1991DA706}"/>
    <cellStyle name="Normal 6" xfId="101" xr:uid="{6692808E-52A2-4543-8E48-5A1AEDEFFED5}"/>
    <cellStyle name="Normal 6 2" xfId="172" xr:uid="{1C835B09-9337-49E8-AF1E-93B8949A8565}"/>
    <cellStyle name="Normal 7" xfId="135" xr:uid="{DECBC89F-18D1-40F9-8B60-B8DC5F1A307C}"/>
    <cellStyle name="Normal 8" xfId="145" xr:uid="{2E78A8F5-3A0E-46AA-9419-E18DF4E64717}"/>
    <cellStyle name="Normal 9" xfId="146" xr:uid="{0772B4C4-E2FD-41DC-BC34-82B0416B46FF}"/>
    <cellStyle name="Note 2" xfId="68" xr:uid="{55A6468E-409E-4F70-9CAB-A4837B36AC7E}"/>
    <cellStyle name="Note 3" xfId="47" xr:uid="{EB493320-E506-425A-92D9-EE005DB56882}"/>
    <cellStyle name="Output 2" xfId="63" xr:uid="{D6B02702-CCCD-41E6-A9CD-A4805B5378EB}"/>
    <cellStyle name="Output 3" xfId="48" xr:uid="{38F0790A-387C-4973-9E52-2DDA1C319869}"/>
    <cellStyle name="Percent" xfId="2" builtinId="5"/>
    <cellStyle name="Percent [2]" xfId="127" xr:uid="{C69BB281-8644-4342-9187-F1CBE5A315DE}"/>
    <cellStyle name="Percent 10" xfId="163" xr:uid="{F93C178D-C793-4320-94A4-69D80CB5695B}"/>
    <cellStyle name="Percent 11" xfId="159" xr:uid="{F804E64F-5E97-44AB-999E-FB99FEE97F1C}"/>
    <cellStyle name="Percent 12" xfId="168" xr:uid="{AE9FEEA7-7AA9-4EA9-912C-EB4E460DC547}"/>
    <cellStyle name="Percent 13" xfId="169" xr:uid="{630FB5BC-C894-417C-8750-F8315C4BCA7A}"/>
    <cellStyle name="Percent 2" xfId="7" xr:uid="{C9B9BB6F-95F0-428A-BC06-1D44B3D91749}"/>
    <cellStyle name="Percent 2 2" xfId="97" xr:uid="{A4701986-1F50-4013-B10D-4A3694AA343A}"/>
    <cellStyle name="Percent 3" xfId="100" xr:uid="{1D1F6AA9-5E2F-48F9-BB83-D931CF4105F9}"/>
    <cellStyle name="Percent 3 2" xfId="130" xr:uid="{D060BF3E-3C19-4160-956F-10B043388FE6}"/>
    <cellStyle name="Percent 3 2 2" xfId="134" xr:uid="{96CEAAC7-D4FE-4640-8D28-433D7B11F617}"/>
    <cellStyle name="Percent 4" xfId="102" xr:uid="{8C66A5A1-4E67-4AE7-A8C9-CC8570D485D2}"/>
    <cellStyle name="Percent 4 2" xfId="174" xr:uid="{D06B65DA-DCF9-4B84-B498-5C4A7C64A828}"/>
    <cellStyle name="Percent 5" xfId="138" xr:uid="{227E057F-D786-4797-A52A-48E3442B9773}"/>
    <cellStyle name="Percent 6" xfId="141" xr:uid="{3B64C13B-0C47-4793-BD3F-D918E1214780}"/>
    <cellStyle name="Percent 7" xfId="156" xr:uid="{8F642487-5AB0-40D4-85E7-92A488E08AE9}"/>
    <cellStyle name="Percent 8" xfId="161" xr:uid="{2E086753-B4DC-4D33-990A-281C5548C606}"/>
    <cellStyle name="Percent 9" xfId="158" xr:uid="{6D460A6D-3695-4215-A946-3837BB3299A7}"/>
    <cellStyle name="Title 2" xfId="53" xr:uid="{EBD980ED-5E01-4F1A-A9E0-C7CDC4490596}"/>
    <cellStyle name="Title 3" xfId="50" xr:uid="{3501E150-39BC-4D1D-9358-D9F6D6849085}"/>
    <cellStyle name="Total 2" xfId="70" xr:uid="{91927036-11D4-422D-8550-7338A99DA72D}"/>
    <cellStyle name="Total 3" xfId="51" xr:uid="{22CDA42B-819B-43D3-B684-9CEF699BEA6C}"/>
    <cellStyle name="Warning Text 2" xfId="67" xr:uid="{F6098067-B352-4296-B548-0A99D669B424}"/>
    <cellStyle name="Warning Text 3" xfId="52" xr:uid="{7ACE3158-E712-4787-AB4D-E89B7916D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a Wang" id="{6175EAA8-ED15-429F-96A1-6C1CA47D8341}" userId="S::Wanghe@oeb.ca::fd933b8d-d781-42b7-b58f-cef8727a3115" providerId="AD"/>
  <person displayName="Jayna Sweeney" id="{D2D6A9AD-BAE9-4ADA-ADF9-5A0553F1AE73}" userId="S::jsweeney@essexpower.ca::2a0c20fd-05a6-455f-9395-ad8e2579040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1" dT="2024-09-10T16:03:16.32" personId="{6175EAA8-ED15-429F-96A1-6C1CA47D8341}" id="{B8A41D41-A0A4-4DB5-AB68-71A9D8D975A4}">
    <text xml:space="preserve">The calculation should reflect the accelerated CCA which is three times the legacy CCA rules. </text>
  </threadedComment>
  <threadedComment ref="G56" dT="2024-09-10T16:24:21.62" personId="{6175EAA8-ED15-429F-96A1-6C1CA47D8341}" id="{A556ABF8-8456-40AB-B15E-621127683AEE}">
    <text>Ending balance of this cell should be updated accordingly.</text>
  </threadedComment>
  <threadedComment ref="G56" dT="2024-09-17T16:50:20.48" personId="{D2D6A9AD-BAE9-4ADA-ADF9-5A0553F1AE73}" id="{7C180177-4B65-4908-B2E9-F7641832A1C2}" parentId="{A556ABF8-8456-40AB-B15E-621127683AEE}">
    <text>Updated</text>
  </threadedComment>
  <threadedComment ref="G59" dT="2024-09-10T16:24:30.10" personId="{6175EAA8-ED15-429F-96A1-6C1CA47D8341}" id="{592208B6-9814-4AD8-B539-24B3B6062DC8}">
    <text>Ending balance of this cell should be updated accordingly.</text>
  </threadedComment>
  <threadedComment ref="G59" dT="2024-09-17T16:50:26.57" personId="{D2D6A9AD-BAE9-4ADA-ADF9-5A0553F1AE73}" id="{1668A834-BB66-492E-9FED-F2632EE72D54}" parentId="{592208B6-9814-4AD8-B539-24B3B6062DC8}">
    <text>updated</text>
  </threadedComment>
  <threadedComment ref="G62" dT="2024-09-10T16:24:34.60" personId="{6175EAA8-ED15-429F-96A1-6C1CA47D8341}" id="{5BF97349-DC90-4E73-AF0F-06119B0A4B43}">
    <text>Ending balance of this cell should be updated accordingly.</text>
  </threadedComment>
  <threadedComment ref="G62" dT="2024-09-17T16:50:31.66" personId="{D2D6A9AD-BAE9-4ADA-ADF9-5A0553F1AE73}" id="{D36224B9-3B27-40C4-A597-BA0DD82DE1B3}" parentId="{5BF97349-DC90-4E73-AF0F-06119B0A4B43}">
    <text>updated</text>
  </threadedComment>
  <threadedComment ref="F65" dT="2024-09-10T16:11:34.53" personId="{6175EAA8-ED15-429F-96A1-6C1CA47D8341}" id="{339361F0-76AC-4B72-AB02-309B3A8568C6}">
    <text>F65 should be the sum of E65 and F64. Similar formula errors are noted in F56, G56, F59, G59, F62 and G62.</text>
  </threadedComment>
  <threadedComment ref="G65" dT="2024-09-10T16:10:54.59" personId="{6175EAA8-ED15-429F-96A1-6C1CA47D8341}" id="{6B56F6C8-AF0E-429C-B793-23A527D7B8CF}">
    <text>G65 should be the sum of F65 and G64. Therefore, the ending balance of the carrying charges should be updated accordingly.</text>
  </threadedComment>
  <threadedComment ref="G65" dT="2024-09-17T16:50:44.59" personId="{D2D6A9AD-BAE9-4ADA-ADF9-5A0553F1AE73}" id="{24233024-658A-45E6-BED7-71A6AA60B2B1}" parentId="{6B56F6C8-AF0E-429C-B793-23A527D7B8CF}">
    <text>updated</text>
  </threadedComment>
  <threadedComment ref="G69" dT="2024-09-10T16:24:38.28" personId="{6175EAA8-ED15-429F-96A1-6C1CA47D8341}" id="{FD7DF70D-63A3-4C75-BE53-82B2C4F3C021}">
    <text>Ending balance of this cell should be updated accordingly.</text>
  </threadedComment>
  <threadedComment ref="G69" dT="2024-09-17T16:51:08.83" personId="{D2D6A9AD-BAE9-4ADA-ADF9-5A0553F1AE73}" id="{FC08335D-ADBE-498E-B17E-20B0A0476BF5}" parentId="{FD7DF70D-63A3-4C75-BE53-82B2C4F3C021}">
    <text>Corrected</text>
  </threadedComment>
  <threadedComment ref="G70" dT="2024-09-10T16:24:41.92" personId="{6175EAA8-ED15-429F-96A1-6C1CA47D8341}" id="{82937BAA-3F10-4B16-BC75-0DD3AB302180}">
    <text>Ending balance of this cell should be updated accordingly.</text>
  </threadedComment>
  <threadedComment ref="G70" dT="2024-09-17T16:51:14.49" personId="{D2D6A9AD-BAE9-4ADA-ADF9-5A0553F1AE73}" id="{42E36788-DADE-4DF9-A266-4709CE23CBE4}" parentId="{82937BAA-3F10-4B16-BC75-0DD3AB302180}">
    <text>corrected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F6A2-D1C1-417A-8671-32C99A6C9ED6}">
  <dimension ref="A1:Q78"/>
  <sheetViews>
    <sheetView showGridLines="0" tabSelected="1" topLeftCell="A54" zoomScale="80" zoomScaleNormal="80" workbookViewId="0">
      <selection activeCell="A72" sqref="A72:F78"/>
    </sheetView>
  </sheetViews>
  <sheetFormatPr defaultRowHeight="14.5" x14ac:dyDescent="0.35"/>
  <cols>
    <col min="1" max="1" width="41.1796875" bestFit="1" customWidth="1"/>
    <col min="2" max="7" width="12.54296875" customWidth="1"/>
    <col min="8" max="8" width="9.453125" customWidth="1"/>
    <col min="9" max="9" width="24.26953125" style="43" customWidth="1"/>
    <col min="10" max="10" width="54.1796875" bestFit="1" customWidth="1"/>
    <col min="11" max="14" width="10" bestFit="1" customWidth="1"/>
  </cols>
  <sheetData>
    <row r="1" spans="1:17" ht="15" thickBot="1" x14ac:dyDescent="0.4">
      <c r="H1" s="5"/>
    </row>
    <row r="2" spans="1:17" x14ac:dyDescent="0.35">
      <c r="A2" s="11" t="s">
        <v>0</v>
      </c>
      <c r="B2" s="12">
        <v>2024</v>
      </c>
      <c r="C2" s="12">
        <v>2025</v>
      </c>
      <c r="D2" s="12">
        <v>2026</v>
      </c>
      <c r="E2" s="12">
        <v>2027</v>
      </c>
      <c r="F2" s="12">
        <v>2028</v>
      </c>
      <c r="G2" s="13">
        <v>2029</v>
      </c>
      <c r="I2" s="99"/>
      <c r="J2" s="125"/>
      <c r="K2" s="17"/>
    </row>
    <row r="3" spans="1:17" x14ac:dyDescent="0.35">
      <c r="A3" s="14" t="s">
        <v>1</v>
      </c>
      <c r="B3" s="6">
        <v>0</v>
      </c>
      <c r="C3" s="3">
        <f>B5</f>
        <v>700000</v>
      </c>
      <c r="D3" s="3">
        <f>C5</f>
        <v>1083621</v>
      </c>
      <c r="E3" s="3">
        <f t="shared" ref="E3:G3" si="0">D5</f>
        <v>1852047</v>
      </c>
      <c r="F3" s="3">
        <f t="shared" si="0"/>
        <v>2735913</v>
      </c>
      <c r="G3" s="26">
        <f t="shared" si="0"/>
        <v>2735913</v>
      </c>
      <c r="I3" s="126" t="s">
        <v>2</v>
      </c>
      <c r="J3" s="43"/>
      <c r="K3" s="51"/>
    </row>
    <row r="4" spans="1:17" x14ac:dyDescent="0.35">
      <c r="A4" s="14" t="s">
        <v>3</v>
      </c>
      <c r="B4" s="6">
        <v>700000</v>
      </c>
      <c r="C4" s="6">
        <v>383621</v>
      </c>
      <c r="D4" s="3">
        <v>768426</v>
      </c>
      <c r="E4" s="3">
        <v>883866</v>
      </c>
      <c r="F4" s="3">
        <v>0</v>
      </c>
      <c r="G4" s="26">
        <v>0</v>
      </c>
      <c r="I4" s="18" t="s">
        <v>4</v>
      </c>
      <c r="J4" s="121">
        <v>50</v>
      </c>
      <c r="K4" s="51"/>
    </row>
    <row r="5" spans="1:17" x14ac:dyDescent="0.35">
      <c r="A5" s="28" t="s">
        <v>5</v>
      </c>
      <c r="B5" s="7">
        <f>B3+B4</f>
        <v>700000</v>
      </c>
      <c r="C5" s="7">
        <f t="shared" ref="C5:G5" si="1">C3+C4</f>
        <v>1083621</v>
      </c>
      <c r="D5" s="7">
        <f t="shared" si="1"/>
        <v>1852047</v>
      </c>
      <c r="E5" s="7">
        <f t="shared" si="1"/>
        <v>2735913</v>
      </c>
      <c r="F5" s="7">
        <f t="shared" si="1"/>
        <v>2735913</v>
      </c>
      <c r="G5" s="48">
        <f t="shared" si="1"/>
        <v>2735913</v>
      </c>
      <c r="I5" s="18" t="s">
        <v>6</v>
      </c>
      <c r="J5" s="122">
        <v>0.08</v>
      </c>
      <c r="K5" s="51"/>
    </row>
    <row r="6" spans="1:17" x14ac:dyDescent="0.35">
      <c r="A6" s="14" t="s">
        <v>7</v>
      </c>
      <c r="B6" s="6">
        <f t="shared" ref="B6:G6" si="2">(B3+B5)/2</f>
        <v>350000</v>
      </c>
      <c r="C6" s="6">
        <f>(C3+C5)/2</f>
        <v>891810.5</v>
      </c>
      <c r="D6" s="3">
        <f t="shared" si="2"/>
        <v>1467834</v>
      </c>
      <c r="E6" s="3">
        <f t="shared" si="2"/>
        <v>2293980</v>
      </c>
      <c r="F6" s="3">
        <f t="shared" si="2"/>
        <v>2735913</v>
      </c>
      <c r="G6" s="26">
        <f t="shared" si="2"/>
        <v>2735913</v>
      </c>
      <c r="I6" s="18" t="s">
        <v>8</v>
      </c>
      <c r="J6" s="43" t="s">
        <v>9</v>
      </c>
      <c r="K6" s="51"/>
    </row>
    <row r="7" spans="1:17" x14ac:dyDescent="0.35">
      <c r="A7" s="14"/>
      <c r="B7" s="6"/>
      <c r="C7" s="6"/>
      <c r="D7" s="3"/>
      <c r="E7" s="3"/>
      <c r="F7" s="3"/>
      <c r="G7" s="26"/>
      <c r="I7" s="18" t="s">
        <v>10</v>
      </c>
      <c r="J7" s="43" t="s">
        <v>11</v>
      </c>
      <c r="K7" s="51"/>
    </row>
    <row r="8" spans="1:17" x14ac:dyDescent="0.35">
      <c r="A8" s="14" t="s">
        <v>12</v>
      </c>
      <c r="B8" s="6">
        <v>0</v>
      </c>
      <c r="C8" s="6">
        <f>B10</f>
        <v>7000</v>
      </c>
      <c r="D8" s="3">
        <f>C10</f>
        <v>24836.21</v>
      </c>
      <c r="E8" s="3">
        <f t="shared" ref="E8" si="3">D10</f>
        <v>54192.89</v>
      </c>
      <c r="F8" s="3">
        <f t="shared" ref="F8" si="4">E10</f>
        <v>100072.49</v>
      </c>
      <c r="G8" s="26">
        <f t="shared" ref="G8" si="5">F10</f>
        <v>154790.75</v>
      </c>
      <c r="I8" s="18"/>
      <c r="J8" s="123" t="s">
        <v>13</v>
      </c>
      <c r="K8" s="51"/>
    </row>
    <row r="9" spans="1:17" x14ac:dyDescent="0.35">
      <c r="A9" s="14" t="s">
        <v>14</v>
      </c>
      <c r="B9" s="6">
        <f>(B4/2)/$J$4</f>
        <v>7000</v>
      </c>
      <c r="C9" s="6">
        <f>B9+(B4/2)/$J$4+(C4/2)/$J$4</f>
        <v>17836.21</v>
      </c>
      <c r="D9" s="6">
        <f>C9+(C4/2)/$J$4+(D4/2)/$J$4</f>
        <v>29356.68</v>
      </c>
      <c r="E9" s="6">
        <f>D9+(D4/2)/$J$4+(E4/2)/$J$4</f>
        <v>45879.600000000006</v>
      </c>
      <c r="F9" s="6">
        <f t="shared" ref="F9:G9" si="6">E9+(E4/2)/$J$4+(F4/2)/$J$4</f>
        <v>54718.260000000009</v>
      </c>
      <c r="G9" s="25">
        <f t="shared" si="6"/>
        <v>54718.260000000009</v>
      </c>
      <c r="I9" s="18"/>
      <c r="J9" s="123" t="s">
        <v>15</v>
      </c>
      <c r="K9" s="51"/>
    </row>
    <row r="10" spans="1:17" x14ac:dyDescent="0.35">
      <c r="A10" s="28" t="s">
        <v>16</v>
      </c>
      <c r="B10" s="7">
        <f>B8+B9</f>
        <v>7000</v>
      </c>
      <c r="C10" s="7">
        <f>C8+C9</f>
        <v>24836.21</v>
      </c>
      <c r="D10" s="2">
        <f t="shared" ref="D10:G10" si="7">D8+D9</f>
        <v>54192.89</v>
      </c>
      <c r="E10" s="2">
        <f t="shared" si="7"/>
        <v>100072.49</v>
      </c>
      <c r="F10" s="2">
        <f t="shared" si="7"/>
        <v>154790.75</v>
      </c>
      <c r="G10" s="31">
        <f t="shared" si="7"/>
        <v>209509.01</v>
      </c>
      <c r="I10" s="18" t="s">
        <v>88</v>
      </c>
      <c r="K10" s="51"/>
      <c r="L10" s="119"/>
      <c r="M10" s="119"/>
      <c r="N10" s="119"/>
      <c r="O10" s="119"/>
    </row>
    <row r="11" spans="1:17" x14ac:dyDescent="0.35">
      <c r="A11" s="14" t="s">
        <v>17</v>
      </c>
      <c r="B11" s="6">
        <f t="shared" ref="B11:G11" si="8">(B8+B10)/2</f>
        <v>3500</v>
      </c>
      <c r="C11" s="6">
        <f t="shared" si="8"/>
        <v>15918.105</v>
      </c>
      <c r="D11" s="3">
        <f t="shared" si="8"/>
        <v>39514.550000000003</v>
      </c>
      <c r="E11" s="3">
        <f t="shared" si="8"/>
        <v>77132.69</v>
      </c>
      <c r="F11" s="3">
        <f t="shared" si="8"/>
        <v>127431.62</v>
      </c>
      <c r="G11" s="26">
        <f t="shared" si="8"/>
        <v>182149.88</v>
      </c>
      <c r="I11" s="18" t="s">
        <v>89</v>
      </c>
      <c r="J11" s="124">
        <v>5.1999999999999998E-2</v>
      </c>
      <c r="K11" s="51"/>
    </row>
    <row r="12" spans="1:17" ht="15" thickBot="1" x14ac:dyDescent="0.4">
      <c r="A12" s="28"/>
      <c r="B12" s="7"/>
      <c r="C12" s="7"/>
      <c r="D12" s="2"/>
      <c r="E12" s="2"/>
      <c r="F12" s="2"/>
      <c r="G12" s="31"/>
      <c r="I12" s="24"/>
      <c r="J12" s="127"/>
      <c r="K12" s="128"/>
    </row>
    <row r="13" spans="1:17" ht="15" thickBot="1" x14ac:dyDescent="0.4">
      <c r="A13" s="35" t="s">
        <v>18</v>
      </c>
      <c r="B13" s="36">
        <f>B6-B11</f>
        <v>346500</v>
      </c>
      <c r="C13" s="36">
        <f t="shared" ref="C13:G13" si="9">C6-C11</f>
        <v>875892.39500000002</v>
      </c>
      <c r="D13" s="36">
        <f t="shared" si="9"/>
        <v>1428319.45</v>
      </c>
      <c r="E13" s="36">
        <f t="shared" si="9"/>
        <v>2216847.31</v>
      </c>
      <c r="F13" s="36">
        <f t="shared" si="9"/>
        <v>2608481.38</v>
      </c>
      <c r="G13" s="37">
        <f t="shared" si="9"/>
        <v>2553763.12</v>
      </c>
      <c r="I13"/>
      <c r="J13" s="43"/>
    </row>
    <row r="14" spans="1:17" ht="15" thickBot="1" x14ac:dyDescent="0.4">
      <c r="B14" s="1"/>
      <c r="C14" s="1"/>
      <c r="D14" s="1"/>
      <c r="E14" s="1"/>
      <c r="F14" s="1"/>
      <c r="G14" s="1"/>
      <c r="I14"/>
      <c r="J14" s="43"/>
      <c r="P14" s="119"/>
      <c r="Q14" s="119"/>
    </row>
    <row r="15" spans="1:17" x14ac:dyDescent="0.35">
      <c r="A15" s="11" t="s">
        <v>19</v>
      </c>
      <c r="B15" s="16"/>
      <c r="C15" s="16"/>
      <c r="D15" s="16"/>
      <c r="E15" s="16"/>
      <c r="F15" s="16"/>
      <c r="G15" s="17"/>
      <c r="I15"/>
      <c r="J15" s="43"/>
    </row>
    <row r="16" spans="1:17" x14ac:dyDescent="0.35">
      <c r="A16" s="18" t="s">
        <v>20</v>
      </c>
      <c r="B16" s="1">
        <f>B13*0.4</f>
        <v>138600</v>
      </c>
      <c r="C16" s="1">
        <f>C13*0.4</f>
        <v>350356.95800000004</v>
      </c>
      <c r="D16" s="1">
        <f t="shared" ref="D16:G16" si="10">D13*0.4</f>
        <v>571327.78</v>
      </c>
      <c r="E16" s="1">
        <f t="shared" si="10"/>
        <v>886738.92400000012</v>
      </c>
      <c r="F16" s="1">
        <f t="shared" si="10"/>
        <v>1043392.552</v>
      </c>
      <c r="G16" s="15">
        <f t="shared" si="10"/>
        <v>1021505.2480000001</v>
      </c>
    </row>
    <row r="17" spans="1:10" x14ac:dyDescent="0.35">
      <c r="A17" s="19" t="s">
        <v>21</v>
      </c>
      <c r="B17" s="8">
        <v>9.2100000000000001E-2</v>
      </c>
      <c r="C17" s="8">
        <f>B17</f>
        <v>9.2100000000000001E-2</v>
      </c>
      <c r="D17" s="9">
        <f>C17</f>
        <v>9.2100000000000001E-2</v>
      </c>
      <c r="E17" s="9">
        <f t="shared" ref="E17" si="11">D17</f>
        <v>9.2100000000000001E-2</v>
      </c>
      <c r="F17" s="9">
        <f>D17</f>
        <v>9.2100000000000001E-2</v>
      </c>
      <c r="G17" s="20">
        <f>E17</f>
        <v>9.2100000000000001E-2</v>
      </c>
      <c r="I17"/>
      <c r="J17" s="43"/>
    </row>
    <row r="18" spans="1:10" x14ac:dyDescent="0.35">
      <c r="A18" s="18" t="s">
        <v>22</v>
      </c>
      <c r="B18" s="1">
        <f t="shared" ref="B18:G18" si="12">B16*B17</f>
        <v>12765.06</v>
      </c>
      <c r="C18" s="1">
        <f t="shared" si="12"/>
        <v>32267.875831800004</v>
      </c>
      <c r="D18" s="1">
        <f t="shared" si="12"/>
        <v>52619.288538000001</v>
      </c>
      <c r="E18" s="1">
        <f t="shared" si="12"/>
        <v>81668.654900400012</v>
      </c>
      <c r="F18" s="1">
        <f t="shared" si="12"/>
        <v>96096.454039200005</v>
      </c>
      <c r="G18" s="15">
        <f t="shared" si="12"/>
        <v>94080.633340800021</v>
      </c>
      <c r="I18"/>
      <c r="J18" s="43"/>
    </row>
    <row r="19" spans="1:10" x14ac:dyDescent="0.35">
      <c r="A19" s="18"/>
      <c r="G19" s="51"/>
      <c r="I19"/>
      <c r="J19" s="43"/>
    </row>
    <row r="20" spans="1:10" x14ac:dyDescent="0.35">
      <c r="A20" s="18" t="s">
        <v>23</v>
      </c>
      <c r="B20" s="1">
        <f>B13*0.56</f>
        <v>194040.00000000003</v>
      </c>
      <c r="C20" s="1">
        <f>C13*0.56</f>
        <v>490499.74120000005</v>
      </c>
      <c r="D20" s="1">
        <f t="shared" ref="D20:F20" si="13">D13*0.56</f>
        <v>799858.89199999999</v>
      </c>
      <c r="E20" s="1">
        <f t="shared" si="13"/>
        <v>1241434.4936000002</v>
      </c>
      <c r="F20" s="1">
        <f t="shared" si="13"/>
        <v>1460749.5728</v>
      </c>
      <c r="G20" s="15">
        <f t="shared" ref="G20" si="14">G13*0.56</f>
        <v>1430107.3472000002</v>
      </c>
      <c r="I20"/>
      <c r="J20" s="43"/>
    </row>
    <row r="21" spans="1:10" x14ac:dyDescent="0.35">
      <c r="A21" s="18" t="s">
        <v>24</v>
      </c>
      <c r="B21" s="1">
        <f>B13*0.04</f>
        <v>13860</v>
      </c>
      <c r="C21" s="1">
        <f>C13*0.04</f>
        <v>35035.695800000001</v>
      </c>
      <c r="D21" s="1">
        <f t="shared" ref="D21:F21" si="15">D13*0.04</f>
        <v>57132.777999999998</v>
      </c>
      <c r="E21" s="1">
        <f t="shared" si="15"/>
        <v>88673.892399999997</v>
      </c>
      <c r="F21" s="1">
        <f t="shared" si="15"/>
        <v>104339.2552</v>
      </c>
      <c r="G21" s="15">
        <f t="shared" ref="G21" si="16">G13*0.04</f>
        <v>102150.52480000001</v>
      </c>
      <c r="I21"/>
      <c r="J21" s="43"/>
    </row>
    <row r="22" spans="1:10" x14ac:dyDescent="0.35">
      <c r="A22" s="18" t="s">
        <v>25</v>
      </c>
      <c r="B22" s="21">
        <v>3.44E-2</v>
      </c>
      <c r="C22" s="21">
        <f>B22</f>
        <v>3.44E-2</v>
      </c>
      <c r="D22" s="22">
        <f>C22</f>
        <v>3.44E-2</v>
      </c>
      <c r="E22" s="22">
        <f t="shared" ref="E22:E23" si="17">D22</f>
        <v>3.44E-2</v>
      </c>
      <c r="F22" s="22">
        <f>D22</f>
        <v>3.44E-2</v>
      </c>
      <c r="G22" s="23">
        <f>E22</f>
        <v>3.44E-2</v>
      </c>
      <c r="I22"/>
      <c r="J22" s="43"/>
    </row>
    <row r="23" spans="1:10" x14ac:dyDescent="0.35">
      <c r="A23" s="19" t="s">
        <v>26</v>
      </c>
      <c r="B23" s="8">
        <v>6.2300000000000001E-2</v>
      </c>
      <c r="C23" s="8">
        <f>B23</f>
        <v>6.2300000000000001E-2</v>
      </c>
      <c r="D23" s="9">
        <f>C23</f>
        <v>6.2300000000000001E-2</v>
      </c>
      <c r="E23" s="9">
        <f t="shared" si="17"/>
        <v>6.2300000000000001E-2</v>
      </c>
      <c r="F23" s="9">
        <f>D23</f>
        <v>6.2300000000000001E-2</v>
      </c>
      <c r="G23" s="20">
        <f>E23</f>
        <v>6.2300000000000001E-2</v>
      </c>
      <c r="I23"/>
      <c r="J23" s="43"/>
    </row>
    <row r="24" spans="1:10" x14ac:dyDescent="0.35">
      <c r="A24" s="18" t="s">
        <v>27</v>
      </c>
      <c r="B24" s="1">
        <f>B20*B22+B21*B23</f>
        <v>7538.4540000000006</v>
      </c>
      <c r="C24" s="1">
        <f t="shared" ref="C24:G24" si="18">C20*C22+C21*C23</f>
        <v>19055.914945620003</v>
      </c>
      <c r="D24" s="1">
        <f t="shared" si="18"/>
        <v>31074.517954200001</v>
      </c>
      <c r="E24" s="1">
        <f t="shared" si="18"/>
        <v>48229.730076360007</v>
      </c>
      <c r="F24" s="1">
        <f t="shared" si="18"/>
        <v>56750.120903280003</v>
      </c>
      <c r="G24" s="15">
        <f t="shared" si="18"/>
        <v>55559.670438720001</v>
      </c>
      <c r="I24"/>
      <c r="J24" s="43"/>
    </row>
    <row r="25" spans="1:10" x14ac:dyDescent="0.35">
      <c r="A25" s="19"/>
      <c r="B25" s="29"/>
      <c r="C25" s="29"/>
      <c r="D25" s="29"/>
      <c r="E25" s="29"/>
      <c r="F25" s="29"/>
      <c r="G25" s="30"/>
      <c r="I25"/>
      <c r="J25" s="43"/>
    </row>
    <row r="26" spans="1:10" ht="15" thickBot="1" x14ac:dyDescent="0.4">
      <c r="A26" s="32" t="s">
        <v>19</v>
      </c>
      <c r="B26" s="33">
        <f>B24+B18</f>
        <v>20303.513999999999</v>
      </c>
      <c r="C26" s="33">
        <f>C24+C18</f>
        <v>51323.790777420007</v>
      </c>
      <c r="D26" s="33">
        <f t="shared" ref="D26:F26" si="19">D24+D18</f>
        <v>83693.806492200005</v>
      </c>
      <c r="E26" s="33">
        <f t="shared" si="19"/>
        <v>129898.38497676002</v>
      </c>
      <c r="F26" s="33">
        <f t="shared" si="19"/>
        <v>152846.57494248002</v>
      </c>
      <c r="G26" s="34">
        <f t="shared" ref="G26" si="20">G24+G18</f>
        <v>149640.30377952004</v>
      </c>
      <c r="I26"/>
      <c r="J26" s="43"/>
    </row>
    <row r="27" spans="1:10" ht="15" thickBot="1" x14ac:dyDescent="0.4">
      <c r="I27"/>
      <c r="J27" s="43"/>
    </row>
    <row r="28" spans="1:10" x14ac:dyDescent="0.35">
      <c r="A28" s="11" t="s">
        <v>28</v>
      </c>
      <c r="B28" s="16"/>
      <c r="C28" s="16"/>
      <c r="D28" s="16"/>
      <c r="E28" s="16"/>
      <c r="F28" s="16"/>
      <c r="G28" s="17"/>
      <c r="I28"/>
      <c r="J28" s="43"/>
    </row>
    <row r="29" spans="1:10" x14ac:dyDescent="0.35">
      <c r="A29" s="18" t="s">
        <v>29</v>
      </c>
      <c r="B29" s="1">
        <f>B18</f>
        <v>12765.06</v>
      </c>
      <c r="C29" s="1">
        <f>C18</f>
        <v>32267.875831800004</v>
      </c>
      <c r="D29" s="1">
        <f t="shared" ref="D29:G29" si="21">D18</f>
        <v>52619.288538000001</v>
      </c>
      <c r="E29" s="1">
        <f t="shared" si="21"/>
        <v>81668.654900400012</v>
      </c>
      <c r="F29" s="1">
        <f t="shared" ref="F29" si="22">F18</f>
        <v>96096.454039200005</v>
      </c>
      <c r="G29" s="15">
        <f t="shared" si="21"/>
        <v>94080.633340800021</v>
      </c>
      <c r="I29"/>
      <c r="J29" s="43"/>
    </row>
    <row r="30" spans="1:10" x14ac:dyDescent="0.35">
      <c r="A30" s="18" t="s">
        <v>30</v>
      </c>
      <c r="B30" s="6">
        <f>B9</f>
        <v>7000</v>
      </c>
      <c r="C30" s="6">
        <f>C9</f>
        <v>17836.21</v>
      </c>
      <c r="D30" s="6">
        <f t="shared" ref="D30:G30" si="23">D9</f>
        <v>29356.68</v>
      </c>
      <c r="E30" s="6">
        <f t="shared" si="23"/>
        <v>45879.600000000006</v>
      </c>
      <c r="F30" s="6">
        <f t="shared" ref="F30" si="24">F9</f>
        <v>54718.260000000009</v>
      </c>
      <c r="G30" s="25">
        <f t="shared" si="23"/>
        <v>54718.260000000009</v>
      </c>
      <c r="I30"/>
      <c r="J30" s="43"/>
    </row>
    <row r="31" spans="1:10" x14ac:dyDescent="0.35">
      <c r="A31" s="18" t="s">
        <v>31</v>
      </c>
      <c r="B31" s="132">
        <f>B4*0.5*J5*3</f>
        <v>84000</v>
      </c>
      <c r="C31" s="3">
        <f>C3*$J$5+((C4/2)*$J$5)*2</f>
        <v>86689.68</v>
      </c>
      <c r="D31" s="3">
        <f>D3*$J$5+((D4/2)*$J$5)*2</f>
        <v>148163.76</v>
      </c>
      <c r="E31" s="3">
        <f>E3*$J$5+((E4/2)*$J$5)*2</f>
        <v>218873.04</v>
      </c>
      <c r="F31" s="3">
        <f>F3*$J$5+((F4/2)*$J$5)*2</f>
        <v>218873.04</v>
      </c>
      <c r="G31" s="26">
        <f>G3*$J$5+((G4/2)*$J$5)*2</f>
        <v>218873.04</v>
      </c>
      <c r="I31"/>
      <c r="J31" s="43"/>
    </row>
    <row r="32" spans="1:10" x14ac:dyDescent="0.35">
      <c r="A32" s="18"/>
      <c r="B32" s="6"/>
      <c r="C32" s="6"/>
      <c r="D32" s="6"/>
      <c r="E32" s="6"/>
      <c r="F32" s="6"/>
      <c r="G32" s="25"/>
      <c r="I32"/>
      <c r="J32" s="43"/>
    </row>
    <row r="33" spans="1:10" x14ac:dyDescent="0.35">
      <c r="A33" s="18" t="s">
        <v>32</v>
      </c>
      <c r="B33" s="1">
        <f>B29+B30-B31</f>
        <v>-64234.94</v>
      </c>
      <c r="C33" s="1">
        <f>C29+C30-C31</f>
        <v>-36585.59416819999</v>
      </c>
      <c r="D33" s="1">
        <f t="shared" ref="D33:G33" si="25">D29+D30-D31</f>
        <v>-66187.791462000008</v>
      </c>
      <c r="E33" s="1">
        <f t="shared" si="25"/>
        <v>-91324.785099599991</v>
      </c>
      <c r="F33" s="1">
        <f t="shared" ref="F33" si="26">F29+F30-F31</f>
        <v>-68058.325960799993</v>
      </c>
      <c r="G33" s="15">
        <f t="shared" si="25"/>
        <v>-70074.146659199992</v>
      </c>
      <c r="H33" s="1"/>
      <c r="I33" s="120"/>
      <c r="J33" s="43"/>
    </row>
    <row r="34" spans="1:10" x14ac:dyDescent="0.35">
      <c r="A34" s="18"/>
      <c r="G34" s="51"/>
      <c r="I34"/>
      <c r="J34" s="43"/>
    </row>
    <row r="35" spans="1:10" x14ac:dyDescent="0.35">
      <c r="A35" s="19" t="s">
        <v>33</v>
      </c>
      <c r="B35" s="10">
        <f>B33*0.265</f>
        <v>-17022.259100000003</v>
      </c>
      <c r="C35" s="10">
        <f>C33*0.265</f>
        <v>-9695.1824545729978</v>
      </c>
      <c r="D35" s="10">
        <f t="shared" ref="D35:F35" si="27">D33*0.265</f>
        <v>-17539.764737430003</v>
      </c>
      <c r="E35" s="10">
        <f t="shared" si="27"/>
        <v>-24201.068051393999</v>
      </c>
      <c r="F35" s="10">
        <f t="shared" si="27"/>
        <v>-18035.456379611998</v>
      </c>
      <c r="G35" s="27">
        <f t="shared" ref="G35" si="28">G33*0.265</f>
        <v>-18569.648864687999</v>
      </c>
    </row>
    <row r="36" spans="1:10" ht="15" thickBot="1" x14ac:dyDescent="0.4">
      <c r="A36" s="32" t="s">
        <v>34</v>
      </c>
      <c r="B36" s="33">
        <f>B35/(1-0.265)</f>
        <v>-23159.536190476196</v>
      </c>
      <c r="C36" s="33">
        <f>C35/(1-0.265)</f>
        <v>-13190.724427990473</v>
      </c>
      <c r="D36" s="33">
        <f t="shared" ref="D36:F36" si="29">D35/(1-0.265)</f>
        <v>-23863.625493102045</v>
      </c>
      <c r="E36" s="33">
        <f t="shared" si="29"/>
        <v>-32926.623199175512</v>
      </c>
      <c r="F36" s="33">
        <f t="shared" si="29"/>
        <v>-24538.035890628569</v>
      </c>
      <c r="G36" s="34">
        <f t="shared" ref="G36" si="30">G35/(1-0.265)</f>
        <v>-25264.82838733061</v>
      </c>
    </row>
    <row r="38" spans="1:10" ht="15" thickBot="1" x14ac:dyDescent="0.4"/>
    <row r="39" spans="1:10" x14ac:dyDescent="0.35">
      <c r="A39" s="11" t="s">
        <v>35</v>
      </c>
      <c r="B39" s="61">
        <v>2024</v>
      </c>
      <c r="C39" s="61">
        <v>2025</v>
      </c>
      <c r="D39" s="61">
        <v>2026</v>
      </c>
      <c r="E39" s="61">
        <v>2027</v>
      </c>
      <c r="F39" s="61">
        <v>2028</v>
      </c>
      <c r="G39" s="62">
        <v>2029</v>
      </c>
    </row>
    <row r="40" spans="1:10" x14ac:dyDescent="0.35">
      <c r="A40" s="18" t="s">
        <v>36</v>
      </c>
      <c r="B40" s="3">
        <f t="shared" ref="B40:G40" si="31">B18+B24</f>
        <v>20303.513999999999</v>
      </c>
      <c r="C40" s="3">
        <f t="shared" si="31"/>
        <v>51323.790777420007</v>
      </c>
      <c r="D40" s="3">
        <f t="shared" si="31"/>
        <v>83693.806492200005</v>
      </c>
      <c r="E40" s="3">
        <f t="shared" si="31"/>
        <v>129898.38497676002</v>
      </c>
      <c r="F40" s="3">
        <f t="shared" si="31"/>
        <v>152846.57494248002</v>
      </c>
      <c r="G40" s="26">
        <f t="shared" si="31"/>
        <v>149640.30377952004</v>
      </c>
    </row>
    <row r="41" spans="1:10" x14ac:dyDescent="0.35">
      <c r="A41" s="18" t="s">
        <v>37</v>
      </c>
      <c r="B41" s="3">
        <f t="shared" ref="B41:G41" si="32">B9</f>
        <v>7000</v>
      </c>
      <c r="C41" s="3">
        <f t="shared" si="32"/>
        <v>17836.21</v>
      </c>
      <c r="D41" s="3">
        <f t="shared" si="32"/>
        <v>29356.68</v>
      </c>
      <c r="E41" s="3">
        <f t="shared" si="32"/>
        <v>45879.600000000006</v>
      </c>
      <c r="F41" s="3">
        <f t="shared" si="32"/>
        <v>54718.260000000009</v>
      </c>
      <c r="G41" s="26">
        <f t="shared" si="32"/>
        <v>54718.260000000009</v>
      </c>
    </row>
    <row r="42" spans="1:10" x14ac:dyDescent="0.35">
      <c r="A42" s="19" t="s">
        <v>38</v>
      </c>
      <c r="B42" s="2">
        <f>B36</f>
        <v>-23159.536190476196</v>
      </c>
      <c r="C42" s="2">
        <f>C36</f>
        <v>-13190.724427990473</v>
      </c>
      <c r="D42" s="2">
        <f t="shared" ref="D42:F42" si="33">D36</f>
        <v>-23863.625493102045</v>
      </c>
      <c r="E42" s="2">
        <f t="shared" si="33"/>
        <v>-32926.623199175512</v>
      </c>
      <c r="F42" s="2">
        <f t="shared" si="33"/>
        <v>-24538.035890628569</v>
      </c>
      <c r="G42" s="31">
        <f t="shared" ref="G42" si="34">G36</f>
        <v>-25264.82838733061</v>
      </c>
    </row>
    <row r="43" spans="1:10" x14ac:dyDescent="0.35">
      <c r="A43" s="63" t="s">
        <v>35</v>
      </c>
      <c r="B43" s="64">
        <f t="shared" ref="B43:G43" si="35">SUM(B40:B42)</f>
        <v>4143.9778095238034</v>
      </c>
      <c r="C43" s="64">
        <f t="shared" si="35"/>
        <v>55969.276349429536</v>
      </c>
      <c r="D43" s="64">
        <f t="shared" si="35"/>
        <v>89186.86099909796</v>
      </c>
      <c r="E43" s="64">
        <f t="shared" si="35"/>
        <v>142851.36177758451</v>
      </c>
      <c r="F43" s="64">
        <f t="shared" si="35"/>
        <v>183026.79905185144</v>
      </c>
      <c r="G43" s="65">
        <f t="shared" si="35"/>
        <v>179093.73539218944</v>
      </c>
      <c r="I43" s="98"/>
    </row>
    <row r="44" spans="1:10" ht="15" thickBot="1" x14ac:dyDescent="0.4">
      <c r="A44" s="24"/>
      <c r="B44" s="50"/>
      <c r="C44" s="38"/>
      <c r="D44" s="38"/>
      <c r="E44" s="39" t="s">
        <v>90</v>
      </c>
      <c r="F44" s="39"/>
      <c r="G44" s="40">
        <f>SUM(B43:G43)</f>
        <v>654272.01137967664</v>
      </c>
    </row>
    <row r="45" spans="1:10" ht="15" thickBot="1" x14ac:dyDescent="0.4"/>
    <row r="46" spans="1:10" x14ac:dyDescent="0.35">
      <c r="A46" s="99" t="s">
        <v>39</v>
      </c>
      <c r="B46" s="100">
        <f>B43</f>
        <v>4143.9778095238034</v>
      </c>
      <c r="C46" s="100">
        <f>B46+C43</f>
        <v>60113.254158953336</v>
      </c>
      <c r="D46" s="100">
        <f t="shared" ref="D46:E46" si="36">C46+D43</f>
        <v>149300.11515805131</v>
      </c>
      <c r="E46" s="100">
        <f t="shared" si="36"/>
        <v>292151.47693563579</v>
      </c>
      <c r="F46" s="100">
        <f>D46+F43</f>
        <v>332326.91420990275</v>
      </c>
      <c r="G46" s="101">
        <f>E46+G43</f>
        <v>471245.21232782525</v>
      </c>
    </row>
    <row r="47" spans="1:10" x14ac:dyDescent="0.35">
      <c r="A47" s="19" t="s">
        <v>40</v>
      </c>
      <c r="B47" s="10">
        <f>(B43/2)*J11</f>
        <v>107.74342304761889</v>
      </c>
      <c r="C47" s="10">
        <f>B46*$J$11+(C43/2)*$J$11</f>
        <v>1670.6880311804057</v>
      </c>
      <c r="D47" s="10">
        <f t="shared" ref="D47:F47" si="37">C46*$J$11+(D43/2)*$J$11</f>
        <v>5444.7476022421197</v>
      </c>
      <c r="E47" s="10">
        <f t="shared" si="37"/>
        <v>11477.741394435865</v>
      </c>
      <c r="F47" s="10">
        <f t="shared" si="37"/>
        <v>19950.573576001199</v>
      </c>
      <c r="G47" s="27">
        <f>F46*$J$11+(G43/2)*$J$11</f>
        <v>21937.436659111867</v>
      </c>
      <c r="H47" s="97"/>
    </row>
    <row r="48" spans="1:10" ht="15" thickBot="1" x14ac:dyDescent="0.4">
      <c r="A48" s="32" t="s">
        <v>41</v>
      </c>
      <c r="B48" s="33">
        <f>B46+B47</f>
        <v>4251.7212325714227</v>
      </c>
      <c r="C48" s="33">
        <f>SUM(C46:C47)</f>
        <v>61783.942190133741</v>
      </c>
      <c r="D48" s="33">
        <f t="shared" ref="D48:E48" si="38">SUM(D46:D47)</f>
        <v>154744.86276029344</v>
      </c>
      <c r="E48" s="33">
        <f t="shared" si="38"/>
        <v>303629.21833007166</v>
      </c>
      <c r="F48" s="33">
        <f>SUM(F46:F47)</f>
        <v>352277.48778590397</v>
      </c>
      <c r="G48" s="34">
        <f>SUM(G46:G47)</f>
        <v>493182.64898693713</v>
      </c>
    </row>
    <row r="50" spans="1:7" x14ac:dyDescent="0.35">
      <c r="A50" s="129" t="s">
        <v>92</v>
      </c>
      <c r="B50" s="115">
        <f>B39</f>
        <v>2024</v>
      </c>
      <c r="C50" s="115">
        <f t="shared" ref="C50:E50" si="39">C39</f>
        <v>2025</v>
      </c>
      <c r="D50" s="115">
        <f t="shared" si="39"/>
        <v>2026</v>
      </c>
      <c r="E50" s="115">
        <f t="shared" si="39"/>
        <v>2027</v>
      </c>
      <c r="F50" s="115">
        <f t="shared" ref="F50" si="40">F39</f>
        <v>2028</v>
      </c>
      <c r="G50" s="115">
        <v>2029</v>
      </c>
    </row>
    <row r="51" spans="1:7" x14ac:dyDescent="0.35">
      <c r="A51" s="116" t="s">
        <v>91</v>
      </c>
      <c r="B51" s="106"/>
      <c r="C51" s="106"/>
      <c r="D51" s="106"/>
      <c r="E51" s="106"/>
      <c r="F51" s="106"/>
      <c r="G51" s="107"/>
    </row>
    <row r="52" spans="1:7" x14ac:dyDescent="0.35">
      <c r="A52" s="117" t="s">
        <v>42</v>
      </c>
      <c r="B52" s="1">
        <f>B4</f>
        <v>700000</v>
      </c>
      <c r="C52" s="1">
        <f t="shared" ref="C52:G52" si="41">C4</f>
        <v>383621</v>
      </c>
      <c r="D52" s="1">
        <f t="shared" si="41"/>
        <v>768426</v>
      </c>
      <c r="E52" s="1">
        <f t="shared" si="41"/>
        <v>883866</v>
      </c>
      <c r="F52" s="1">
        <f t="shared" ref="F52" si="42">F4</f>
        <v>0</v>
      </c>
      <c r="G52" s="108">
        <f t="shared" si="41"/>
        <v>0</v>
      </c>
    </row>
    <row r="53" spans="1:7" x14ac:dyDescent="0.35">
      <c r="A53" s="118" t="s">
        <v>43</v>
      </c>
      <c r="B53" s="10">
        <f>B52</f>
        <v>700000</v>
      </c>
      <c r="C53" s="10">
        <f>B53+C52</f>
        <v>1083621</v>
      </c>
      <c r="D53" s="10">
        <f t="shared" ref="D53:F53" si="43">C53+D52</f>
        <v>1852047</v>
      </c>
      <c r="E53" s="10">
        <f t="shared" si="43"/>
        <v>2735913</v>
      </c>
      <c r="F53" s="10">
        <f t="shared" si="43"/>
        <v>2735913</v>
      </c>
      <c r="G53" s="109">
        <f>E53+G52</f>
        <v>2735913</v>
      </c>
    </row>
    <row r="54" spans="1:7" x14ac:dyDescent="0.35">
      <c r="A54" s="116" t="s">
        <v>93</v>
      </c>
      <c r="B54" s="106"/>
      <c r="C54" s="106"/>
      <c r="D54" s="106"/>
      <c r="E54" s="106"/>
      <c r="F54" s="106"/>
      <c r="G54" s="107"/>
    </row>
    <row r="55" spans="1:7" x14ac:dyDescent="0.35">
      <c r="A55" s="117" t="s">
        <v>42</v>
      </c>
      <c r="B55" s="1">
        <f>B41</f>
        <v>7000</v>
      </c>
      <c r="C55" s="1">
        <f t="shared" ref="C55:G55" si="44">C41</f>
        <v>17836.21</v>
      </c>
      <c r="D55" s="1">
        <f t="shared" si="44"/>
        <v>29356.68</v>
      </c>
      <c r="E55" s="1">
        <f t="shared" si="44"/>
        <v>45879.600000000006</v>
      </c>
      <c r="F55" s="1">
        <f t="shared" ref="F55" si="45">F41</f>
        <v>54718.260000000009</v>
      </c>
      <c r="G55" s="108">
        <f t="shared" si="44"/>
        <v>54718.260000000009</v>
      </c>
    </row>
    <row r="56" spans="1:7" x14ac:dyDescent="0.35">
      <c r="A56" s="118" t="s">
        <v>43</v>
      </c>
      <c r="B56" s="10">
        <f>B55</f>
        <v>7000</v>
      </c>
      <c r="C56" s="10">
        <f>B56+C55</f>
        <v>24836.21</v>
      </c>
      <c r="D56" s="10">
        <f t="shared" ref="D56:E56" si="46">C56+D55</f>
        <v>54192.89</v>
      </c>
      <c r="E56" s="10">
        <f t="shared" si="46"/>
        <v>100072.49</v>
      </c>
      <c r="F56" s="130">
        <f>+F55+E56</f>
        <v>154790.75</v>
      </c>
      <c r="G56" s="131">
        <f>+F56+G55</f>
        <v>209509.01</v>
      </c>
    </row>
    <row r="57" spans="1:7" x14ac:dyDescent="0.35">
      <c r="A57" s="116" t="s">
        <v>96</v>
      </c>
      <c r="B57" s="106"/>
      <c r="C57" s="106"/>
      <c r="D57" s="106"/>
      <c r="E57" s="106"/>
      <c r="F57" s="106"/>
      <c r="G57" s="107"/>
    </row>
    <row r="58" spans="1:7" x14ac:dyDescent="0.35">
      <c r="A58" s="117" t="s">
        <v>42</v>
      </c>
      <c r="B58" s="1">
        <f>B41</f>
        <v>7000</v>
      </c>
      <c r="C58" s="1">
        <f t="shared" ref="C58:G58" si="47">C41</f>
        <v>17836.21</v>
      </c>
      <c r="D58" s="1">
        <f t="shared" si="47"/>
        <v>29356.68</v>
      </c>
      <c r="E58" s="1">
        <f t="shared" si="47"/>
        <v>45879.600000000006</v>
      </c>
      <c r="F58" s="1">
        <f t="shared" ref="F58" si="48">F41</f>
        <v>54718.260000000009</v>
      </c>
      <c r="G58" s="108">
        <f t="shared" si="47"/>
        <v>54718.260000000009</v>
      </c>
    </row>
    <row r="59" spans="1:7" x14ac:dyDescent="0.35">
      <c r="A59" s="118" t="s">
        <v>43</v>
      </c>
      <c r="B59" s="10">
        <f>B58</f>
        <v>7000</v>
      </c>
      <c r="C59" s="10">
        <f>B59+C58</f>
        <v>24836.21</v>
      </c>
      <c r="D59" s="10">
        <f t="shared" ref="D59:E59" si="49">C59+D58</f>
        <v>54192.89</v>
      </c>
      <c r="E59" s="10">
        <f t="shared" si="49"/>
        <v>100072.49</v>
      </c>
      <c r="F59" s="130">
        <f t="shared" ref="F59" si="50">E59+F58</f>
        <v>154790.75</v>
      </c>
      <c r="G59" s="131">
        <f t="shared" ref="G59" si="51">F59+G58</f>
        <v>209509.01</v>
      </c>
    </row>
    <row r="60" spans="1:7" x14ac:dyDescent="0.35">
      <c r="A60" s="116" t="s">
        <v>94</v>
      </c>
      <c r="B60" s="106"/>
      <c r="C60" s="106"/>
      <c r="D60" s="106"/>
      <c r="E60" s="106"/>
      <c r="F60" s="106"/>
      <c r="G60" s="107"/>
    </row>
    <row r="61" spans="1:7" x14ac:dyDescent="0.35">
      <c r="A61" s="117" t="s">
        <v>42</v>
      </c>
      <c r="B61" s="1">
        <f>B40+B42</f>
        <v>-2856.0221904761966</v>
      </c>
      <c r="C61" s="1">
        <f t="shared" ref="C61:G61" si="52">C40+C42</f>
        <v>38133.06634942953</v>
      </c>
      <c r="D61" s="1">
        <f t="shared" si="52"/>
        <v>59830.18099909796</v>
      </c>
      <c r="E61" s="1">
        <f t="shared" si="52"/>
        <v>96971.761777584499</v>
      </c>
      <c r="F61" s="1">
        <f t="shared" ref="F61" si="53">F40+F42</f>
        <v>128308.53905185145</v>
      </c>
      <c r="G61" s="108">
        <f t="shared" si="52"/>
        <v>124375.47539218943</v>
      </c>
    </row>
    <row r="62" spans="1:7" x14ac:dyDescent="0.35">
      <c r="A62" s="118" t="s">
        <v>43</v>
      </c>
      <c r="B62" s="10">
        <f>B61</f>
        <v>-2856.0221904761966</v>
      </c>
      <c r="C62" s="10">
        <f>B62+C61</f>
        <v>35277.044158953329</v>
      </c>
      <c r="D62" s="10">
        <f t="shared" ref="D62:E62" si="54">C62+D61</f>
        <v>95107.225158051297</v>
      </c>
      <c r="E62" s="10">
        <f t="shared" si="54"/>
        <v>192078.9869356358</v>
      </c>
      <c r="F62" s="130">
        <f t="shared" ref="F62" si="55">E62+F61</f>
        <v>320387.52598748723</v>
      </c>
      <c r="G62" s="131">
        <f t="shared" ref="G62" si="56">F62+G61</f>
        <v>444763.00137967663</v>
      </c>
    </row>
    <row r="63" spans="1:7" x14ac:dyDescent="0.35">
      <c r="A63" s="116" t="s">
        <v>95</v>
      </c>
      <c r="B63" s="106"/>
      <c r="C63" s="106"/>
      <c r="D63" s="106"/>
      <c r="E63" s="106"/>
      <c r="F63" s="106"/>
      <c r="G63" s="107"/>
    </row>
    <row r="64" spans="1:7" x14ac:dyDescent="0.35">
      <c r="A64" s="117" t="s">
        <v>42</v>
      </c>
      <c r="B64" s="1">
        <f>B47</f>
        <v>107.74342304761889</v>
      </c>
      <c r="C64" s="1">
        <f>C47</f>
        <v>1670.6880311804057</v>
      </c>
      <c r="D64" s="1">
        <f t="shared" ref="D64:G64" si="57">D47</f>
        <v>5444.7476022421197</v>
      </c>
      <c r="E64" s="1">
        <f t="shared" si="57"/>
        <v>11477.741394435865</v>
      </c>
      <c r="F64" s="1">
        <f t="shared" ref="F64" si="58">F47</f>
        <v>19950.573576001199</v>
      </c>
      <c r="G64" s="108">
        <f t="shared" si="57"/>
        <v>21937.436659111867</v>
      </c>
    </row>
    <row r="65" spans="1:10" x14ac:dyDescent="0.35">
      <c r="A65" s="118" t="s">
        <v>43</v>
      </c>
      <c r="B65" s="10">
        <f>B64</f>
        <v>107.74342304761889</v>
      </c>
      <c r="C65" s="10">
        <f>B65+C64</f>
        <v>1778.4314542280247</v>
      </c>
      <c r="D65" s="10">
        <f t="shared" ref="D65:E65" si="59">C65+D64</f>
        <v>7223.1790564701441</v>
      </c>
      <c r="E65" s="10">
        <f t="shared" si="59"/>
        <v>18700.920450906007</v>
      </c>
      <c r="F65" s="130">
        <f t="shared" ref="F65" si="60">E65+F64</f>
        <v>38651.49402690721</v>
      </c>
      <c r="G65" s="131">
        <f t="shared" ref="G65" si="61">F65+G64</f>
        <v>60588.930686019077</v>
      </c>
    </row>
    <row r="66" spans="1:10" x14ac:dyDescent="0.35">
      <c r="A66" s="104"/>
      <c r="B66" s="1"/>
      <c r="C66" s="1"/>
      <c r="D66" s="1"/>
      <c r="E66" s="1"/>
      <c r="F66" s="1"/>
      <c r="G66" s="1"/>
      <c r="J66" s="137"/>
    </row>
    <row r="67" spans="1:10" x14ac:dyDescent="0.35">
      <c r="A67" s="105"/>
      <c r="B67" s="1"/>
      <c r="C67" s="110" t="s">
        <v>44</v>
      </c>
      <c r="D67" s="106"/>
      <c r="E67" s="111"/>
      <c r="F67" s="111"/>
      <c r="G67" s="107"/>
    </row>
    <row r="68" spans="1:10" x14ac:dyDescent="0.35">
      <c r="A68" s="104"/>
      <c r="B68" s="1"/>
      <c r="C68" s="112"/>
      <c r="D68" s="1"/>
      <c r="E68" s="104" t="s">
        <v>45</v>
      </c>
      <c r="F68" s="104"/>
      <c r="G68" s="108">
        <f>G53</f>
        <v>2735913</v>
      </c>
    </row>
    <row r="69" spans="1:10" x14ac:dyDescent="0.35">
      <c r="A69" s="104"/>
      <c r="B69" s="1"/>
      <c r="C69" s="112"/>
      <c r="D69" s="1"/>
      <c r="E69" s="104" t="s">
        <v>46</v>
      </c>
      <c r="F69" s="104"/>
      <c r="G69" s="133">
        <f>G59</f>
        <v>209509.01</v>
      </c>
    </row>
    <row r="70" spans="1:10" x14ac:dyDescent="0.35">
      <c r="A70" s="104"/>
      <c r="B70" s="1"/>
      <c r="C70" s="113"/>
      <c r="D70" s="10"/>
      <c r="E70" s="114" t="s">
        <v>47</v>
      </c>
      <c r="F70" s="114"/>
      <c r="G70" s="131">
        <f>G56+G62+G65</f>
        <v>714860.94206569577</v>
      </c>
    </row>
    <row r="72" spans="1:10" x14ac:dyDescent="0.35">
      <c r="A72" s="102"/>
      <c r="B72" s="103"/>
      <c r="C72" s="103"/>
      <c r="D72" s="103"/>
      <c r="E72" s="103"/>
      <c r="F72" s="103"/>
      <c r="G72" s="103"/>
    </row>
    <row r="73" spans="1:10" x14ac:dyDescent="0.35">
      <c r="C73" s="119"/>
      <c r="D73" s="119"/>
      <c r="E73" s="119"/>
    </row>
    <row r="74" spans="1:10" x14ac:dyDescent="0.35">
      <c r="C74" s="119"/>
      <c r="D74" s="119"/>
      <c r="E74" s="119"/>
    </row>
    <row r="75" spans="1:10" x14ac:dyDescent="0.35">
      <c r="C75" s="119"/>
      <c r="D75" s="119"/>
      <c r="E75" s="119"/>
    </row>
    <row r="76" spans="1:10" x14ac:dyDescent="0.35">
      <c r="C76" s="119"/>
      <c r="D76" s="119"/>
      <c r="E76" s="119"/>
    </row>
    <row r="77" spans="1:10" x14ac:dyDescent="0.35">
      <c r="C77" s="119"/>
      <c r="D77" s="119"/>
      <c r="E77" s="119"/>
    </row>
    <row r="78" spans="1:10" x14ac:dyDescent="0.35">
      <c r="C78" s="119"/>
      <c r="D78" s="119"/>
      <c r="E78" s="119"/>
    </row>
  </sheetData>
  <pageMargins left="0.7" right="0.7" top="0.75" bottom="0.75" header="0.3" footer="0.3"/>
  <pageSetup orientation="portrait" horizontalDpi="1200" verticalDpi="12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6766-FAF2-4453-97CA-AC171A28363D}">
  <dimension ref="A1:I56"/>
  <sheetViews>
    <sheetView showGridLines="0" topLeftCell="A43" workbookViewId="0">
      <selection activeCell="H13" sqref="H13"/>
    </sheetView>
  </sheetViews>
  <sheetFormatPr defaultRowHeight="14.5" x14ac:dyDescent="0.35"/>
  <cols>
    <col min="1" max="1" width="57" customWidth="1"/>
    <col min="2" max="6" width="12.54296875" customWidth="1"/>
    <col min="7" max="7" width="20.54296875" customWidth="1"/>
    <col min="8" max="8" width="19.81640625" style="43" customWidth="1"/>
    <col min="9" max="9" width="54.1796875" bestFit="1" customWidth="1"/>
  </cols>
  <sheetData>
    <row r="1" spans="1:9" ht="15" thickBot="1" x14ac:dyDescent="0.4">
      <c r="G1" s="5"/>
    </row>
    <row r="2" spans="1:9" x14ac:dyDescent="0.35">
      <c r="A2" s="11" t="s">
        <v>48</v>
      </c>
      <c r="B2" s="12"/>
      <c r="C2" s="12">
        <v>2025</v>
      </c>
      <c r="D2" s="12">
        <v>2026</v>
      </c>
      <c r="E2" s="12">
        <v>2027</v>
      </c>
      <c r="F2" s="13"/>
      <c r="H2" s="11" t="s">
        <v>2</v>
      </c>
      <c r="I2" s="44"/>
    </row>
    <row r="3" spans="1:9" x14ac:dyDescent="0.35">
      <c r="A3" s="14" t="s">
        <v>49</v>
      </c>
      <c r="B3" s="87"/>
      <c r="C3" s="6">
        <v>9180000</v>
      </c>
      <c r="D3" s="6">
        <v>9253000</v>
      </c>
      <c r="E3" s="6">
        <v>9328000</v>
      </c>
      <c r="F3" s="88"/>
      <c r="H3" s="18" t="s">
        <v>4</v>
      </c>
      <c r="I3" s="45">
        <v>50</v>
      </c>
    </row>
    <row r="4" spans="1:9" x14ac:dyDescent="0.35">
      <c r="A4" s="28" t="s">
        <v>50</v>
      </c>
      <c r="B4" s="89"/>
      <c r="C4" s="7">
        <v>8025496.8045348125</v>
      </c>
      <c r="D4" s="7">
        <v>8332139.8131665345</v>
      </c>
      <c r="E4" s="7">
        <v>8658160.7128489893</v>
      </c>
      <c r="F4" s="90"/>
      <c r="H4" s="18" t="s">
        <v>6</v>
      </c>
      <c r="I4" s="46">
        <v>0.08</v>
      </c>
    </row>
    <row r="5" spans="1:9" x14ac:dyDescent="0.35">
      <c r="A5" s="14" t="s">
        <v>51</v>
      </c>
      <c r="B5" s="6"/>
      <c r="C5" s="6">
        <f>IF(C3-C4&gt;0,C3-C4,0)</f>
        <v>1154503.1954651875</v>
      </c>
      <c r="D5" s="6">
        <f t="shared" ref="D5:E5" si="0">IF(D3-D4&gt;0,D3-D4,0)</f>
        <v>920860.18683346547</v>
      </c>
      <c r="E5" s="6">
        <f t="shared" si="0"/>
        <v>669839.28715101071</v>
      </c>
      <c r="F5" s="26"/>
      <c r="H5" s="18" t="s">
        <v>8</v>
      </c>
      <c r="I5" s="47" t="s">
        <v>52</v>
      </c>
    </row>
    <row r="6" spans="1:9" x14ac:dyDescent="0.35">
      <c r="A6" s="14" t="s">
        <v>53</v>
      </c>
      <c r="B6" s="6"/>
      <c r="C6" s="6">
        <f>C5/$I$3</f>
        <v>23090.06390930375</v>
      </c>
      <c r="D6" s="6">
        <f>D5/$I$3</f>
        <v>18417.203736669311</v>
      </c>
      <c r="E6" s="6">
        <f>E5/$I$3</f>
        <v>13396.785743020215</v>
      </c>
      <c r="F6" s="26"/>
      <c r="H6" s="18" t="s">
        <v>10</v>
      </c>
      <c r="I6" s="47" t="s">
        <v>11</v>
      </c>
    </row>
    <row r="7" spans="1:9" ht="15" thickBot="1" x14ac:dyDescent="0.4">
      <c r="A7" s="85" t="s">
        <v>54</v>
      </c>
      <c r="B7" s="86"/>
      <c r="C7" s="86">
        <f>C5*$I$4</f>
        <v>92360.255637214999</v>
      </c>
      <c r="D7" s="86">
        <f>D5*$I$4</f>
        <v>73668.814946677245</v>
      </c>
      <c r="E7" s="86">
        <f>E5*$I$4</f>
        <v>53587.142972080859</v>
      </c>
      <c r="F7" s="70"/>
      <c r="H7" s="18" t="s">
        <v>55</v>
      </c>
      <c r="I7" s="134" t="s">
        <v>56</v>
      </c>
    </row>
    <row r="8" spans="1:9" ht="15" thickBot="1" x14ac:dyDescent="0.4">
      <c r="H8" s="18"/>
      <c r="I8" s="134"/>
    </row>
    <row r="9" spans="1:9" ht="15" thickBot="1" x14ac:dyDescent="0.4">
      <c r="A9" s="11" t="s">
        <v>19</v>
      </c>
      <c r="B9" s="16"/>
      <c r="C9" s="16"/>
      <c r="D9" s="16"/>
      <c r="E9" s="16"/>
      <c r="F9" s="17"/>
      <c r="H9" s="24"/>
      <c r="I9" s="135"/>
    </row>
    <row r="10" spans="1:9" x14ac:dyDescent="0.35">
      <c r="A10" s="18" t="s">
        <v>57</v>
      </c>
      <c r="B10" s="3"/>
      <c r="C10" s="1">
        <f t="shared" ref="C10:E11" si="1">C5</f>
        <v>1154503.1954651875</v>
      </c>
      <c r="D10" s="1">
        <f t="shared" si="1"/>
        <v>920860.18683346547</v>
      </c>
      <c r="E10" s="1">
        <f t="shared" si="1"/>
        <v>669839.28715101071</v>
      </c>
      <c r="F10" s="26"/>
      <c r="H10"/>
      <c r="I10" s="43"/>
    </row>
    <row r="11" spans="1:9" x14ac:dyDescent="0.35">
      <c r="A11" s="19" t="s">
        <v>58</v>
      </c>
      <c r="B11" s="2"/>
      <c r="C11" s="10">
        <f t="shared" si="1"/>
        <v>23090.06390930375</v>
      </c>
      <c r="D11" s="10">
        <f t="shared" si="1"/>
        <v>18417.203736669311</v>
      </c>
      <c r="E11" s="10">
        <f t="shared" si="1"/>
        <v>13396.785743020215</v>
      </c>
      <c r="F11" s="31"/>
      <c r="H11"/>
      <c r="I11" s="43"/>
    </row>
    <row r="12" spans="1:9" x14ac:dyDescent="0.35">
      <c r="A12" s="18" t="s">
        <v>59</v>
      </c>
      <c r="B12" s="3"/>
      <c r="C12" s="3">
        <f>C10-C11/2</f>
        <v>1142958.1635105356</v>
      </c>
      <c r="D12" s="3">
        <f t="shared" ref="D12:E12" si="2">D10-D11/2</f>
        <v>911651.58496513078</v>
      </c>
      <c r="E12" s="3">
        <f t="shared" si="2"/>
        <v>663140.89427950059</v>
      </c>
      <c r="F12" s="26"/>
      <c r="H12"/>
      <c r="I12" s="43"/>
    </row>
    <row r="13" spans="1:9" x14ac:dyDescent="0.35">
      <c r="A13" s="18"/>
      <c r="B13" s="3"/>
      <c r="C13" s="3"/>
      <c r="D13" s="3"/>
      <c r="E13" s="3"/>
      <c r="F13" s="26"/>
      <c r="H13"/>
      <c r="I13" s="43"/>
    </row>
    <row r="14" spans="1:9" x14ac:dyDescent="0.35">
      <c r="A14" s="18" t="s">
        <v>60</v>
      </c>
      <c r="B14" s="67">
        <v>0.04</v>
      </c>
      <c r="C14" s="3">
        <f>C12*$B$14</f>
        <v>45718.326540421425</v>
      </c>
      <c r="D14" s="3">
        <f t="shared" ref="D14:E14" si="3">D12*$B$14</f>
        <v>36466.063398605234</v>
      </c>
      <c r="E14" s="3">
        <f t="shared" si="3"/>
        <v>26525.635771180023</v>
      </c>
      <c r="F14" s="26"/>
      <c r="H14"/>
      <c r="I14" s="43"/>
    </row>
    <row r="15" spans="1:9" x14ac:dyDescent="0.35">
      <c r="A15" s="18" t="s">
        <v>61</v>
      </c>
      <c r="B15" s="67">
        <v>0.56000000000000005</v>
      </c>
      <c r="C15" s="3">
        <f>C12*$B$15</f>
        <v>640056.5715659</v>
      </c>
      <c r="D15" s="3">
        <f t="shared" ref="D15:E15" si="4">D12*$B$15</f>
        <v>510524.88758047327</v>
      </c>
      <c r="E15" s="3">
        <f t="shared" si="4"/>
        <v>371358.90079652035</v>
      </c>
      <c r="F15" s="26"/>
      <c r="H15"/>
      <c r="I15" s="43"/>
    </row>
    <row r="16" spans="1:9" x14ac:dyDescent="0.35">
      <c r="A16" s="18"/>
      <c r="B16" s="68" t="s">
        <v>62</v>
      </c>
      <c r="C16" s="3"/>
      <c r="D16" s="3"/>
      <c r="E16" s="3"/>
      <c r="F16" s="26"/>
      <c r="H16"/>
      <c r="I16" s="43"/>
    </row>
    <row r="17" spans="1:9" x14ac:dyDescent="0.35">
      <c r="A17" s="18" t="s">
        <v>63</v>
      </c>
      <c r="B17" s="69">
        <v>4.7899999999999998E-2</v>
      </c>
      <c r="C17" s="3">
        <f>C14*$B$17</f>
        <v>2189.9078412861863</v>
      </c>
      <c r="D17" s="3">
        <f t="shared" ref="D17:E17" si="5">D14*$B$17</f>
        <v>1746.7244367931908</v>
      </c>
      <c r="E17" s="3">
        <f t="shared" si="5"/>
        <v>1270.5779534395231</v>
      </c>
      <c r="F17" s="26"/>
      <c r="H17"/>
      <c r="I17" s="43"/>
    </row>
    <row r="18" spans="1:9" x14ac:dyDescent="0.35">
      <c r="A18" s="19" t="s">
        <v>64</v>
      </c>
      <c r="B18" s="78">
        <v>3.7199999999999997E-2</v>
      </c>
      <c r="C18" s="2">
        <f>C15*$B$18</f>
        <v>23810.104462251478</v>
      </c>
      <c r="D18" s="2">
        <f t="shared" ref="D18:E18" si="6">D15*$B$18</f>
        <v>18991.525817993603</v>
      </c>
      <c r="E18" s="2">
        <f t="shared" si="6"/>
        <v>13814.551109630556</v>
      </c>
      <c r="F18" s="31"/>
      <c r="H18"/>
      <c r="I18" s="43"/>
    </row>
    <row r="19" spans="1:9" x14ac:dyDescent="0.35">
      <c r="A19" s="79" t="s">
        <v>65</v>
      </c>
      <c r="B19" s="80"/>
      <c r="C19" s="80">
        <f>C17+C18</f>
        <v>26000.012303537664</v>
      </c>
      <c r="D19" s="80">
        <f>D17+D18</f>
        <v>20738.250254786792</v>
      </c>
      <c r="E19" s="80">
        <f>E17+E18</f>
        <v>15085.129063070079</v>
      </c>
      <c r="F19" s="81"/>
      <c r="H19"/>
      <c r="I19" s="43"/>
    </row>
    <row r="20" spans="1:9" x14ac:dyDescent="0.35">
      <c r="A20" s="18"/>
      <c r="B20" s="3"/>
      <c r="C20" s="3"/>
      <c r="D20" s="3"/>
      <c r="E20" s="3"/>
      <c r="F20" s="26"/>
      <c r="H20"/>
      <c r="I20" s="43"/>
    </row>
    <row r="21" spans="1:9" x14ac:dyDescent="0.35">
      <c r="A21" s="18" t="s">
        <v>66</v>
      </c>
      <c r="B21" s="67">
        <v>0.4</v>
      </c>
      <c r="C21" s="3">
        <f>C12*$B$21</f>
        <v>457183.26540421427</v>
      </c>
      <c r="D21" s="3">
        <f>D12*$B$21</f>
        <v>364660.63398605236</v>
      </c>
      <c r="E21" s="3">
        <f>E12*$B$21</f>
        <v>265256.35771180026</v>
      </c>
      <c r="F21" s="26"/>
      <c r="H21"/>
      <c r="I21" s="43"/>
    </row>
    <row r="22" spans="1:9" x14ac:dyDescent="0.35">
      <c r="A22" s="19"/>
      <c r="B22" s="82" t="s">
        <v>62</v>
      </c>
      <c r="C22" s="2"/>
      <c r="D22" s="2"/>
      <c r="E22" s="2"/>
      <c r="F22" s="31"/>
      <c r="H22"/>
      <c r="I22" s="43"/>
    </row>
    <row r="23" spans="1:9" x14ac:dyDescent="0.35">
      <c r="A23" s="79" t="s">
        <v>67</v>
      </c>
      <c r="B23" s="83">
        <v>9.3600000000000003E-2</v>
      </c>
      <c r="C23" s="80">
        <f>C21*$B$23</f>
        <v>42792.353641834459</v>
      </c>
      <c r="D23" s="80">
        <f t="shared" ref="D23:E23" si="7">D21*$B$23</f>
        <v>34132.2353410945</v>
      </c>
      <c r="E23" s="80">
        <f t="shared" si="7"/>
        <v>24827.995081824505</v>
      </c>
      <c r="F23" s="81"/>
      <c r="H23"/>
      <c r="I23" s="43"/>
    </row>
    <row r="24" spans="1:9" x14ac:dyDescent="0.35">
      <c r="A24" s="79"/>
      <c r="B24" s="80"/>
      <c r="C24" s="80"/>
      <c r="D24" s="80"/>
      <c r="E24" s="80"/>
      <c r="F24" s="81"/>
      <c r="H24"/>
      <c r="I24" s="43"/>
    </row>
    <row r="25" spans="1:9" ht="15" thickBot="1" x14ac:dyDescent="0.4">
      <c r="A25" s="32" t="s">
        <v>36</v>
      </c>
      <c r="B25" s="84"/>
      <c r="C25" s="84">
        <f>C19+C23</f>
        <v>68792.365945372119</v>
      </c>
      <c r="D25" s="84">
        <f t="shared" ref="D25:E25" si="8">D19+D23</f>
        <v>54870.485595881291</v>
      </c>
      <c r="E25" s="84">
        <f t="shared" si="8"/>
        <v>39913.12414489458</v>
      </c>
      <c r="F25" s="40"/>
      <c r="H25"/>
      <c r="I25" s="43"/>
    </row>
    <row r="26" spans="1:9" ht="15" thickBot="1" x14ac:dyDescent="0.4">
      <c r="A26" s="18"/>
      <c r="B26" s="66"/>
      <c r="C26" s="66"/>
      <c r="D26" s="66"/>
      <c r="E26" s="66"/>
      <c r="F26" s="66"/>
      <c r="H26"/>
      <c r="I26" s="43"/>
    </row>
    <row r="27" spans="1:9" x14ac:dyDescent="0.35">
      <c r="A27" s="94" t="s">
        <v>68</v>
      </c>
      <c r="B27" s="95"/>
      <c r="C27" s="95"/>
      <c r="D27" s="95"/>
      <c r="E27" s="95"/>
      <c r="F27" s="96"/>
      <c r="H27"/>
      <c r="I27" s="43"/>
    </row>
    <row r="28" spans="1:9" ht="15" thickBot="1" x14ac:dyDescent="0.4">
      <c r="A28" s="24" t="s">
        <v>69</v>
      </c>
      <c r="B28" s="38"/>
      <c r="C28" s="38">
        <f>C11</f>
        <v>23090.06390930375</v>
      </c>
      <c r="D28" s="38">
        <f>D11</f>
        <v>18417.203736669311</v>
      </c>
      <c r="E28" s="38">
        <f>E11</f>
        <v>13396.785743020215</v>
      </c>
      <c r="F28" s="70"/>
      <c r="H28"/>
      <c r="I28" s="43"/>
    </row>
    <row r="29" spans="1:9" ht="15" thickBot="1" x14ac:dyDescent="0.4">
      <c r="A29" s="18"/>
      <c r="B29" s="66"/>
      <c r="C29" s="66"/>
      <c r="D29" s="66"/>
      <c r="E29" s="66"/>
      <c r="F29" s="66"/>
      <c r="H29"/>
      <c r="I29" s="43"/>
    </row>
    <row r="30" spans="1:9" x14ac:dyDescent="0.35">
      <c r="A30" s="11" t="s">
        <v>70</v>
      </c>
      <c r="B30" s="91"/>
      <c r="C30" s="91"/>
      <c r="D30" s="91"/>
      <c r="E30" s="91"/>
      <c r="F30" s="92"/>
      <c r="H30"/>
      <c r="I30" s="43"/>
    </row>
    <row r="31" spans="1:9" x14ac:dyDescent="0.35">
      <c r="A31" s="18" t="s">
        <v>29</v>
      </c>
      <c r="B31" s="3"/>
      <c r="C31" s="3">
        <f>C23</f>
        <v>42792.353641834459</v>
      </c>
      <c r="D31" s="3">
        <f t="shared" ref="D31:E31" si="9">D23</f>
        <v>34132.2353410945</v>
      </c>
      <c r="E31" s="3">
        <f t="shared" si="9"/>
        <v>24827.995081824505</v>
      </c>
      <c r="F31" s="26"/>
      <c r="H31"/>
      <c r="I31" s="43"/>
    </row>
    <row r="32" spans="1:9" x14ac:dyDescent="0.35">
      <c r="A32" s="18" t="s">
        <v>30</v>
      </c>
      <c r="B32" s="3"/>
      <c r="C32" s="3">
        <f>C28</f>
        <v>23090.06390930375</v>
      </c>
      <c r="D32" s="3">
        <f t="shared" ref="D32:E32" si="10">D28</f>
        <v>18417.203736669311</v>
      </c>
      <c r="E32" s="3">
        <f t="shared" si="10"/>
        <v>13396.785743020215</v>
      </c>
      <c r="F32" s="26"/>
      <c r="H32"/>
      <c r="I32" s="43"/>
    </row>
    <row r="33" spans="1:9" x14ac:dyDescent="0.35">
      <c r="A33" s="19" t="s">
        <v>31</v>
      </c>
      <c r="B33" s="2"/>
      <c r="C33" s="2">
        <f>C7</f>
        <v>92360.255637214999</v>
      </c>
      <c r="D33" s="2">
        <f>D7</f>
        <v>73668.814946677245</v>
      </c>
      <c r="E33" s="2">
        <f>E7</f>
        <v>53587.142972080859</v>
      </c>
      <c r="F33" s="31"/>
      <c r="H33"/>
      <c r="I33" s="43"/>
    </row>
    <row r="34" spans="1:9" x14ac:dyDescent="0.35">
      <c r="A34" s="18" t="s">
        <v>71</v>
      </c>
      <c r="B34" s="3"/>
      <c r="C34" s="3">
        <f>C31+C32-C33</f>
        <v>-26477.838086076794</v>
      </c>
      <c r="D34" s="3">
        <f t="shared" ref="D34:E34" si="11">D31+D32-D33</f>
        <v>-21119.375868913434</v>
      </c>
      <c r="E34" s="3">
        <f t="shared" si="11"/>
        <v>-15362.362147236141</v>
      </c>
      <c r="F34" s="26"/>
      <c r="H34"/>
      <c r="I34" s="43"/>
    </row>
    <row r="35" spans="1:9" x14ac:dyDescent="0.35">
      <c r="A35" s="18"/>
      <c r="B35" s="3"/>
      <c r="C35" s="3"/>
      <c r="D35" s="3"/>
      <c r="E35" s="3"/>
      <c r="F35" s="26"/>
      <c r="H35"/>
      <c r="I35" s="43"/>
    </row>
    <row r="36" spans="1:9" x14ac:dyDescent="0.35">
      <c r="A36" s="18" t="s">
        <v>72</v>
      </c>
      <c r="B36" s="93">
        <v>0.26500000000000001</v>
      </c>
      <c r="C36" s="3"/>
      <c r="D36" s="3"/>
      <c r="E36" s="3"/>
      <c r="F36" s="26"/>
      <c r="H36"/>
      <c r="I36" s="43"/>
    </row>
    <row r="37" spans="1:9" x14ac:dyDescent="0.35">
      <c r="A37" s="18"/>
      <c r="B37" s="3"/>
      <c r="C37" s="3"/>
      <c r="D37" s="3"/>
      <c r="E37" s="3"/>
      <c r="F37" s="26"/>
      <c r="H37"/>
      <c r="I37" s="43"/>
    </row>
    <row r="38" spans="1:9" x14ac:dyDescent="0.35">
      <c r="A38" s="19" t="s">
        <v>33</v>
      </c>
      <c r="B38" s="2"/>
      <c r="C38" s="2">
        <f>C34*$B$36</f>
        <v>-7016.6270928103504</v>
      </c>
      <c r="D38" s="2">
        <f t="shared" ref="D38:E38" si="12">D34*$B$36</f>
        <v>-5596.6346052620602</v>
      </c>
      <c r="E38" s="2">
        <f t="shared" si="12"/>
        <v>-4071.0259690175776</v>
      </c>
      <c r="F38" s="31"/>
      <c r="H38"/>
      <c r="I38" s="43"/>
    </row>
    <row r="39" spans="1:9" ht="15" thickBot="1" x14ac:dyDescent="0.4">
      <c r="A39" s="24" t="s">
        <v>34</v>
      </c>
      <c r="B39" s="38"/>
      <c r="C39" s="38">
        <f>C38/(1-$B$36)</f>
        <v>-9546.4314187895925</v>
      </c>
      <c r="D39" s="38">
        <f t="shared" ref="D39:E39" si="13">D38/(1-$B$36)</f>
        <v>-7614.4688506966804</v>
      </c>
      <c r="E39" s="38">
        <f t="shared" si="13"/>
        <v>-5538.8108422007863</v>
      </c>
      <c r="F39" s="70"/>
      <c r="H39"/>
      <c r="I39" s="43"/>
    </row>
    <row r="40" spans="1:9" ht="15" thickBot="1" x14ac:dyDescent="0.4">
      <c r="H40"/>
      <c r="I40" s="43"/>
    </row>
    <row r="41" spans="1:9" x14ac:dyDescent="0.35">
      <c r="A41" s="11" t="s">
        <v>73</v>
      </c>
      <c r="B41" s="16"/>
      <c r="C41" s="16"/>
      <c r="D41" s="16"/>
      <c r="E41" s="16"/>
      <c r="F41" s="17"/>
    </row>
    <row r="42" spans="1:9" x14ac:dyDescent="0.35">
      <c r="A42" s="18" t="s">
        <v>36</v>
      </c>
      <c r="B42" s="3"/>
      <c r="C42" s="3">
        <f>C25</f>
        <v>68792.365945372119</v>
      </c>
      <c r="D42" s="3">
        <f t="shared" ref="D42:E42" si="14">D25</f>
        <v>54870.485595881291</v>
      </c>
      <c r="E42" s="3">
        <f t="shared" si="14"/>
        <v>39913.12414489458</v>
      </c>
      <c r="F42" s="26"/>
    </row>
    <row r="43" spans="1:9" x14ac:dyDescent="0.35">
      <c r="A43" s="18" t="s">
        <v>37</v>
      </c>
      <c r="B43" s="3"/>
      <c r="C43" s="3">
        <f>C28</f>
        <v>23090.06390930375</v>
      </c>
      <c r="D43" s="3">
        <f t="shared" ref="D43:E43" si="15">D28</f>
        <v>18417.203736669311</v>
      </c>
      <c r="E43" s="3">
        <f t="shared" si="15"/>
        <v>13396.785743020215</v>
      </c>
      <c r="F43" s="26"/>
    </row>
    <row r="44" spans="1:9" x14ac:dyDescent="0.35">
      <c r="A44" s="19" t="s">
        <v>38</v>
      </c>
      <c r="B44" s="2"/>
      <c r="C44" s="2">
        <f>C39</f>
        <v>-9546.4314187895925</v>
      </c>
      <c r="D44" s="2">
        <f t="shared" ref="D44:E44" si="16">D39</f>
        <v>-7614.4688506966804</v>
      </c>
      <c r="E44" s="2">
        <f t="shared" si="16"/>
        <v>-5538.8108422007863</v>
      </c>
      <c r="F44" s="31"/>
    </row>
    <row r="45" spans="1:9" x14ac:dyDescent="0.35">
      <c r="A45" s="41" t="s">
        <v>74</v>
      </c>
      <c r="B45" s="42"/>
      <c r="C45" s="42">
        <f>SUM(C42:C44)</f>
        <v>82335.998435886271</v>
      </c>
      <c r="D45" s="42">
        <f>SUM(D42:D44)</f>
        <v>65673.220481853918</v>
      </c>
      <c r="E45" s="42">
        <f>SUM(E42:E44)</f>
        <v>47771.099045714007</v>
      </c>
      <c r="F45" s="49"/>
    </row>
    <row r="46" spans="1:9" x14ac:dyDescent="0.35">
      <c r="A46" s="18"/>
      <c r="F46" s="51"/>
    </row>
    <row r="47" spans="1:9" x14ac:dyDescent="0.35">
      <c r="A47" s="19" t="s">
        <v>75</v>
      </c>
      <c r="B47" s="72">
        <v>2024</v>
      </c>
      <c r="C47" s="72">
        <v>2025</v>
      </c>
      <c r="D47" s="72">
        <v>2026</v>
      </c>
      <c r="E47" s="72">
        <v>2027</v>
      </c>
      <c r="F47" s="77">
        <v>2028</v>
      </c>
    </row>
    <row r="48" spans="1:9" x14ac:dyDescent="0.35">
      <c r="A48" s="18" t="s">
        <v>76</v>
      </c>
      <c r="B48" s="74">
        <v>0</v>
      </c>
      <c r="C48" s="74">
        <f>C45</f>
        <v>82335.998435886271</v>
      </c>
      <c r="D48" s="74">
        <f>C48</f>
        <v>82335.998435886271</v>
      </c>
      <c r="E48" s="74">
        <f t="shared" ref="E48:F48" si="17">D48</f>
        <v>82335.998435886271</v>
      </c>
      <c r="F48" s="75">
        <f t="shared" si="17"/>
        <v>82335.998435886271</v>
      </c>
    </row>
    <row r="49" spans="1:9" x14ac:dyDescent="0.35">
      <c r="A49" s="18" t="s">
        <v>77</v>
      </c>
      <c r="B49" s="74">
        <v>0</v>
      </c>
      <c r="C49" s="74">
        <v>0</v>
      </c>
      <c r="D49" s="74">
        <f>D45</f>
        <v>65673.220481853918</v>
      </c>
      <c r="E49" s="74">
        <f>D49</f>
        <v>65673.220481853918</v>
      </c>
      <c r="F49" s="75">
        <f>E49</f>
        <v>65673.220481853918</v>
      </c>
      <c r="H49"/>
      <c r="I49" s="71"/>
    </row>
    <row r="50" spans="1:9" x14ac:dyDescent="0.35">
      <c r="A50" s="19" t="s">
        <v>78</v>
      </c>
      <c r="B50" s="73">
        <v>0</v>
      </c>
      <c r="C50" s="73">
        <v>0</v>
      </c>
      <c r="D50" s="73">
        <v>0</v>
      </c>
      <c r="E50" s="73">
        <f>E45</f>
        <v>47771.099045714007</v>
      </c>
      <c r="F50" s="76">
        <f>E50</f>
        <v>47771.099045714007</v>
      </c>
      <c r="H50"/>
      <c r="I50" s="71"/>
    </row>
    <row r="51" spans="1:9" x14ac:dyDescent="0.35">
      <c r="A51" s="19"/>
      <c r="B51" s="2">
        <f>B45</f>
        <v>0</v>
      </c>
      <c r="C51" s="2">
        <f>SUM(C48:C50)</f>
        <v>82335.998435886271</v>
      </c>
      <c r="D51" s="2">
        <f t="shared" ref="D51:F51" si="18">SUM(D48:D50)</f>
        <v>148009.21891774019</v>
      </c>
      <c r="E51" s="2">
        <f t="shared" si="18"/>
        <v>195780.3179634542</v>
      </c>
      <c r="F51" s="31">
        <f t="shared" si="18"/>
        <v>195780.3179634542</v>
      </c>
    </row>
    <row r="52" spans="1:9" ht="15" thickBot="1" x14ac:dyDescent="0.4">
      <c r="A52" s="24"/>
      <c r="B52" s="50"/>
      <c r="C52" s="38"/>
      <c r="D52" s="38"/>
      <c r="E52" s="39" t="s">
        <v>79</v>
      </c>
      <c r="F52" s="40">
        <f>SUM(B51:F51)</f>
        <v>621905.85328053485</v>
      </c>
    </row>
    <row r="54" spans="1:9" s="43" customFormat="1" x14ac:dyDescent="0.35">
      <c r="A54"/>
      <c r="B54"/>
      <c r="C54"/>
      <c r="D54"/>
      <c r="E54"/>
      <c r="F54"/>
      <c r="G54"/>
      <c r="I54"/>
    </row>
    <row r="55" spans="1:9" s="43" customFormat="1" x14ac:dyDescent="0.35">
      <c r="A55"/>
      <c r="B55"/>
      <c r="C55"/>
      <c r="D55"/>
      <c r="E55"/>
      <c r="F55"/>
      <c r="G55"/>
      <c r="I55"/>
    </row>
    <row r="56" spans="1:9" s="43" customFormat="1" x14ac:dyDescent="0.35">
      <c r="A56"/>
      <c r="B56"/>
      <c r="C56"/>
      <c r="D56"/>
      <c r="E56"/>
      <c r="F56"/>
      <c r="G56"/>
      <c r="I56"/>
    </row>
  </sheetData>
  <mergeCells count="1">
    <mergeCell ref="I7:I9"/>
  </mergeCells>
  <pageMargins left="0.7" right="0.7" top="0.75" bottom="0.75" header="0.3" footer="0.3"/>
  <pageSetup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401F-451C-4B9C-AE3F-A2E18F10ED82}">
  <dimension ref="A1:I56"/>
  <sheetViews>
    <sheetView showGridLines="0" topLeftCell="A37" workbookViewId="0">
      <selection activeCell="G19" sqref="G19"/>
    </sheetView>
  </sheetViews>
  <sheetFormatPr defaultRowHeight="14.5" x14ac:dyDescent="0.35"/>
  <cols>
    <col min="1" max="1" width="57" customWidth="1"/>
    <col min="2" max="6" width="12.54296875" customWidth="1"/>
    <col min="7" max="7" width="20.54296875" customWidth="1"/>
    <col min="8" max="8" width="19.81640625" style="43" customWidth="1"/>
    <col min="9" max="9" width="54.1796875" bestFit="1" customWidth="1"/>
  </cols>
  <sheetData>
    <row r="1" spans="1:9" ht="15" thickBot="1" x14ac:dyDescent="0.4">
      <c r="G1" s="5"/>
    </row>
    <row r="2" spans="1:9" x14ac:dyDescent="0.35">
      <c r="A2" s="11" t="s">
        <v>48</v>
      </c>
      <c r="B2" s="12"/>
      <c r="C2" s="12">
        <v>2025</v>
      </c>
      <c r="D2" s="12">
        <v>2026</v>
      </c>
      <c r="E2" s="12">
        <v>2027</v>
      </c>
      <c r="F2" s="13"/>
      <c r="H2" s="11" t="s">
        <v>2</v>
      </c>
      <c r="I2" s="44"/>
    </row>
    <row r="3" spans="1:9" x14ac:dyDescent="0.35">
      <c r="A3" s="14" t="s">
        <v>49</v>
      </c>
      <c r="B3" s="87"/>
      <c r="C3" s="6">
        <v>9180000</v>
      </c>
      <c r="D3" s="6">
        <v>9253000</v>
      </c>
      <c r="E3" s="6">
        <v>9328000</v>
      </c>
      <c r="F3" s="88"/>
      <c r="H3" s="18" t="s">
        <v>4</v>
      </c>
      <c r="I3" s="45">
        <v>50</v>
      </c>
    </row>
    <row r="4" spans="1:9" x14ac:dyDescent="0.35">
      <c r="A4" s="28" t="s">
        <v>50</v>
      </c>
      <c r="B4" s="89"/>
      <c r="C4" s="7">
        <v>8893998.5648319833</v>
      </c>
      <c r="D4" s="7">
        <v>9320232.4170975611</v>
      </c>
      <c r="E4" s="7">
        <v>9778222.490505252</v>
      </c>
      <c r="F4" s="90"/>
      <c r="H4" s="18" t="s">
        <v>6</v>
      </c>
      <c r="I4" s="46">
        <v>0.08</v>
      </c>
    </row>
    <row r="5" spans="1:9" x14ac:dyDescent="0.35">
      <c r="A5" s="14" t="s">
        <v>51</v>
      </c>
      <c r="B5" s="6"/>
      <c r="C5" s="6">
        <f>IF(C3-C4&gt;0,C3-C4,0)</f>
        <v>286001.4351680167</v>
      </c>
      <c r="D5" s="6">
        <f t="shared" ref="D5:E5" si="0">IF(D3-D4&gt;0,D3-D4,0)</f>
        <v>0</v>
      </c>
      <c r="E5" s="6">
        <f t="shared" si="0"/>
        <v>0</v>
      </c>
      <c r="F5" s="26"/>
      <c r="H5" s="18" t="s">
        <v>8</v>
      </c>
      <c r="I5" s="47" t="s">
        <v>52</v>
      </c>
    </row>
    <row r="6" spans="1:9" x14ac:dyDescent="0.35">
      <c r="A6" s="14" t="s">
        <v>53</v>
      </c>
      <c r="B6" s="6"/>
      <c r="C6" s="6">
        <f>C5/$I$3</f>
        <v>5720.0287033603345</v>
      </c>
      <c r="D6" s="6">
        <f>D5/$I$3</f>
        <v>0</v>
      </c>
      <c r="E6" s="6">
        <f>E5/$I$3</f>
        <v>0</v>
      </c>
      <c r="F6" s="26"/>
      <c r="H6" s="18" t="s">
        <v>10</v>
      </c>
      <c r="I6" s="47" t="s">
        <v>11</v>
      </c>
    </row>
    <row r="7" spans="1:9" ht="15" thickBot="1" x14ac:dyDescent="0.4">
      <c r="A7" s="85" t="s">
        <v>54</v>
      </c>
      <c r="B7" s="86"/>
      <c r="C7" s="86">
        <f>C5*$I$4</f>
        <v>22880.114813441338</v>
      </c>
      <c r="D7" s="86">
        <f>D5*$I$4</f>
        <v>0</v>
      </c>
      <c r="E7" s="86">
        <f>E5*$I$4</f>
        <v>0</v>
      </c>
      <c r="F7" s="70"/>
      <c r="H7" s="18" t="s">
        <v>55</v>
      </c>
      <c r="I7" s="134" t="s">
        <v>56</v>
      </c>
    </row>
    <row r="8" spans="1:9" ht="15" thickBot="1" x14ac:dyDescent="0.4">
      <c r="H8" s="18"/>
      <c r="I8" s="134"/>
    </row>
    <row r="9" spans="1:9" ht="15" thickBot="1" x14ac:dyDescent="0.4">
      <c r="A9" s="11" t="s">
        <v>19</v>
      </c>
      <c r="B9" s="16"/>
      <c r="C9" s="16"/>
      <c r="D9" s="16"/>
      <c r="E9" s="16"/>
      <c r="F9" s="17"/>
      <c r="H9" s="24"/>
      <c r="I9" s="135"/>
    </row>
    <row r="10" spans="1:9" x14ac:dyDescent="0.35">
      <c r="A10" s="18" t="s">
        <v>57</v>
      </c>
      <c r="B10" s="3"/>
      <c r="C10" s="1">
        <f t="shared" ref="C10:E11" si="1">C5</f>
        <v>286001.4351680167</v>
      </c>
      <c r="D10" s="1">
        <f t="shared" si="1"/>
        <v>0</v>
      </c>
      <c r="E10" s="1">
        <f t="shared" si="1"/>
        <v>0</v>
      </c>
      <c r="F10" s="26"/>
      <c r="H10"/>
      <c r="I10" s="43"/>
    </row>
    <row r="11" spans="1:9" x14ac:dyDescent="0.35">
      <c r="A11" s="19" t="s">
        <v>58</v>
      </c>
      <c r="B11" s="2"/>
      <c r="C11" s="10">
        <f t="shared" si="1"/>
        <v>5720.0287033603345</v>
      </c>
      <c r="D11" s="10">
        <f t="shared" si="1"/>
        <v>0</v>
      </c>
      <c r="E11" s="10">
        <f t="shared" si="1"/>
        <v>0</v>
      </c>
      <c r="F11" s="31"/>
      <c r="H11"/>
      <c r="I11" s="43"/>
    </row>
    <row r="12" spans="1:9" x14ac:dyDescent="0.35">
      <c r="A12" s="18" t="s">
        <v>59</v>
      </c>
      <c r="B12" s="3"/>
      <c r="C12" s="3">
        <f>C10-C11/2</f>
        <v>283141.42081633653</v>
      </c>
      <c r="D12" s="3">
        <f t="shared" ref="D12:E12" si="2">D10-D11/2</f>
        <v>0</v>
      </c>
      <c r="E12" s="3">
        <f t="shared" si="2"/>
        <v>0</v>
      </c>
      <c r="F12" s="26"/>
      <c r="H12"/>
      <c r="I12" s="43"/>
    </row>
    <row r="13" spans="1:9" x14ac:dyDescent="0.35">
      <c r="A13" s="18"/>
      <c r="B13" s="3"/>
      <c r="C13" s="3"/>
      <c r="D13" s="3"/>
      <c r="E13" s="3"/>
      <c r="F13" s="26"/>
      <c r="H13"/>
      <c r="I13" s="43"/>
    </row>
    <row r="14" spans="1:9" x14ac:dyDescent="0.35">
      <c r="A14" s="18" t="s">
        <v>60</v>
      </c>
      <c r="B14" s="67">
        <v>0.04</v>
      </c>
      <c r="C14" s="3">
        <f>C12*$B$14</f>
        <v>11325.656832653462</v>
      </c>
      <c r="D14" s="3">
        <f t="shared" ref="D14:E14" si="3">D12*$B$14</f>
        <v>0</v>
      </c>
      <c r="E14" s="3">
        <f t="shared" si="3"/>
        <v>0</v>
      </c>
      <c r="F14" s="26"/>
      <c r="H14"/>
      <c r="I14" s="43"/>
    </row>
    <row r="15" spans="1:9" x14ac:dyDescent="0.35">
      <c r="A15" s="18" t="s">
        <v>61</v>
      </c>
      <c r="B15" s="67">
        <v>0.56000000000000005</v>
      </c>
      <c r="C15" s="3">
        <f>C12*$B$15</f>
        <v>158559.19565714846</v>
      </c>
      <c r="D15" s="3">
        <f t="shared" ref="D15:E15" si="4">D12*$B$15</f>
        <v>0</v>
      </c>
      <c r="E15" s="3">
        <f t="shared" si="4"/>
        <v>0</v>
      </c>
      <c r="F15" s="26"/>
      <c r="H15"/>
      <c r="I15" s="43"/>
    </row>
    <row r="16" spans="1:9" x14ac:dyDescent="0.35">
      <c r="A16" s="18"/>
      <c r="B16" s="68" t="s">
        <v>62</v>
      </c>
      <c r="C16" s="3"/>
      <c r="D16" s="3"/>
      <c r="E16" s="3"/>
      <c r="F16" s="26"/>
      <c r="H16"/>
      <c r="I16" s="43"/>
    </row>
    <row r="17" spans="1:9" x14ac:dyDescent="0.35">
      <c r="A17" s="18" t="s">
        <v>63</v>
      </c>
      <c r="B17" s="69">
        <v>4.7899999999999998E-2</v>
      </c>
      <c r="C17" s="3">
        <f>C14*$B$17</f>
        <v>542.4989622841008</v>
      </c>
      <c r="D17" s="3">
        <f t="shared" ref="D17:E17" si="5">D14*$B$17</f>
        <v>0</v>
      </c>
      <c r="E17" s="3">
        <f t="shared" si="5"/>
        <v>0</v>
      </c>
      <c r="F17" s="26"/>
      <c r="H17"/>
      <c r="I17" s="43"/>
    </row>
    <row r="18" spans="1:9" x14ac:dyDescent="0.35">
      <c r="A18" s="19" t="s">
        <v>64</v>
      </c>
      <c r="B18" s="78">
        <v>3.7199999999999997E-2</v>
      </c>
      <c r="C18" s="2">
        <f>C15*$B$18</f>
        <v>5898.4020784459226</v>
      </c>
      <c r="D18" s="2">
        <f t="shared" ref="D18:E18" si="6">D15*$B$18</f>
        <v>0</v>
      </c>
      <c r="E18" s="2">
        <f t="shared" si="6"/>
        <v>0</v>
      </c>
      <c r="F18" s="31"/>
      <c r="H18"/>
      <c r="I18" s="43"/>
    </row>
    <row r="19" spans="1:9" x14ac:dyDescent="0.35">
      <c r="A19" s="79" t="s">
        <v>65</v>
      </c>
      <c r="B19" s="80"/>
      <c r="C19" s="80">
        <f>C17+C18</f>
        <v>6440.9010407300229</v>
      </c>
      <c r="D19" s="80">
        <f>D17+D18</f>
        <v>0</v>
      </c>
      <c r="E19" s="80">
        <f>E17+E18</f>
        <v>0</v>
      </c>
      <c r="F19" s="81"/>
      <c r="H19"/>
      <c r="I19" s="43"/>
    </row>
    <row r="20" spans="1:9" x14ac:dyDescent="0.35">
      <c r="A20" s="18"/>
      <c r="B20" s="3"/>
      <c r="C20" s="3"/>
      <c r="D20" s="3"/>
      <c r="E20" s="3"/>
      <c r="F20" s="26"/>
      <c r="H20"/>
      <c r="I20" s="43"/>
    </row>
    <row r="21" spans="1:9" x14ac:dyDescent="0.35">
      <c r="A21" s="18" t="s">
        <v>66</v>
      </c>
      <c r="B21" s="67">
        <v>0.4</v>
      </c>
      <c r="C21" s="3">
        <f>C12*$B$21</f>
        <v>113256.56832653462</v>
      </c>
      <c r="D21" s="3">
        <f>D12*$B$21</f>
        <v>0</v>
      </c>
      <c r="E21" s="3">
        <f>E12*$B$21</f>
        <v>0</v>
      </c>
      <c r="F21" s="26"/>
      <c r="H21"/>
      <c r="I21" s="43"/>
    </row>
    <row r="22" spans="1:9" x14ac:dyDescent="0.35">
      <c r="A22" s="19"/>
      <c r="B22" s="82" t="s">
        <v>62</v>
      </c>
      <c r="C22" s="2"/>
      <c r="D22" s="2"/>
      <c r="E22" s="2"/>
      <c r="F22" s="31"/>
      <c r="H22"/>
      <c r="I22" s="43"/>
    </row>
    <row r="23" spans="1:9" x14ac:dyDescent="0.35">
      <c r="A23" s="79" t="s">
        <v>67</v>
      </c>
      <c r="B23" s="83">
        <v>9.3600000000000003E-2</v>
      </c>
      <c r="C23" s="80">
        <f>C21*$B$23</f>
        <v>10600.81479536364</v>
      </c>
      <c r="D23" s="80">
        <f t="shared" ref="D23:E23" si="7">D21*$B$23</f>
        <v>0</v>
      </c>
      <c r="E23" s="80">
        <f t="shared" si="7"/>
        <v>0</v>
      </c>
      <c r="F23" s="81"/>
      <c r="H23"/>
      <c r="I23" s="43"/>
    </row>
    <row r="24" spans="1:9" x14ac:dyDescent="0.35">
      <c r="A24" s="79"/>
      <c r="B24" s="80"/>
      <c r="C24" s="80"/>
      <c r="D24" s="80"/>
      <c r="E24" s="80"/>
      <c r="F24" s="81"/>
      <c r="H24"/>
      <c r="I24" s="43"/>
    </row>
    <row r="25" spans="1:9" ht="15" thickBot="1" x14ac:dyDescent="0.4">
      <c r="A25" s="32" t="s">
        <v>36</v>
      </c>
      <c r="B25" s="84"/>
      <c r="C25" s="84">
        <f>C19+C23</f>
        <v>17041.715836093663</v>
      </c>
      <c r="D25" s="84">
        <f t="shared" ref="D25:E25" si="8">D19+D23</f>
        <v>0</v>
      </c>
      <c r="E25" s="84">
        <f t="shared" si="8"/>
        <v>0</v>
      </c>
      <c r="F25" s="40"/>
      <c r="H25"/>
      <c r="I25" s="43"/>
    </row>
    <row r="26" spans="1:9" ht="15" thickBot="1" x14ac:dyDescent="0.4">
      <c r="A26" s="18"/>
      <c r="B26" s="66"/>
      <c r="C26" s="66"/>
      <c r="D26" s="66"/>
      <c r="E26" s="66"/>
      <c r="F26" s="66"/>
      <c r="H26"/>
      <c r="I26" s="43"/>
    </row>
    <row r="27" spans="1:9" x14ac:dyDescent="0.35">
      <c r="A27" s="94" t="s">
        <v>68</v>
      </c>
      <c r="B27" s="95"/>
      <c r="C27" s="95"/>
      <c r="D27" s="95"/>
      <c r="E27" s="95"/>
      <c r="F27" s="96"/>
      <c r="H27"/>
      <c r="I27" s="43"/>
    </row>
    <row r="28" spans="1:9" ht="15" thickBot="1" x14ac:dyDescent="0.4">
      <c r="A28" s="24" t="s">
        <v>69</v>
      </c>
      <c r="B28" s="38"/>
      <c r="C28" s="38">
        <f>C11</f>
        <v>5720.0287033603345</v>
      </c>
      <c r="D28" s="38">
        <f>D11</f>
        <v>0</v>
      </c>
      <c r="E28" s="38">
        <f>E11</f>
        <v>0</v>
      </c>
      <c r="F28" s="70"/>
      <c r="H28"/>
      <c r="I28" s="43"/>
    </row>
    <row r="29" spans="1:9" ht="15" thickBot="1" x14ac:dyDescent="0.4">
      <c r="A29" s="18"/>
      <c r="B29" s="66"/>
      <c r="C29" s="66"/>
      <c r="D29" s="66"/>
      <c r="E29" s="66"/>
      <c r="F29" s="66"/>
      <c r="H29"/>
      <c r="I29" s="43"/>
    </row>
    <row r="30" spans="1:9" x14ac:dyDescent="0.35">
      <c r="A30" s="11" t="s">
        <v>70</v>
      </c>
      <c r="B30" s="91"/>
      <c r="C30" s="91"/>
      <c r="D30" s="91"/>
      <c r="E30" s="91"/>
      <c r="F30" s="92"/>
      <c r="H30"/>
      <c r="I30" s="43"/>
    </row>
    <row r="31" spans="1:9" x14ac:dyDescent="0.35">
      <c r="A31" s="18" t="s">
        <v>29</v>
      </c>
      <c r="B31" s="3"/>
      <c r="C31" s="3">
        <f>C23</f>
        <v>10600.81479536364</v>
      </c>
      <c r="D31" s="3">
        <f t="shared" ref="D31:E31" si="9">D23</f>
        <v>0</v>
      </c>
      <c r="E31" s="3">
        <f t="shared" si="9"/>
        <v>0</v>
      </c>
      <c r="F31" s="26"/>
      <c r="H31"/>
      <c r="I31" s="43"/>
    </row>
    <row r="32" spans="1:9" x14ac:dyDescent="0.35">
      <c r="A32" s="18" t="s">
        <v>30</v>
      </c>
      <c r="B32" s="3"/>
      <c r="C32" s="3">
        <f>C28</f>
        <v>5720.0287033603345</v>
      </c>
      <c r="D32" s="3">
        <f t="shared" ref="D32:E32" si="10">D28</f>
        <v>0</v>
      </c>
      <c r="E32" s="3">
        <f t="shared" si="10"/>
        <v>0</v>
      </c>
      <c r="F32" s="26"/>
      <c r="H32"/>
      <c r="I32" s="43"/>
    </row>
    <row r="33" spans="1:9" x14ac:dyDescent="0.35">
      <c r="A33" s="19" t="s">
        <v>31</v>
      </c>
      <c r="B33" s="2"/>
      <c r="C33" s="2">
        <f>C7</f>
        <v>22880.114813441338</v>
      </c>
      <c r="D33" s="2">
        <f>D7</f>
        <v>0</v>
      </c>
      <c r="E33" s="2">
        <f>E7</f>
        <v>0</v>
      </c>
      <c r="F33" s="31"/>
      <c r="H33"/>
      <c r="I33" s="43"/>
    </row>
    <row r="34" spans="1:9" x14ac:dyDescent="0.35">
      <c r="A34" s="18" t="s">
        <v>71</v>
      </c>
      <c r="B34" s="3"/>
      <c r="C34" s="3">
        <f>C31+C32-C33</f>
        <v>-6559.2713147173636</v>
      </c>
      <c r="D34" s="3">
        <f t="shared" ref="D34:E34" si="11">D31+D32-D33</f>
        <v>0</v>
      </c>
      <c r="E34" s="3">
        <f t="shared" si="11"/>
        <v>0</v>
      </c>
      <c r="F34" s="26"/>
      <c r="H34"/>
      <c r="I34" s="43"/>
    </row>
    <row r="35" spans="1:9" x14ac:dyDescent="0.35">
      <c r="A35" s="18"/>
      <c r="B35" s="3"/>
      <c r="C35" s="3"/>
      <c r="D35" s="3"/>
      <c r="E35" s="3"/>
      <c r="F35" s="26"/>
      <c r="H35"/>
      <c r="I35" s="43"/>
    </row>
    <row r="36" spans="1:9" x14ac:dyDescent="0.35">
      <c r="A36" s="18" t="s">
        <v>72</v>
      </c>
      <c r="B36" s="93">
        <v>0.26500000000000001</v>
      </c>
      <c r="C36" s="3"/>
      <c r="D36" s="3"/>
      <c r="E36" s="3"/>
      <c r="F36" s="26"/>
      <c r="H36"/>
      <c r="I36" s="43"/>
    </row>
    <row r="37" spans="1:9" x14ac:dyDescent="0.35">
      <c r="A37" s="18"/>
      <c r="B37" s="3"/>
      <c r="C37" s="3"/>
      <c r="D37" s="3"/>
      <c r="E37" s="3"/>
      <c r="F37" s="26"/>
      <c r="H37"/>
      <c r="I37" s="43"/>
    </row>
    <row r="38" spans="1:9" x14ac:dyDescent="0.35">
      <c r="A38" s="19" t="s">
        <v>33</v>
      </c>
      <c r="B38" s="2"/>
      <c r="C38" s="2">
        <f>C34*$B$36</f>
        <v>-1738.2068984001014</v>
      </c>
      <c r="D38" s="2">
        <f t="shared" ref="D38:E38" si="12">D34*$B$36</f>
        <v>0</v>
      </c>
      <c r="E38" s="2">
        <f t="shared" si="12"/>
        <v>0</v>
      </c>
      <c r="F38" s="31"/>
      <c r="H38"/>
      <c r="I38" s="43"/>
    </row>
    <row r="39" spans="1:9" ht="15" thickBot="1" x14ac:dyDescent="0.4">
      <c r="A39" s="24" t="s">
        <v>34</v>
      </c>
      <c r="B39" s="38"/>
      <c r="C39" s="38">
        <f>C38/(1-$B$36)</f>
        <v>-2364.9073447620426</v>
      </c>
      <c r="D39" s="38">
        <f t="shared" ref="D39:E39" si="13">D38/(1-$B$36)</f>
        <v>0</v>
      </c>
      <c r="E39" s="38">
        <f t="shared" si="13"/>
        <v>0</v>
      </c>
      <c r="F39" s="70"/>
      <c r="H39"/>
      <c r="I39" s="43"/>
    </row>
    <row r="40" spans="1:9" ht="15" thickBot="1" x14ac:dyDescent="0.4">
      <c r="H40"/>
      <c r="I40" s="43"/>
    </row>
    <row r="41" spans="1:9" x14ac:dyDescent="0.35">
      <c r="A41" s="11" t="s">
        <v>73</v>
      </c>
      <c r="B41" s="16"/>
      <c r="C41" s="16"/>
      <c r="D41" s="16"/>
      <c r="E41" s="16"/>
      <c r="F41" s="17"/>
    </row>
    <row r="42" spans="1:9" x14ac:dyDescent="0.35">
      <c r="A42" s="18" t="s">
        <v>36</v>
      </c>
      <c r="B42" s="3"/>
      <c r="C42" s="3">
        <f>C25</f>
        <v>17041.715836093663</v>
      </c>
      <c r="D42" s="3">
        <f t="shared" ref="D42:E42" si="14">D25</f>
        <v>0</v>
      </c>
      <c r="E42" s="3">
        <f t="shared" si="14"/>
        <v>0</v>
      </c>
      <c r="F42" s="26"/>
    </row>
    <row r="43" spans="1:9" x14ac:dyDescent="0.35">
      <c r="A43" s="18" t="s">
        <v>37</v>
      </c>
      <c r="B43" s="3"/>
      <c r="C43" s="3">
        <f>C28</f>
        <v>5720.0287033603345</v>
      </c>
      <c r="D43" s="3">
        <f t="shared" ref="D43:E43" si="15">D28</f>
        <v>0</v>
      </c>
      <c r="E43" s="3">
        <f t="shared" si="15"/>
        <v>0</v>
      </c>
      <c r="F43" s="26"/>
    </row>
    <row r="44" spans="1:9" x14ac:dyDescent="0.35">
      <c r="A44" s="19" t="s">
        <v>38</v>
      </c>
      <c r="B44" s="2"/>
      <c r="C44" s="2">
        <f>C39</f>
        <v>-2364.9073447620426</v>
      </c>
      <c r="D44" s="2">
        <f t="shared" ref="D44:E44" si="16">D39</f>
        <v>0</v>
      </c>
      <c r="E44" s="2">
        <f t="shared" si="16"/>
        <v>0</v>
      </c>
      <c r="F44" s="31"/>
    </row>
    <row r="45" spans="1:9" x14ac:dyDescent="0.35">
      <c r="A45" s="41" t="s">
        <v>74</v>
      </c>
      <c r="B45" s="42"/>
      <c r="C45" s="42">
        <f>SUM(C42:C44)</f>
        <v>20396.837194691954</v>
      </c>
      <c r="D45" s="42">
        <f>SUM(D42:D44)</f>
        <v>0</v>
      </c>
      <c r="E45" s="42">
        <f>SUM(E42:E44)</f>
        <v>0</v>
      </c>
      <c r="F45" s="49"/>
    </row>
    <row r="46" spans="1:9" x14ac:dyDescent="0.35">
      <c r="A46" s="18"/>
      <c r="F46" s="51"/>
    </row>
    <row r="47" spans="1:9" x14ac:dyDescent="0.35">
      <c r="A47" s="19" t="s">
        <v>75</v>
      </c>
      <c r="B47" s="72">
        <v>2024</v>
      </c>
      <c r="C47" s="72">
        <v>2025</v>
      </c>
      <c r="D47" s="72">
        <v>2026</v>
      </c>
      <c r="E47" s="72">
        <v>2027</v>
      </c>
      <c r="F47" s="77">
        <v>2028</v>
      </c>
    </row>
    <row r="48" spans="1:9" x14ac:dyDescent="0.35">
      <c r="A48" s="18" t="s">
        <v>76</v>
      </c>
      <c r="B48" s="74">
        <v>0</v>
      </c>
      <c r="C48" s="74">
        <f>C45</f>
        <v>20396.837194691954</v>
      </c>
      <c r="D48" s="74">
        <f>C48</f>
        <v>20396.837194691954</v>
      </c>
      <c r="E48" s="74">
        <f t="shared" ref="E48:F48" si="17">D48</f>
        <v>20396.837194691954</v>
      </c>
      <c r="F48" s="75">
        <f t="shared" si="17"/>
        <v>20396.837194691954</v>
      </c>
    </row>
    <row r="49" spans="1:9" x14ac:dyDescent="0.35">
      <c r="A49" s="18" t="s">
        <v>77</v>
      </c>
      <c r="B49" s="74">
        <v>0</v>
      </c>
      <c r="C49" s="74">
        <v>0</v>
      </c>
      <c r="D49" s="74">
        <f>D45</f>
        <v>0</v>
      </c>
      <c r="E49" s="74">
        <f>D49</f>
        <v>0</v>
      </c>
      <c r="F49" s="75">
        <f>E49</f>
        <v>0</v>
      </c>
      <c r="H49"/>
      <c r="I49" s="71"/>
    </row>
    <row r="50" spans="1:9" x14ac:dyDescent="0.35">
      <c r="A50" s="19" t="s">
        <v>78</v>
      </c>
      <c r="B50" s="73">
        <v>0</v>
      </c>
      <c r="C50" s="73">
        <v>0</v>
      </c>
      <c r="D50" s="73">
        <v>0</v>
      </c>
      <c r="E50" s="73">
        <f>E45</f>
        <v>0</v>
      </c>
      <c r="F50" s="76">
        <f>E50</f>
        <v>0</v>
      </c>
      <c r="H50"/>
      <c r="I50" s="71"/>
    </row>
    <row r="51" spans="1:9" x14ac:dyDescent="0.35">
      <c r="A51" s="19"/>
      <c r="B51" s="2">
        <f>B45</f>
        <v>0</v>
      </c>
      <c r="C51" s="2">
        <f>SUM(C48:C50)</f>
        <v>20396.837194691954</v>
      </c>
      <c r="D51" s="2">
        <f t="shared" ref="D51:F51" si="18">SUM(D48:D50)</f>
        <v>20396.837194691954</v>
      </c>
      <c r="E51" s="2">
        <f t="shared" si="18"/>
        <v>20396.837194691954</v>
      </c>
      <c r="F51" s="31">
        <f t="shared" si="18"/>
        <v>20396.837194691954</v>
      </c>
    </row>
    <row r="52" spans="1:9" ht="15" thickBot="1" x14ac:dyDescent="0.4">
      <c r="A52" s="24"/>
      <c r="B52" s="50"/>
      <c r="C52" s="38"/>
      <c r="D52" s="38"/>
      <c r="E52" s="39" t="s">
        <v>79</v>
      </c>
      <c r="F52" s="40">
        <f>SUM(B51:F51)</f>
        <v>81587.348778767817</v>
      </c>
    </row>
    <row r="54" spans="1:9" s="43" customFormat="1" x14ac:dyDescent="0.35">
      <c r="A54"/>
      <c r="B54"/>
      <c r="C54"/>
      <c r="D54"/>
      <c r="E54"/>
      <c r="F54"/>
      <c r="G54"/>
      <c r="I54"/>
    </row>
    <row r="55" spans="1:9" s="43" customFormat="1" x14ac:dyDescent="0.35">
      <c r="A55"/>
      <c r="B55"/>
      <c r="C55"/>
      <c r="D55"/>
      <c r="E55"/>
      <c r="F55"/>
      <c r="G55"/>
      <c r="I55"/>
    </row>
    <row r="56" spans="1:9" s="43" customFormat="1" x14ac:dyDescent="0.35">
      <c r="A56"/>
      <c r="B56"/>
      <c r="C56"/>
      <c r="D56"/>
      <c r="E56"/>
      <c r="F56"/>
      <c r="G56"/>
      <c r="I56"/>
    </row>
  </sheetData>
  <mergeCells count="1">
    <mergeCell ref="I7:I9"/>
  </mergeCells>
  <pageMargins left="0.7" right="0.7" top="0.75" bottom="0.75" header="0.3" footer="0.3"/>
  <pageSetup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E279-86AE-4961-AB9F-6D74704F238C}">
  <dimension ref="A1:I11"/>
  <sheetViews>
    <sheetView showGridLines="0" workbookViewId="0">
      <selection activeCell="D4" sqref="D4"/>
    </sheetView>
  </sheetViews>
  <sheetFormatPr defaultRowHeight="14.5" x14ac:dyDescent="0.35"/>
  <cols>
    <col min="1" max="1" width="3.7265625" customWidth="1"/>
    <col min="2" max="2" width="35" customWidth="1"/>
    <col min="3" max="8" width="12.1796875" customWidth="1"/>
    <col min="9" max="9" width="3.453125" customWidth="1"/>
  </cols>
  <sheetData>
    <row r="1" spans="1:9" x14ac:dyDescent="0.35">
      <c r="A1" s="4"/>
      <c r="B1" s="4"/>
      <c r="C1" s="4"/>
      <c r="D1" s="4"/>
      <c r="E1" s="4"/>
      <c r="F1" s="4"/>
      <c r="G1" s="4"/>
      <c r="H1" s="4"/>
      <c r="I1" s="4"/>
    </row>
    <row r="2" spans="1:9" x14ac:dyDescent="0.35">
      <c r="A2" s="4"/>
      <c r="B2" s="59"/>
      <c r="C2" s="136" t="s">
        <v>80</v>
      </c>
      <c r="D2" s="136"/>
      <c r="E2" s="136"/>
      <c r="F2" s="136"/>
      <c r="G2" s="136"/>
      <c r="H2" s="136"/>
      <c r="I2" s="4"/>
    </row>
    <row r="3" spans="1:9" x14ac:dyDescent="0.35">
      <c r="A3" s="4"/>
      <c r="B3" s="60"/>
      <c r="C3" s="52">
        <v>2024</v>
      </c>
      <c r="D3" s="52">
        <v>2025</v>
      </c>
      <c r="E3" s="52">
        <v>2026</v>
      </c>
      <c r="F3" s="52">
        <v>2027</v>
      </c>
      <c r="G3" s="52">
        <v>2028</v>
      </c>
      <c r="H3" s="56" t="s">
        <v>81</v>
      </c>
      <c r="I3" s="4"/>
    </row>
    <row r="4" spans="1:9" x14ac:dyDescent="0.35">
      <c r="A4" s="4"/>
      <c r="B4" s="54" t="s">
        <v>82</v>
      </c>
      <c r="C4" s="53">
        <f>'DVA Balances HONI Assets'!B43</f>
        <v>4143.9778095238034</v>
      </c>
      <c r="D4" s="53">
        <f>'DVA Balances HONI Assets'!C43</f>
        <v>55969.276349429536</v>
      </c>
      <c r="E4" s="53">
        <f>'DVA Balances HONI Assets'!D43</f>
        <v>89186.86099909796</v>
      </c>
      <c r="F4" s="53">
        <f>'DVA Balances HONI Assets'!E43</f>
        <v>142851.36177758451</v>
      </c>
      <c r="G4" s="53">
        <f>'DVA Balances HONI Assets'!G43</f>
        <v>179093.73539218944</v>
      </c>
      <c r="H4" s="57">
        <f>SUM(C4:G4)</f>
        <v>471245.21232782525</v>
      </c>
      <c r="I4" s="4"/>
    </row>
    <row r="5" spans="1:9" x14ac:dyDescent="0.35">
      <c r="A5" s="4"/>
      <c r="B5" s="54" t="s">
        <v>83</v>
      </c>
      <c r="C5" s="53">
        <f>'ACM Approach - 2023 Infl.'!B51</f>
        <v>0</v>
      </c>
      <c r="D5" s="53">
        <f>'ACM Approach - 2023 Infl.'!C51</f>
        <v>82335.998435886271</v>
      </c>
      <c r="E5" s="53">
        <f>'ACM Approach - 2023 Infl.'!D51</f>
        <v>148009.21891774019</v>
      </c>
      <c r="F5" s="53">
        <f>'ACM Approach - 2023 Infl.'!E51</f>
        <v>195780.3179634542</v>
      </c>
      <c r="G5" s="53">
        <f>'ACM Approach - 2023 Infl.'!F51</f>
        <v>195780.3179634542</v>
      </c>
      <c r="H5" s="57">
        <f t="shared" ref="H5:H6" si="0">SUM(C5:G5)</f>
        <v>621905.85328053485</v>
      </c>
      <c r="I5" s="4"/>
    </row>
    <row r="6" spans="1:9" x14ac:dyDescent="0.35">
      <c r="A6" s="4"/>
      <c r="B6" s="54" t="s">
        <v>84</v>
      </c>
      <c r="C6" s="53">
        <f>'ACM Approach - 2024 Infl.'!B51</f>
        <v>0</v>
      </c>
      <c r="D6" s="53">
        <f>'ACM Approach - 2024 Infl.'!C51</f>
        <v>20396.837194691954</v>
      </c>
      <c r="E6" s="53">
        <f>'ACM Approach - 2024 Infl.'!D51</f>
        <v>20396.837194691954</v>
      </c>
      <c r="F6" s="53">
        <f>'ACM Approach - 2024 Infl.'!E51</f>
        <v>20396.837194691954</v>
      </c>
      <c r="G6" s="53">
        <f>'ACM Approach - 2024 Infl.'!F51</f>
        <v>20396.837194691954</v>
      </c>
      <c r="H6" s="57">
        <f t="shared" si="0"/>
        <v>81587.348778767817</v>
      </c>
      <c r="I6" s="4"/>
    </row>
    <row r="7" spans="1:9" ht="13.5" customHeight="1" x14ac:dyDescent="0.35">
      <c r="A7" s="4"/>
      <c r="B7" s="4"/>
      <c r="C7" s="4"/>
      <c r="D7" s="4"/>
      <c r="E7" s="4"/>
      <c r="F7" s="4"/>
      <c r="G7" s="4"/>
      <c r="H7" s="4"/>
      <c r="I7" s="4"/>
    </row>
    <row r="8" spans="1:9" x14ac:dyDescent="0.35">
      <c r="A8" s="4"/>
      <c r="B8" s="54" t="s">
        <v>85</v>
      </c>
      <c r="C8" s="55">
        <f>C4-C5</f>
        <v>4143.9778095238034</v>
      </c>
      <c r="D8" s="55">
        <f t="shared" ref="D8:G8" si="1">D4-D5</f>
        <v>-26366.722086456735</v>
      </c>
      <c r="E8" s="55">
        <f t="shared" si="1"/>
        <v>-58822.357918642228</v>
      </c>
      <c r="F8" s="55">
        <f t="shared" si="1"/>
        <v>-52928.956185869698</v>
      </c>
      <c r="G8" s="55">
        <f t="shared" si="1"/>
        <v>-16686.582571264764</v>
      </c>
      <c r="H8" s="58">
        <f>SUM(C8:G8)</f>
        <v>-150660.64095270963</v>
      </c>
      <c r="I8" s="4"/>
    </row>
    <row r="9" spans="1:9" x14ac:dyDescent="0.35">
      <c r="A9" s="4"/>
      <c r="B9" s="54" t="s">
        <v>86</v>
      </c>
      <c r="C9" s="55">
        <f>C4-C6</f>
        <v>4143.9778095238034</v>
      </c>
      <c r="D9" s="55">
        <f t="shared" ref="D9:G9" si="2">D4-D6</f>
        <v>35572.439154737585</v>
      </c>
      <c r="E9" s="55">
        <f t="shared" si="2"/>
        <v>68790.02380440601</v>
      </c>
      <c r="F9" s="55">
        <f t="shared" si="2"/>
        <v>122454.52458289255</v>
      </c>
      <c r="G9" s="55">
        <f t="shared" si="2"/>
        <v>158696.89819749747</v>
      </c>
      <c r="H9" s="58">
        <f t="shared" ref="H9:H10" si="3">SUM(C9:G9)</f>
        <v>389657.86354905739</v>
      </c>
      <c r="I9" s="4"/>
    </row>
    <row r="10" spans="1:9" x14ac:dyDescent="0.35">
      <c r="A10" s="4"/>
      <c r="B10" s="54" t="s">
        <v>87</v>
      </c>
      <c r="C10" s="55">
        <f>C4</f>
        <v>4143.9778095238034</v>
      </c>
      <c r="D10" s="55">
        <f t="shared" ref="D10:G10" si="4">D4</f>
        <v>55969.276349429536</v>
      </c>
      <c r="E10" s="55">
        <f t="shared" si="4"/>
        <v>89186.86099909796</v>
      </c>
      <c r="F10" s="55">
        <f t="shared" si="4"/>
        <v>142851.36177758451</v>
      </c>
      <c r="G10" s="55">
        <f t="shared" si="4"/>
        <v>179093.73539218944</v>
      </c>
      <c r="H10" s="58">
        <f t="shared" si="3"/>
        <v>471245.21232782525</v>
      </c>
      <c r="I10" s="4"/>
    </row>
    <row r="11" spans="1:9" x14ac:dyDescent="0.35">
      <c r="A11" s="4"/>
      <c r="B11" s="4"/>
      <c r="C11" s="4"/>
      <c r="D11" s="4"/>
      <c r="E11" s="4"/>
      <c r="F11" s="4"/>
      <c r="G11" s="4"/>
      <c r="H11" s="4"/>
      <c r="I11" s="4"/>
    </row>
  </sheetData>
  <mergeCells count="1">
    <mergeCell ref="C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74566A107E49B2CCCE5C5481A213" ma:contentTypeVersion="16" ma:contentTypeDescription="Create a new document." ma:contentTypeScope="" ma:versionID="438c0f2f0dd586cfffb889849620e195">
  <xsd:schema xmlns:xsd="http://www.w3.org/2001/XMLSchema" xmlns:xs="http://www.w3.org/2001/XMLSchema" xmlns:p="http://schemas.microsoft.com/office/2006/metadata/properties" xmlns:ns2="83abfa7a-daeb-4e82-8a7e-c5824009c764" xmlns:ns3="18c4c99b-0bc1-4dd5-829e-ad5714449cd6" targetNamespace="http://schemas.microsoft.com/office/2006/metadata/properties" ma:root="true" ma:fieldsID="de8dcbbc0849f0c98b43a509b911371a" ns2:_="" ns3:_="">
    <xsd:import namespace="83abfa7a-daeb-4e82-8a7e-c5824009c764"/>
    <xsd:import namespace="18c4c99b-0bc1-4dd5-829e-ad571444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bfa7a-daeb-4e82-8a7e-c5824009c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c99b-0bc1-4dd5-829e-ad571444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438e2d-c537-4dfd-9cc0-e70d5b18b1dc}" ma:internalName="TaxCatchAll" ma:showField="CatchAllData" ma:web="18c4c99b-0bc1-4dd5-829e-ad5714449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DC765A-8127-4861-8476-19BE6C0860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10579-F073-4344-8B18-B8B11759B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bfa7a-daeb-4e82-8a7e-c5824009c764"/>
    <ds:schemaRef ds:uri="18c4c99b-0bc1-4dd5-829e-ad5714449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DVA Balances HONI Assets</vt:lpstr>
      <vt:lpstr>ACM Approach - 2023 Infl.</vt:lpstr>
      <vt:lpstr>ACM Approach - 2024 Infl.</vt:lpstr>
      <vt:lpstr>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Jayna Sweeney</cp:lastModifiedBy>
  <dcterms:created xsi:type="dcterms:W3CDTF">2022-08-23T20:19:23Z</dcterms:created>
  <dcterms:modified xsi:type="dcterms:W3CDTF">2024-09-17T19:29:55Z</dcterms:modified>
</cp:coreProperties>
</file>