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sseli\Downloads\"/>
    </mc:Choice>
  </mc:AlternateContent>
  <bookViews>
    <workbookView xWindow="0" yWindow="0" windowWidth="28800" windowHeight="11505"/>
  </bookViews>
  <sheets>
    <sheet name="Sheet1" sheetId="1" r:id="rId1"/>
  </sheets>
  <definedNames>
    <definedName name="d">Sheet1!$E$51</definedName>
    <definedName name="g">Sheet1!$E$20</definedName>
    <definedName name="PCI">Sheet1!$E$16</definedName>
    <definedName name="RB">Sheet1!$E$49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51" i="1"/>
  <c r="E39" i="1"/>
  <c r="E31" i="1"/>
  <c r="E41" i="1" s="1"/>
  <c r="E49" i="1" s="1"/>
  <c r="C61" i="1"/>
  <c r="C73" i="1" s="1"/>
  <c r="E61" i="1" l="1"/>
  <c r="E57" i="1"/>
  <c r="E60" i="1"/>
  <c r="E56" i="1"/>
  <c r="E63" i="1"/>
  <c r="E59" i="1"/>
  <c r="E71" i="1" s="1"/>
  <c r="E55" i="1"/>
  <c r="E67" i="1" s="1"/>
  <c r="E62" i="1"/>
  <c r="E74" i="1" s="1"/>
  <c r="E58" i="1"/>
  <c r="E54" i="1"/>
  <c r="E75" i="1"/>
  <c r="E70" i="1"/>
  <c r="E66" i="1"/>
  <c r="E73" i="1"/>
  <c r="E69" i="1"/>
  <c r="E72" i="1"/>
  <c r="E68" i="1"/>
  <c r="C54" i="1"/>
  <c r="C66" i="1" s="1"/>
  <c r="C62" i="1"/>
  <c r="C74" i="1" s="1"/>
  <c r="C55" i="1"/>
  <c r="C67" i="1" s="1"/>
  <c r="C59" i="1"/>
  <c r="C71" i="1" s="1"/>
  <c r="C63" i="1"/>
  <c r="C75" i="1" s="1"/>
  <c r="C56" i="1"/>
  <c r="C68" i="1" s="1"/>
  <c r="C60" i="1"/>
  <c r="C72" i="1" s="1"/>
  <c r="C58" i="1"/>
  <c r="C70" i="1" s="1"/>
  <c r="C57" i="1"/>
  <c r="C69" i="1" s="1"/>
</calcChain>
</file>

<file path=xl/sharedStrings.xml><?xml version="1.0" encoding="utf-8"?>
<sst xmlns="http://schemas.openxmlformats.org/spreadsheetml/2006/main" count="36" uniqueCount="35">
  <si>
    <t>No Input Required.</t>
  </si>
  <si>
    <t>Cost of Service Rebasing Year</t>
  </si>
  <si>
    <t>Price Cap IR Year in which Application is made</t>
  </si>
  <si>
    <t>Price Cap Index</t>
  </si>
  <si>
    <t>Growth Factor Calculation</t>
  </si>
  <si>
    <t>Growth Factor</t>
  </si>
  <si>
    <t>Dead Band</t>
  </si>
  <si>
    <t>Average Net Fixed Assets</t>
  </si>
  <si>
    <t>Gross Fixed Assets Opening</t>
  </si>
  <si>
    <t>Add: CWIP Opening</t>
  </si>
  <si>
    <t>Capital Additions</t>
  </si>
  <si>
    <t>Capital Disposals</t>
  </si>
  <si>
    <t>Capital Retirements</t>
  </si>
  <si>
    <t>Deduct: CWIP Closing</t>
  </si>
  <si>
    <t>Gross Fixed Assets - Closing</t>
  </si>
  <si>
    <t>Average Gross Fixed Assets</t>
  </si>
  <si>
    <t>Accumulated Depreciation - Opening</t>
  </si>
  <si>
    <t>Depreciation Expense</t>
  </si>
  <si>
    <t>Disposals</t>
  </si>
  <si>
    <t>Retirements</t>
  </si>
  <si>
    <t>Accumulated Depreciation - Closing</t>
  </si>
  <si>
    <t>Average Accumulated Depreciation</t>
  </si>
  <si>
    <t xml:space="preserve">Average Net Fixed Assets </t>
  </si>
  <si>
    <t>Working Capital Allowance</t>
  </si>
  <si>
    <t>Working Capital Allowance Base</t>
  </si>
  <si>
    <t>Working Capital Allowance Rate</t>
  </si>
  <si>
    <t>Rate Base</t>
  </si>
  <si>
    <t>Depreciation</t>
  </si>
  <si>
    <t>Threshold Value (varies by Price Cap IR Year subsequent to CoS rebasing)</t>
  </si>
  <si>
    <t>Threshold CAPEX</t>
  </si>
  <si>
    <t>Note 1:</t>
  </si>
  <si>
    <r>
      <t xml:space="preserve">The growth factor </t>
    </r>
    <r>
      <rPr>
        <i/>
        <sz val="12"/>
        <rFont val="Times New Roman"/>
        <family val="1"/>
      </rPr>
      <t>g</t>
    </r>
    <r>
      <rPr>
        <sz val="12"/>
        <rFont val="Arial"/>
        <family val="2"/>
      </rPr>
      <t xml:space="preserve"> is annualized, depending on the number of years between the numerator and denominator for the calculation. Typically, for ACM review in a cost of service and in the fourth year of Price Cap IR, the ratio is divided by 2 to annualize it. No division is normally required for the first three years under Price Cap IR.</t>
    </r>
  </si>
  <si>
    <t>Final Materiality Threshold Calculation</t>
  </si>
  <si>
    <t>Revenues Based on 2025 Board-Approved Distribution Demand</t>
  </si>
  <si>
    <t>Revenues Based on 2024 Actual Distribution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</si>
</sst>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_-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2"/>
    <xf numFmtId="0" fontId="3" fillId="0" borderId="0" xfId="2" applyProtection="1">
      <protection locked="0"/>
    </xf>
    <xf numFmtId="0" fontId="4" fillId="0" borderId="0" xfId="2" applyFont="1"/>
    <xf numFmtId="0" fontId="5" fillId="0" borderId="0" xfId="2" applyFont="1" applyAlignment="1">
      <alignment horizontal="left" indent="1"/>
    </xf>
    <xf numFmtId="0" fontId="6" fillId="0" borderId="0" xfId="2" applyFont="1" applyAlignment="1">
      <alignment horizontal="center" vertical="center"/>
    </xf>
    <xf numFmtId="0" fontId="7" fillId="0" borderId="0" xfId="2" applyFont="1"/>
    <xf numFmtId="0" fontId="5" fillId="0" borderId="0" xfId="2" applyFont="1"/>
    <xf numFmtId="0" fontId="5" fillId="2" borderId="0" xfId="2" applyFont="1" applyFill="1" applyAlignment="1">
      <alignment horizontal="center"/>
    </xf>
    <xf numFmtId="0" fontId="3" fillId="2" borderId="0" xfId="2" applyFill="1"/>
    <xf numFmtId="0" fontId="5" fillId="3" borderId="0" xfId="2" applyFont="1" applyFill="1"/>
    <xf numFmtId="0" fontId="3" fillId="3" borderId="0" xfId="2" applyFill="1"/>
    <xf numFmtId="10" fontId="5" fillId="3" borderId="0" xfId="2" applyNumberFormat="1" applyFont="1" applyFill="1" applyAlignment="1">
      <alignment horizontal="center"/>
    </xf>
    <xf numFmtId="0" fontId="8" fillId="0" borderId="0" xfId="2" applyFont="1" applyAlignment="1">
      <alignment horizontal="left" vertical="center" wrapText="1" indent="3"/>
    </xf>
    <xf numFmtId="165" fontId="8" fillId="2" borderId="0" xfId="3" applyNumberFormat="1" applyFont="1" applyFill="1" applyAlignment="1" applyProtection="1">
      <alignment horizontal="center"/>
    </xf>
    <xf numFmtId="9" fontId="5" fillId="3" borderId="0" xfId="4" applyFont="1" applyFill="1" applyAlignment="1" applyProtection="1">
      <alignment horizontal="center"/>
    </xf>
    <xf numFmtId="166" fontId="9" fillId="2" borderId="0" xfId="5" applyNumberFormat="1" applyFont="1" applyFill="1" applyProtection="1"/>
    <xf numFmtId="0" fontId="3" fillId="0" borderId="0" xfId="2" applyAlignment="1">
      <alignment horizontal="left" indent="1"/>
    </xf>
    <xf numFmtId="166" fontId="9" fillId="2" borderId="1" xfId="5" applyNumberFormat="1" applyFont="1" applyFill="1" applyBorder="1" applyProtection="1"/>
    <xf numFmtId="0" fontId="3" fillId="0" borderId="0" xfId="2" applyAlignment="1">
      <alignment horizontal="left" indent="2"/>
    </xf>
    <xf numFmtId="9" fontId="9" fillId="2" borderId="0" xfId="4" applyFont="1" applyFill="1" applyAlignment="1" applyProtection="1">
      <alignment horizontal="right"/>
    </xf>
    <xf numFmtId="166" fontId="5" fillId="2" borderId="2" xfId="5" applyNumberFormat="1" applyFont="1" applyFill="1" applyBorder="1" applyProtection="1"/>
    <xf numFmtId="0" fontId="5" fillId="0" borderId="0" xfId="2" applyFont="1" applyAlignment="1">
      <alignment horizontal="right"/>
    </xf>
    <xf numFmtId="166" fontId="5" fillId="2" borderId="0" xfId="5" applyNumberFormat="1" applyFont="1" applyFill="1" applyProtection="1"/>
    <xf numFmtId="9" fontId="5" fillId="2" borderId="3" xfId="1" applyFont="1" applyFill="1" applyBorder="1" applyAlignment="1" applyProtection="1">
      <alignment horizontal="right"/>
    </xf>
    <xf numFmtId="9" fontId="5" fillId="2" borderId="4" xfId="1" applyFont="1" applyFill="1" applyBorder="1" applyAlignment="1" applyProtection="1">
      <alignment horizontal="right"/>
    </xf>
    <xf numFmtId="166" fontId="9" fillId="2" borderId="3" xfId="5" applyNumberFormat="1" applyFont="1" applyFill="1" applyBorder="1" applyProtection="1"/>
    <xf numFmtId="166" fontId="10" fillId="2" borderId="4" xfId="5" applyNumberFormat="1" applyFont="1" applyFill="1" applyBorder="1" applyProtection="1"/>
    <xf numFmtId="0" fontId="11" fillId="0" borderId="0" xfId="2" applyFont="1" applyAlignment="1">
      <alignment vertical="top"/>
    </xf>
    <xf numFmtId="0" fontId="3" fillId="0" borderId="0" xfId="2" applyAlignment="1">
      <alignment horizontal="left" wrapText="1"/>
    </xf>
    <xf numFmtId="0" fontId="3" fillId="0" borderId="0" xfId="2" applyAlignment="1">
      <alignment wrapText="1"/>
    </xf>
  </cellXfs>
  <cellStyles count="6">
    <cellStyle name="Currency 2" xfId="3"/>
    <cellStyle name="Currency 3" xfId="5"/>
    <cellStyle name="Normal" xfId="0" builtinId="0"/>
    <cellStyle name="Normal 6" xfId="2"/>
    <cellStyle name="Percent" xfId="1" builtinId="5"/>
    <cellStyle name="Percent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7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9972675" cy="1485900"/>
          <a:chOff x="9524" y="19051"/>
          <a:chExt cx="10364524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10364524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215348" y="207526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555895" y="177272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95250</xdr:colOff>
      <xdr:row>1</xdr:row>
      <xdr:rowOff>161925</xdr:rowOff>
    </xdr:from>
    <xdr:to>
      <xdr:col>5</xdr:col>
      <xdr:colOff>2461045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95250" y="352425"/>
          <a:ext cx="9728620" cy="11811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Capital Module</a:t>
          </a:r>
        </a:p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Applicable to ACM and ICM</a:t>
          </a:r>
        </a:p>
      </xdr:txBody>
    </xdr:sp>
    <xdr:clientData/>
  </xdr:twoCellAnchor>
  <xdr:oneCellAnchor>
    <xdr:from>
      <xdr:col>1</xdr:col>
      <xdr:colOff>28575</xdr:colOff>
      <xdr:row>9</xdr:row>
      <xdr:rowOff>61912</xdr:rowOff>
    </xdr:from>
    <xdr:ext cx="6991349" cy="44300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304800" y="184308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304800" y="184308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900-000009000000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900-000009000000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900-00000A000000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900-00000A000000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900-00000B000000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900-00000B000000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900-00000C000000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900-00000C000000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52387</xdr:colOff>
      <xdr:row>63</xdr:row>
      <xdr:rowOff>133351</xdr:rowOff>
    </xdr:from>
    <xdr:ext cx="1671638" cy="29449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900-00000D000000}"/>
                </a:ext>
              </a:extLst>
            </xdr:cNvPr>
            <xdr:cNvSpPr txBox="1"/>
          </xdr:nvSpPr>
          <xdr:spPr>
            <a:xfrm>
              <a:off x="7415212" y="13335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900-00000D000000}"/>
                </a:ext>
              </a:extLst>
            </xdr:cNvPr>
            <xdr:cNvSpPr txBox="1"/>
          </xdr:nvSpPr>
          <xdr:spPr>
            <a:xfrm>
              <a:off x="7415212" y="1333500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900-00000E000000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900-00000E000000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showGridLines="0" tabSelected="1" workbookViewId="0">
      <selection activeCell="I16" sqref="I16"/>
    </sheetView>
  </sheetViews>
  <sheetFormatPr defaultRowHeight="15" x14ac:dyDescent="0.2"/>
  <cols>
    <col min="1" max="1" width="3.625" style="2" customWidth="1"/>
    <col min="2" max="2" width="11.875" style="2" customWidth="1"/>
    <col min="3" max="3" width="53.875" style="2" customWidth="1"/>
    <col min="4" max="4" width="3.125" style="2" customWidth="1"/>
    <col min="5" max="5" width="24.125" style="2" customWidth="1"/>
    <col min="6" max="6" width="34.25" style="2" bestFit="1" customWidth="1"/>
    <col min="7" max="7" width="3.125" style="2" customWidth="1"/>
    <col min="8" max="9" width="8" style="2" customWidth="1"/>
  </cols>
  <sheetData>
    <row r="1" spans="1:9" x14ac:dyDescent="0.2">
      <c r="A1" s="1"/>
      <c r="B1" s="1"/>
      <c r="C1" s="1"/>
      <c r="D1" s="1"/>
      <c r="E1" s="1"/>
      <c r="F1" s="1"/>
    </row>
    <row r="2" spans="1:9" ht="18" x14ac:dyDescent="0.25">
      <c r="A2" s="1"/>
      <c r="B2" s="1"/>
      <c r="C2" s="3"/>
      <c r="D2" s="1"/>
      <c r="E2" s="1"/>
      <c r="F2" s="1"/>
      <c r="G2" s="1"/>
      <c r="H2" s="1"/>
      <c r="I2" s="1"/>
    </row>
    <row r="3" spans="1:9" ht="18" x14ac:dyDescent="0.25">
      <c r="A3" s="1"/>
      <c r="B3" s="1"/>
      <c r="C3" s="3"/>
      <c r="D3" s="1"/>
      <c r="E3" s="1"/>
      <c r="F3" s="1"/>
      <c r="G3" s="1"/>
      <c r="H3" s="1"/>
      <c r="I3" s="1"/>
    </row>
    <row r="4" spans="1:9" ht="18" x14ac:dyDescent="0.25">
      <c r="A4" s="1"/>
      <c r="B4" s="1"/>
      <c r="C4" s="3"/>
      <c r="D4" s="1"/>
      <c r="E4" s="1"/>
      <c r="F4" s="1"/>
      <c r="G4" s="1"/>
      <c r="H4" s="1"/>
      <c r="I4" s="1"/>
    </row>
    <row r="5" spans="1:9" ht="18" x14ac:dyDescent="0.25">
      <c r="A5" s="1"/>
      <c r="B5" s="1"/>
      <c r="C5" s="3"/>
      <c r="D5" s="1"/>
      <c r="E5" s="1"/>
      <c r="F5" s="1"/>
      <c r="G5" s="1"/>
      <c r="H5" s="1"/>
      <c r="I5" s="1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1"/>
      <c r="C7" s="1"/>
      <c r="D7" s="1"/>
      <c r="E7" s="1"/>
      <c r="F7" s="1"/>
      <c r="G7" s="1"/>
      <c r="H7" s="1"/>
      <c r="I7" s="1"/>
    </row>
    <row r="8" spans="1:9" ht="15.75" hidden="1" x14ac:dyDescent="0.25">
      <c r="A8" s="4" t="s">
        <v>0</v>
      </c>
      <c r="B8" s="1"/>
      <c r="C8" s="1"/>
      <c r="D8" s="1"/>
      <c r="E8" s="1"/>
      <c r="F8" s="1"/>
      <c r="G8" s="1"/>
      <c r="H8" s="1"/>
      <c r="I8" s="1"/>
    </row>
    <row r="9" spans="1:9" ht="23.25" x14ac:dyDescent="0.2">
      <c r="A9" s="1"/>
      <c r="B9" s="1"/>
      <c r="C9" s="5" t="s">
        <v>32</v>
      </c>
      <c r="D9" s="5"/>
      <c r="E9" s="5"/>
      <c r="F9" s="1"/>
      <c r="G9" s="1"/>
      <c r="H9" s="1"/>
      <c r="I9" s="1"/>
    </row>
    <row r="10" spans="1:9" ht="26.25" x14ac:dyDescent="0.4">
      <c r="A10" s="1"/>
      <c r="B10" s="1"/>
      <c r="C10" s="6"/>
      <c r="D10" s="1"/>
      <c r="E10" s="1"/>
      <c r="F10" s="1"/>
      <c r="G10" s="1"/>
      <c r="H10" s="1"/>
      <c r="I10" s="1"/>
    </row>
    <row r="11" spans="1:9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ht="15.75" x14ac:dyDescent="0.25">
      <c r="A13" s="1"/>
      <c r="B13" s="1"/>
      <c r="C13" s="7" t="s">
        <v>1</v>
      </c>
      <c r="D13" s="1"/>
      <c r="E13" s="8">
        <v>2025</v>
      </c>
      <c r="F13" s="1"/>
      <c r="G13" s="1"/>
      <c r="H13" s="1"/>
      <c r="I13" s="1"/>
    </row>
    <row r="14" spans="1:9" ht="15.75" x14ac:dyDescent="0.25">
      <c r="A14" s="1"/>
      <c r="B14" s="1"/>
      <c r="C14" s="7" t="s">
        <v>2</v>
      </c>
      <c r="D14" s="1"/>
      <c r="E14" s="8">
        <v>2</v>
      </c>
      <c r="F14" s="4"/>
      <c r="G14" s="1"/>
      <c r="H14" s="1"/>
      <c r="I14" s="1"/>
    </row>
    <row r="15" spans="1:9" x14ac:dyDescent="0.2">
      <c r="A15" s="1"/>
      <c r="B15" s="1"/>
      <c r="C15" s="1"/>
      <c r="D15" s="1"/>
      <c r="E15" s="9"/>
      <c r="F15" s="1"/>
      <c r="G15" s="1"/>
      <c r="H15" s="1"/>
      <c r="I15" s="1"/>
    </row>
    <row r="16" spans="1:9" ht="15.75" x14ac:dyDescent="0.25">
      <c r="A16" s="1"/>
      <c r="B16" s="1"/>
      <c r="C16" s="10" t="s">
        <v>3</v>
      </c>
      <c r="D16" s="11"/>
      <c r="E16" s="12">
        <v>1.7000000000000001E-2</v>
      </c>
      <c r="F16" s="4"/>
      <c r="G16" s="1"/>
      <c r="H16" s="1"/>
      <c r="I16" s="1"/>
    </row>
    <row r="17" spans="1:9" ht="15.75" x14ac:dyDescent="0.25">
      <c r="A17" s="1"/>
      <c r="B17" s="1"/>
      <c r="C17" s="7" t="s">
        <v>4</v>
      </c>
      <c r="D17" s="1"/>
      <c r="E17" s="1"/>
      <c r="F17" s="1"/>
      <c r="G17" s="1"/>
      <c r="H17" s="1"/>
      <c r="I17" s="1"/>
    </row>
    <row r="18" spans="1:9" ht="25.5" x14ac:dyDescent="0.25">
      <c r="A18" s="1"/>
      <c r="B18" s="1"/>
      <c r="C18" s="13" t="s">
        <v>33</v>
      </c>
      <c r="D18" s="1"/>
      <c r="E18" s="14">
        <v>7939669.94739848</v>
      </c>
      <c r="F18" s="7"/>
      <c r="G18" s="1"/>
      <c r="H18" s="1"/>
      <c r="I18" s="1"/>
    </row>
    <row r="19" spans="1:9" ht="15.75" x14ac:dyDescent="0.25">
      <c r="A19" s="1"/>
      <c r="B19" s="1"/>
      <c r="C19" s="13" t="s">
        <v>34</v>
      </c>
      <c r="D19" s="1"/>
      <c r="E19" s="14">
        <v>7939669.94739848</v>
      </c>
      <c r="F19" s="7"/>
      <c r="G19" s="1"/>
      <c r="H19" s="1"/>
      <c r="I19" s="1"/>
    </row>
    <row r="20" spans="1:9" ht="15.75" x14ac:dyDescent="0.25">
      <c r="A20" s="1"/>
      <c r="B20" s="1"/>
      <c r="C20" s="10" t="s">
        <v>5</v>
      </c>
      <c r="D20" s="11"/>
      <c r="E20" s="12">
        <v>0</v>
      </c>
      <c r="F20" s="4"/>
      <c r="G20" s="1"/>
      <c r="H20" s="1"/>
      <c r="I20" s="1"/>
    </row>
    <row r="21" spans="1:9" ht="15.75" x14ac:dyDescent="0.25">
      <c r="A21" s="1"/>
      <c r="B21" s="1"/>
      <c r="C21" s="10" t="s">
        <v>6</v>
      </c>
      <c r="D21" s="11"/>
      <c r="E21" s="15">
        <v>0.1</v>
      </c>
      <c r="F21" s="7"/>
      <c r="G21" s="1"/>
      <c r="H21" s="1"/>
      <c r="I21" s="1"/>
    </row>
    <row r="22" spans="1:9" ht="15.75" x14ac:dyDescent="0.25">
      <c r="A22" s="1"/>
      <c r="B22" s="1"/>
      <c r="C22" s="7" t="s">
        <v>7</v>
      </c>
      <c r="D22" s="1"/>
      <c r="E22" s="9"/>
      <c r="F22" s="1"/>
      <c r="G22" s="1"/>
      <c r="H22" s="1"/>
      <c r="I22" s="1"/>
    </row>
    <row r="23" spans="1:9" x14ac:dyDescent="0.2">
      <c r="A23" s="1"/>
      <c r="B23" s="1"/>
      <c r="C23" s="1" t="s">
        <v>8</v>
      </c>
      <c r="D23" s="1"/>
      <c r="E23" s="16">
        <v>46201000</v>
      </c>
      <c r="F23" s="1"/>
      <c r="G23" s="1"/>
      <c r="H23" s="1"/>
      <c r="I23" s="1"/>
    </row>
    <row r="24" spans="1:9" x14ac:dyDescent="0.2">
      <c r="A24" s="1"/>
      <c r="B24" s="1"/>
      <c r="C24" s="17" t="s">
        <v>9</v>
      </c>
      <c r="D24" s="1"/>
      <c r="E24" s="16">
        <v>0</v>
      </c>
      <c r="F24" s="1"/>
      <c r="G24" s="1"/>
      <c r="H24" s="1"/>
      <c r="I24" s="1"/>
    </row>
    <row r="25" spans="1:9" x14ac:dyDescent="0.2">
      <c r="A25" s="1"/>
      <c r="B25" s="1"/>
      <c r="C25" s="17" t="s">
        <v>10</v>
      </c>
      <c r="D25" s="1"/>
      <c r="E25" s="16">
        <v>4064000</v>
      </c>
      <c r="F25" s="1"/>
      <c r="G25" s="1"/>
      <c r="H25" s="1"/>
      <c r="I25" s="1"/>
    </row>
    <row r="26" spans="1:9" x14ac:dyDescent="0.2">
      <c r="A26" s="1"/>
      <c r="B26" s="1"/>
      <c r="C26" s="17" t="s">
        <v>11</v>
      </c>
      <c r="D26" s="1"/>
      <c r="E26" s="16">
        <v>0</v>
      </c>
      <c r="F26" s="1"/>
      <c r="G26" s="1"/>
      <c r="H26" s="1"/>
      <c r="I26" s="1"/>
    </row>
    <row r="27" spans="1:9" x14ac:dyDescent="0.2">
      <c r="A27" s="1"/>
      <c r="B27" s="1"/>
      <c r="C27" s="17" t="s">
        <v>12</v>
      </c>
      <c r="D27" s="1"/>
      <c r="E27" s="16">
        <v>0</v>
      </c>
      <c r="F27" s="1"/>
      <c r="G27" s="1"/>
      <c r="H27" s="1"/>
      <c r="I27" s="1"/>
    </row>
    <row r="28" spans="1:9" x14ac:dyDescent="0.2">
      <c r="A28" s="1"/>
      <c r="B28" s="1"/>
      <c r="C28" s="17" t="s">
        <v>13</v>
      </c>
      <c r="D28" s="1"/>
      <c r="E28" s="16">
        <v>0</v>
      </c>
      <c r="F28" s="1"/>
      <c r="G28" s="1"/>
      <c r="H28" s="1"/>
      <c r="I28" s="1"/>
    </row>
    <row r="29" spans="1:9" x14ac:dyDescent="0.2">
      <c r="A29" s="1"/>
      <c r="B29" s="1"/>
      <c r="C29" s="1" t="s">
        <v>14</v>
      </c>
      <c r="D29" s="1"/>
      <c r="E29" s="16">
        <v>50265000</v>
      </c>
      <c r="F29" s="1"/>
      <c r="G29" s="1"/>
      <c r="H29" s="1"/>
      <c r="I29" s="1"/>
    </row>
    <row r="30" spans="1:9" x14ac:dyDescent="0.2">
      <c r="A30" s="1"/>
      <c r="B30" s="1"/>
      <c r="C30" s="1"/>
      <c r="D30" s="1"/>
      <c r="E30" s="16"/>
      <c r="F30" s="1"/>
      <c r="G30" s="1"/>
      <c r="H30" s="1"/>
      <c r="I30" s="1"/>
    </row>
    <row r="31" spans="1:9" x14ac:dyDescent="0.2">
      <c r="A31" s="1"/>
      <c r="B31" s="1"/>
      <c r="C31" s="1" t="s">
        <v>15</v>
      </c>
      <c r="D31" s="1"/>
      <c r="E31" s="18">
        <f>(E23+E29)/2</f>
        <v>48233000</v>
      </c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6"/>
      <c r="F32" s="1"/>
      <c r="G32" s="1"/>
      <c r="H32" s="1"/>
      <c r="I32" s="1"/>
    </row>
    <row r="33" spans="1:9" x14ac:dyDescent="0.2">
      <c r="A33" s="1"/>
      <c r="B33" s="1"/>
      <c r="C33" s="17" t="s">
        <v>16</v>
      </c>
      <c r="D33" s="1"/>
      <c r="E33" s="16">
        <v>22019000</v>
      </c>
      <c r="F33" s="1"/>
      <c r="G33" s="1"/>
      <c r="H33" s="1"/>
      <c r="I33" s="1"/>
    </row>
    <row r="34" spans="1:9" ht="15.75" x14ac:dyDescent="0.25">
      <c r="A34" s="1"/>
      <c r="B34" s="1"/>
      <c r="C34" s="19" t="s">
        <v>17</v>
      </c>
      <c r="D34" s="1"/>
      <c r="E34" s="16">
        <v>1321000</v>
      </c>
      <c r="F34" s="7"/>
      <c r="G34" s="1"/>
      <c r="H34" s="1"/>
      <c r="I34" s="1"/>
    </row>
    <row r="35" spans="1:9" x14ac:dyDescent="0.2">
      <c r="A35" s="1"/>
      <c r="B35" s="1"/>
      <c r="C35" s="19" t="s">
        <v>18</v>
      </c>
      <c r="D35" s="1"/>
      <c r="E35" s="16">
        <v>0</v>
      </c>
      <c r="F35" s="1"/>
      <c r="G35" s="1"/>
      <c r="H35" s="1"/>
      <c r="I35" s="1"/>
    </row>
    <row r="36" spans="1:9" x14ac:dyDescent="0.2">
      <c r="A36" s="1"/>
      <c r="B36" s="1"/>
      <c r="C36" s="19" t="s">
        <v>19</v>
      </c>
      <c r="D36" s="1"/>
      <c r="E36" s="16">
        <v>0</v>
      </c>
      <c r="F36" s="1"/>
      <c r="G36" s="1"/>
      <c r="H36" s="1"/>
      <c r="I36" s="1"/>
    </row>
    <row r="37" spans="1:9" x14ac:dyDescent="0.2">
      <c r="A37" s="1"/>
      <c r="B37" s="1"/>
      <c r="C37" s="17" t="s">
        <v>20</v>
      </c>
      <c r="D37" s="1"/>
      <c r="E37" s="16">
        <v>23340000</v>
      </c>
      <c r="F37" s="1"/>
      <c r="G37" s="1"/>
      <c r="H37" s="1"/>
      <c r="I37" s="1"/>
    </row>
    <row r="38" spans="1:9" x14ac:dyDescent="0.2">
      <c r="A38" s="1"/>
      <c r="B38" s="1"/>
      <c r="C38" s="17"/>
      <c r="D38" s="1"/>
      <c r="E38" s="16"/>
      <c r="F38" s="1"/>
      <c r="G38" s="1"/>
      <c r="H38" s="1"/>
      <c r="I38" s="1"/>
    </row>
    <row r="39" spans="1:9" x14ac:dyDescent="0.2">
      <c r="A39" s="1"/>
      <c r="B39" s="1"/>
      <c r="C39" s="1" t="s">
        <v>21</v>
      </c>
      <c r="D39" s="1"/>
      <c r="E39" s="18">
        <f>(E33+E37)/2</f>
        <v>22679500</v>
      </c>
      <c r="F39" s="1"/>
      <c r="G39" s="1"/>
      <c r="H39" s="1"/>
      <c r="I39" s="1"/>
    </row>
    <row r="40" spans="1:9" x14ac:dyDescent="0.2">
      <c r="A40" s="1"/>
      <c r="B40" s="1"/>
      <c r="C40" s="1"/>
      <c r="D40" s="1"/>
      <c r="E40" s="16"/>
      <c r="F40" s="1"/>
      <c r="G40" s="1"/>
      <c r="H40" s="1"/>
      <c r="I40" s="1"/>
    </row>
    <row r="41" spans="1:9" ht="15.75" x14ac:dyDescent="0.25">
      <c r="A41" s="1"/>
      <c r="B41" s="1"/>
      <c r="C41" s="7" t="s">
        <v>22</v>
      </c>
      <c r="D41" s="1"/>
      <c r="E41" s="18">
        <f>E31-E39</f>
        <v>25553500</v>
      </c>
      <c r="F41" s="7"/>
      <c r="G41" s="1"/>
      <c r="H41" s="1"/>
      <c r="I41" s="1"/>
    </row>
    <row r="42" spans="1:9" x14ac:dyDescent="0.2">
      <c r="A42" s="1"/>
      <c r="B42" s="1"/>
      <c r="C42" s="1"/>
      <c r="D42" s="1"/>
      <c r="E42" s="9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9"/>
      <c r="F43" s="1"/>
      <c r="G43" s="1"/>
      <c r="H43" s="1"/>
      <c r="I43" s="1"/>
    </row>
    <row r="44" spans="1:9" ht="15.75" x14ac:dyDescent="0.25">
      <c r="A44" s="1"/>
      <c r="B44" s="1"/>
      <c r="C44" s="7" t="s">
        <v>23</v>
      </c>
      <c r="D44" s="1"/>
      <c r="E44" s="9"/>
      <c r="F44" s="1"/>
      <c r="G44" s="1"/>
      <c r="H44" s="1"/>
      <c r="I44" s="1"/>
    </row>
    <row r="45" spans="1:9" x14ac:dyDescent="0.2">
      <c r="A45" s="1"/>
      <c r="B45" s="1"/>
      <c r="C45" s="17" t="s">
        <v>24</v>
      </c>
      <c r="D45" s="1"/>
      <c r="E45" s="16">
        <v>14314000</v>
      </c>
      <c r="F45" s="1"/>
      <c r="G45" s="1"/>
      <c r="H45" s="1"/>
      <c r="I45" s="1"/>
    </row>
    <row r="46" spans="1:9" x14ac:dyDescent="0.2">
      <c r="A46" s="1"/>
      <c r="B46" s="1"/>
      <c r="C46" s="17" t="s">
        <v>25</v>
      </c>
      <c r="D46" s="1"/>
      <c r="E46" s="20">
        <v>7.4999999999999997E-2</v>
      </c>
      <c r="F46" s="1"/>
      <c r="G46" s="1"/>
      <c r="H46" s="1"/>
      <c r="I46" s="1"/>
    </row>
    <row r="47" spans="1:9" ht="15.75" x14ac:dyDescent="0.25">
      <c r="A47" s="1"/>
      <c r="B47" s="1"/>
      <c r="C47" s="7" t="s">
        <v>23</v>
      </c>
      <c r="D47" s="1"/>
      <c r="E47" s="18">
        <f>E45*E46</f>
        <v>1073550</v>
      </c>
      <c r="F47" s="7"/>
      <c r="G47" s="1"/>
      <c r="H47" s="1"/>
      <c r="I47" s="1"/>
    </row>
    <row r="48" spans="1:9" x14ac:dyDescent="0.2">
      <c r="A48" s="1"/>
      <c r="B48" s="1"/>
      <c r="C48" s="1"/>
      <c r="D48" s="1"/>
      <c r="E48" s="9"/>
      <c r="F48" s="1"/>
      <c r="G48" s="1"/>
      <c r="H48" s="1"/>
      <c r="I48" s="1"/>
    </row>
    <row r="49" spans="1:9" ht="16.5" thickBot="1" x14ac:dyDescent="0.3">
      <c r="A49" s="1"/>
      <c r="B49" s="1"/>
      <c r="C49" s="7" t="s">
        <v>26</v>
      </c>
      <c r="D49" s="1"/>
      <c r="E49" s="21">
        <f>E41+E47</f>
        <v>26627050</v>
      </c>
      <c r="F49" s="4"/>
      <c r="G49" s="1"/>
      <c r="H49" s="1"/>
      <c r="I49" s="1"/>
    </row>
    <row r="50" spans="1:9" x14ac:dyDescent="0.2">
      <c r="A50" s="1"/>
      <c r="B50" s="1"/>
      <c r="C50" s="1"/>
      <c r="D50" s="1"/>
      <c r="E50" s="9"/>
      <c r="F50" s="17"/>
      <c r="G50" s="1"/>
      <c r="H50" s="1"/>
      <c r="I50" s="1"/>
    </row>
    <row r="51" spans="1:9" ht="15.75" x14ac:dyDescent="0.25">
      <c r="A51" s="1"/>
      <c r="B51" s="1"/>
      <c r="C51" s="7" t="s">
        <v>27</v>
      </c>
      <c r="D51" s="22"/>
      <c r="E51" s="23">
        <f>E34</f>
        <v>1321000</v>
      </c>
      <c r="F51" s="4"/>
      <c r="G51" s="1"/>
      <c r="H51" s="1"/>
      <c r="I51" s="1"/>
    </row>
    <row r="52" spans="1:9" x14ac:dyDescent="0.2">
      <c r="A52" s="1"/>
      <c r="B52" s="1"/>
      <c r="C52" s="1"/>
      <c r="D52" s="1"/>
      <c r="E52" s="9"/>
      <c r="F52" s="1"/>
      <c r="G52" s="1"/>
      <c r="H52" s="1"/>
      <c r="I52" s="1"/>
    </row>
    <row r="53" spans="1:9" ht="15.75" x14ac:dyDescent="0.25">
      <c r="A53" s="1"/>
      <c r="B53" s="1"/>
      <c r="C53" s="7" t="s">
        <v>28</v>
      </c>
      <c r="D53" s="1"/>
      <c r="E53" s="24"/>
      <c r="F53" s="7"/>
      <c r="G53" s="1"/>
      <c r="H53" s="1"/>
      <c r="I53" s="1"/>
    </row>
    <row r="54" spans="1:9" ht="15.75" x14ac:dyDescent="0.25">
      <c r="A54" s="1"/>
      <c r="B54" s="1"/>
      <c r="C54" s="1" t="str">
        <f>CONCATENATE("    Price Cap IR Year ",E13+1)</f>
        <v xml:space="preserve">    Price Cap IR Year 2026</v>
      </c>
      <c r="D54" s="1"/>
      <c r="E54" s="25">
        <f>IF(ISERROR(1+((RB/d)*(g+PCI*(1+g)))*((1+g)*(1+PCI))^(1-1) + 10%), 0, 1+((RB/d)*(g+PCI*(1+g)))*((1+g)*(1+PCI))^(1-1) + 10%)</f>
        <v>1.4426645344436033</v>
      </c>
      <c r="F54" s="7"/>
      <c r="G54" s="1"/>
      <c r="H54" s="1"/>
      <c r="I54" s="1"/>
    </row>
    <row r="55" spans="1:9" ht="15.75" x14ac:dyDescent="0.25">
      <c r="A55" s="1"/>
      <c r="B55" s="1"/>
      <c r="C55" s="1" t="str">
        <f>CONCATENATE("    Price Cap IR Year ",E13+2)</f>
        <v xml:space="preserve">    Price Cap IR Year 2027</v>
      </c>
      <c r="D55" s="1"/>
      <c r="E55" s="25">
        <f>IF(ISERROR(1+((RB/d)*(g+PCI*(1+g)))*((1+g)*(1+PCI))^(2-1) + 10%), 0, 1+((RB/d)*(g+PCI*(1+g)))*((1+g)*(1+PCI))^(2-1) + 10%)</f>
        <v>1.4484898315291446</v>
      </c>
      <c r="F55" s="7"/>
      <c r="G55" s="1"/>
      <c r="H55" s="1"/>
      <c r="I55" s="1"/>
    </row>
    <row r="56" spans="1:9" ht="15.75" x14ac:dyDescent="0.25">
      <c r="A56" s="1"/>
      <c r="B56" s="1"/>
      <c r="C56" s="1" t="str">
        <f>CONCATENATE("    Price Cap IR Year ",E13+3)</f>
        <v xml:space="preserve">    Price Cap IR Year 2028</v>
      </c>
      <c r="D56" s="1"/>
      <c r="E56" s="25">
        <f>IF(ISERROR(1+((RB/d)*(g+PCI*(1+g)))*((1+g)*(1+PCI))^(3-1) + 10%), 0, 1+((RB/d)*(g+PCI*(1+g)))*((1+g)*(1+PCI))^(3-1) + 10%)</f>
        <v>1.45441415866514</v>
      </c>
      <c r="F56" s="1"/>
      <c r="G56" s="1"/>
      <c r="H56" s="1"/>
      <c r="I56" s="1"/>
    </row>
    <row r="57" spans="1:9" ht="15.75" x14ac:dyDescent="0.25">
      <c r="A57" s="1"/>
      <c r="B57" s="1"/>
      <c r="C57" s="1" t="str">
        <f>CONCATENATE("    Price Cap IR Year ",E13+4)</f>
        <v xml:space="preserve">    Price Cap IR Year 2029</v>
      </c>
      <c r="D57" s="1"/>
      <c r="E57" s="25">
        <f>IF(ISERROR(1+((RB/d)*(g+PCI*(1+g)))*((1+g)*(1+PCI))^(4-1) + 10%), 0, 1+((RB/d)*(g+PCI*(1+g)))*((1+g)*(1+PCI))^(4-1) + 10%)</f>
        <v>1.4604391993624475</v>
      </c>
      <c r="F57" s="1"/>
      <c r="G57" s="1"/>
      <c r="H57" s="1"/>
      <c r="I57" s="1"/>
    </row>
    <row r="58" spans="1:9" ht="15.75" x14ac:dyDescent="0.25">
      <c r="A58" s="1"/>
      <c r="B58" s="1"/>
      <c r="C58" s="1" t="str">
        <f>CONCATENATE("    Price Cap IR Year ",E13+5)</f>
        <v xml:space="preserve">    Price Cap IR Year 2030</v>
      </c>
      <c r="D58" s="1"/>
      <c r="E58" s="25">
        <f>IF(ISERROR(1+((RB/d)*(g+PCI*(1+g)))*((1+g)*(1+PCI))^(5-1) + 10%), 0, 1+((RB/d)*(g+PCI*(1+g)))*((1+g)*(1+PCI))^(5-1) + 10%)</f>
        <v>1.466566665751609</v>
      </c>
      <c r="F58" s="1"/>
      <c r="G58" s="1"/>
      <c r="H58" s="1"/>
      <c r="I58" s="1"/>
    </row>
    <row r="59" spans="1:9" ht="15.75" x14ac:dyDescent="0.25">
      <c r="A59" s="1"/>
      <c r="B59" s="1"/>
      <c r="C59" s="1" t="str">
        <f>CONCATENATE("    Price Cap IR Year ",E13+6)</f>
        <v xml:space="preserve">    Price Cap IR Year 2031</v>
      </c>
      <c r="D59" s="1"/>
      <c r="E59" s="25">
        <f>IF(ISERROR(1+((RB/d)*(g+PCI*(1+g)))*((1+g)*(1+PCI))^(6-1) + 10%), 0, 1+((RB/d)*(g+PCI*(1+g)))*((1+g)*(1+PCI))^(6-1) + 10%)</f>
        <v>1.4727982990693862</v>
      </c>
      <c r="F59" s="1"/>
      <c r="G59" s="1"/>
      <c r="H59" s="1"/>
      <c r="I59" s="1"/>
    </row>
    <row r="60" spans="1:9" ht="15.75" x14ac:dyDescent="0.25">
      <c r="A60" s="1"/>
      <c r="B60" s="1"/>
      <c r="C60" s="1" t="str">
        <f>CONCATENATE("    Price Cap IR Year ",E13+7)</f>
        <v xml:space="preserve">    Price Cap IR Year 2032</v>
      </c>
      <c r="D60" s="1"/>
      <c r="E60" s="25">
        <f>IF(ISERROR(1+((RB/d)*(g+PCI*(1+g)))*((1+g)*(1+PCI))^(7-1) + 10%), 0, 1+((RB/d)*(g+PCI*(1+g)))*((1+g)*(1+PCI))^(7-1) + 10%)</f>
        <v>1.479135870153566</v>
      </c>
      <c r="F60" s="1"/>
      <c r="G60" s="1"/>
      <c r="H60" s="1"/>
      <c r="I60" s="1"/>
    </row>
    <row r="61" spans="1:9" ht="15.75" x14ac:dyDescent="0.25">
      <c r="A61" s="1"/>
      <c r="B61" s="1"/>
      <c r="C61" s="1" t="str">
        <f>CONCATENATE("    Price Cap IR Year ",E13+8)</f>
        <v xml:space="preserve">    Price Cap IR Year 2033</v>
      </c>
      <c r="D61" s="1"/>
      <c r="E61" s="25">
        <f>IF(ISERROR(1+((RB/d)*(g+PCI*(1+g)))*((1+g)*(1+PCI))^(8-1) + 10%), 0, 1+((RB/d)*(g+PCI*(1+g)))*((1+g)*(1+PCI))^(8-1) + 10%)</f>
        <v>1.4855811799461764</v>
      </c>
      <c r="F61" s="1"/>
      <c r="G61" s="1"/>
      <c r="H61" s="1"/>
      <c r="I61" s="1"/>
    </row>
    <row r="62" spans="1:9" ht="15.75" x14ac:dyDescent="0.25">
      <c r="A62" s="1"/>
      <c r="B62" s="1"/>
      <c r="C62" s="1" t="str">
        <f>CONCATENATE("    Price Cap IR Year ",E13+9)</f>
        <v xml:space="preserve">    Price Cap IR Year 2034</v>
      </c>
      <c r="D62" s="1"/>
      <c r="E62" s="25">
        <f>IF(ISERROR(1+((RB/d)*(g+PCI*(1+g)))*((1+g)*(1+PCI))^(9-1) + 10%), 0, 1+((RB/d)*(g+PCI*(1+g)))*((1+g)*(1+PCI))^(9-1) + 10%)</f>
        <v>1.4921360600052613</v>
      </c>
      <c r="F62" s="1"/>
      <c r="G62" s="1"/>
      <c r="H62" s="1"/>
      <c r="I62" s="1"/>
    </row>
    <row r="63" spans="1:9" ht="15.75" x14ac:dyDescent="0.25">
      <c r="A63" s="1"/>
      <c r="B63" s="1"/>
      <c r="C63" s="1" t="str">
        <f>CONCATENATE("    Price Cap IR Year ",E13+10)</f>
        <v xml:space="preserve">    Price Cap IR Year 2035</v>
      </c>
      <c r="D63" s="1"/>
      <c r="E63" s="25">
        <f>IF(ISERROR(1+((RB/d)*(g+PCI*(1+g)))*((1+g)*(1+PCI))^(10-1) + 10%), 0, 1+((RB/d)*(g+PCI*(1+g)))*((1+g)*(1+PCI))^(10-1) + 10%)</f>
        <v>1.4988023730253508</v>
      </c>
      <c r="F63" s="1"/>
      <c r="G63" s="1"/>
      <c r="H63" s="1"/>
      <c r="I63" s="1"/>
    </row>
    <row r="64" spans="1:9" ht="15.75" x14ac:dyDescent="0.25">
      <c r="A64" s="1"/>
      <c r="B64" s="1"/>
      <c r="C64" s="7"/>
      <c r="D64" s="1"/>
      <c r="E64" s="9"/>
      <c r="F64" s="1"/>
      <c r="G64" s="1"/>
      <c r="H64" s="1"/>
      <c r="I64" s="1"/>
    </row>
    <row r="65" spans="1:9" ht="15.75" x14ac:dyDescent="0.25">
      <c r="A65" s="1"/>
      <c r="B65" s="1"/>
      <c r="C65" s="7" t="s">
        <v>29</v>
      </c>
      <c r="D65" s="1"/>
      <c r="E65" s="26"/>
      <c r="F65" s="7"/>
      <c r="G65" s="1"/>
      <c r="H65" s="1"/>
      <c r="I65" s="1"/>
    </row>
    <row r="66" spans="1:9" ht="15.75" x14ac:dyDescent="0.25">
      <c r="A66" s="1"/>
      <c r="B66" s="1"/>
      <c r="C66" s="1" t="str">
        <f>C54</f>
        <v xml:space="preserve">    Price Cap IR Year 2026</v>
      </c>
      <c r="D66" s="1"/>
      <c r="E66" s="27">
        <f t="shared" ref="E66:E75" si="0">IF(ISERROR(d*E54), "", d*E54)</f>
        <v>1905759.85</v>
      </c>
      <c r="F66" s="1"/>
      <c r="G66" s="1"/>
      <c r="H66" s="1"/>
      <c r="I66" s="1"/>
    </row>
    <row r="67" spans="1:9" ht="15.75" x14ac:dyDescent="0.25">
      <c r="A67" s="1"/>
      <c r="B67" s="1"/>
      <c r="C67" s="1" t="str">
        <f>C55</f>
        <v xml:space="preserve">    Price Cap IR Year 2027</v>
      </c>
      <c r="D67" s="1"/>
      <c r="E67" s="27">
        <f t="shared" si="0"/>
        <v>1913455.06745</v>
      </c>
      <c r="F67" s="1"/>
      <c r="G67" s="1"/>
      <c r="H67" s="1"/>
      <c r="I67" s="1"/>
    </row>
    <row r="68" spans="1:9" ht="15.75" x14ac:dyDescent="0.25">
      <c r="A68" s="1"/>
      <c r="B68" s="1"/>
      <c r="C68" s="1" t="str">
        <f>C56</f>
        <v xml:space="preserve">    Price Cap IR Year 2028</v>
      </c>
      <c r="D68" s="1"/>
      <c r="E68" s="27">
        <f t="shared" si="0"/>
        <v>1921281.1035966501</v>
      </c>
      <c r="F68" s="1"/>
      <c r="G68" s="1"/>
      <c r="H68" s="1"/>
      <c r="I68" s="1"/>
    </row>
    <row r="69" spans="1:9" ht="15.75" x14ac:dyDescent="0.25">
      <c r="A69" s="1"/>
      <c r="B69" s="1"/>
      <c r="C69" s="1" t="str">
        <f>C57</f>
        <v xml:space="preserve">    Price Cap IR Year 2029</v>
      </c>
      <c r="D69" s="1"/>
      <c r="E69" s="27">
        <f t="shared" si="0"/>
        <v>1929240.1823577932</v>
      </c>
      <c r="F69" s="1"/>
      <c r="G69" s="1"/>
      <c r="H69" s="1"/>
      <c r="I69" s="1"/>
    </row>
    <row r="70" spans="1:9" ht="15.75" x14ac:dyDescent="0.25">
      <c r="A70" s="1"/>
      <c r="B70" s="1"/>
      <c r="C70" s="1" t="str">
        <f t="shared" ref="C70:C75" si="1">C58</f>
        <v xml:space="preserve">    Price Cap IR Year 2030</v>
      </c>
      <c r="D70" s="1"/>
      <c r="E70" s="27">
        <f t="shared" si="0"/>
        <v>1937334.5654578754</v>
      </c>
      <c r="F70" s="1"/>
      <c r="G70" s="1"/>
      <c r="H70" s="1"/>
      <c r="I70" s="1"/>
    </row>
    <row r="71" spans="1:9" ht="15.75" x14ac:dyDescent="0.25">
      <c r="A71" s="1"/>
      <c r="B71" s="1"/>
      <c r="C71" s="1" t="str">
        <f t="shared" si="1"/>
        <v xml:space="preserve">    Price Cap IR Year 2031</v>
      </c>
      <c r="D71" s="1"/>
      <c r="E71" s="27">
        <f t="shared" si="0"/>
        <v>1945566.5530706591</v>
      </c>
      <c r="F71" s="1"/>
      <c r="G71" s="1"/>
      <c r="H71" s="1"/>
      <c r="I71" s="1"/>
    </row>
    <row r="72" spans="1:9" ht="15.75" x14ac:dyDescent="0.25">
      <c r="A72" s="1"/>
      <c r="B72" s="1"/>
      <c r="C72" s="1" t="str">
        <f t="shared" si="1"/>
        <v xml:space="preserve">    Price Cap IR Year 2032</v>
      </c>
      <c r="D72" s="1"/>
      <c r="E72" s="27">
        <f t="shared" si="0"/>
        <v>1953938.4844728606</v>
      </c>
      <c r="F72" s="1"/>
      <c r="G72" s="1"/>
      <c r="H72" s="1"/>
      <c r="I72" s="1"/>
    </row>
    <row r="73" spans="1:9" ht="15.75" x14ac:dyDescent="0.25">
      <c r="A73" s="1"/>
      <c r="B73" s="1"/>
      <c r="C73" s="1" t="str">
        <f t="shared" si="1"/>
        <v xml:space="preserve">    Price Cap IR Year 2033</v>
      </c>
      <c r="D73" s="1"/>
      <c r="E73" s="27">
        <f t="shared" si="0"/>
        <v>1962452.7387088991</v>
      </c>
      <c r="F73" s="1"/>
      <c r="G73" s="1"/>
      <c r="H73" s="1"/>
      <c r="I73" s="1"/>
    </row>
    <row r="74" spans="1:9" ht="15.75" x14ac:dyDescent="0.25">
      <c r="A74" s="1"/>
      <c r="B74" s="1"/>
      <c r="C74" s="1" t="str">
        <f t="shared" si="1"/>
        <v xml:space="preserve">    Price Cap IR Year 2034</v>
      </c>
      <c r="D74" s="1"/>
      <c r="E74" s="27">
        <f t="shared" si="0"/>
        <v>1971111.7352669502</v>
      </c>
      <c r="F74" s="1"/>
      <c r="G74" s="1"/>
      <c r="H74" s="1"/>
      <c r="I74" s="1"/>
    </row>
    <row r="75" spans="1:9" ht="15.75" x14ac:dyDescent="0.25">
      <c r="A75" s="1"/>
      <c r="B75" s="1"/>
      <c r="C75" s="1" t="str">
        <f t="shared" si="1"/>
        <v xml:space="preserve">    Price Cap IR Year 2035</v>
      </c>
      <c r="D75" s="1"/>
      <c r="E75" s="27">
        <f t="shared" si="0"/>
        <v>1979917.9347664884</v>
      </c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28" t="s">
        <v>30</v>
      </c>
      <c r="C77" s="29" t="s">
        <v>31</v>
      </c>
      <c r="D77" s="29"/>
      <c r="E77" s="29"/>
      <c r="F77" s="29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30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</sheetData>
  <mergeCells count="2">
    <mergeCell ref="C9:E9"/>
    <mergeCell ref="C77:F77"/>
  </mergeCells>
  <pageMargins left="0.7" right="0.7" top="0.75" bottom="0.75" header="0.3" footer="0.3"/>
  <pageSetup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6YNFE3WTN53P-2032442789-1192</_dlc_DocId>
    <_dlc_DocIdUrl xmlns="2bc3004b-9ad1-483e-becf-bfd5ad8c6084">
      <Url>https://epcorweb/en-ca/departments/natgas/sites/ON/ONReg/_layouts/15/DocIdRedir.aspx?ID=6YNFE3WTN53P-2032442789-1192</Url>
      <Description>6YNFE3WTN53P-2032442789-1192</Description>
    </_dlc_DocIdUrl>
  </documentManagement>
</p:properties>
</file>

<file path=customXml/itemProps1.xml><?xml version="1.0" encoding="utf-8"?>
<ds:datastoreItem xmlns:ds="http://schemas.openxmlformats.org/officeDocument/2006/customXml" ds:itemID="{C18D0EFE-B038-4384-B213-EBB0B57C4683}"/>
</file>

<file path=customXml/itemProps2.xml><?xml version="1.0" encoding="utf-8"?>
<ds:datastoreItem xmlns:ds="http://schemas.openxmlformats.org/officeDocument/2006/customXml" ds:itemID="{EDCA56DB-DC30-44B9-9BAE-84770BB5C0D3}"/>
</file>

<file path=customXml/itemProps3.xml><?xml version="1.0" encoding="utf-8"?>
<ds:datastoreItem xmlns:ds="http://schemas.openxmlformats.org/officeDocument/2006/customXml" ds:itemID="{546993EF-0F82-4572-9DB3-F476FED9CF85}"/>
</file>

<file path=customXml/itemProps4.xml><?xml version="1.0" encoding="utf-8"?>
<ds:datastoreItem xmlns:ds="http://schemas.openxmlformats.org/officeDocument/2006/customXml" ds:itemID="{630CE493-B9BF-4DA9-9247-6196326B87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d</vt:lpstr>
      <vt:lpstr>g</vt:lpstr>
      <vt:lpstr>PCI</vt:lpstr>
      <vt:lpstr>RB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Hesselink, Tim</dc:creator>
  <cp:lastModifiedBy>Hesselink, Tim</cp:lastModifiedBy>
  <cp:lastPrinted>2024-10-02T15:00:33Z</cp:lastPrinted>
  <dcterms:created xsi:type="dcterms:W3CDTF">2024-10-02T14:58:44Z</dcterms:created>
  <dcterms:modified xsi:type="dcterms:W3CDTF">2024-10-02T15:00:38Z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6510825b-ea02-44ea-8564-40430d9ab2bc</vt:lpwstr>
  </property>
</Properties>
</file>