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codeName="ThisWorkbook" defaultThemeVersion="124226"/>
  <xr:revisionPtr revIDLastSave="160" documentId="8_{18B59F0A-F406-4370-B31C-096450BC13BF}" xr6:coauthVersionLast="47" xr6:coauthVersionMax="47" xr10:uidLastSave="{F316C757-ADB8-4AA1-A5F5-9C9111E47B5A}"/>
  <bookViews>
    <workbookView xWindow="-120" yWindow="-120" windowWidth="20730" windowHeight="11040" tabRatio="855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 WN-OLD" sheetId="78" state="hidden" r:id="rId4"/>
    <sheet name="Power Purchased Model - WN" sheetId="80" r:id="rId5"/>
    <sheet name="Rate Class Energy Model" sheetId="9" r:id="rId6"/>
    <sheet name="Rate Class Customer Model" sheetId="17" r:id="rId7"/>
    <sheet name="Rate Class Load Model" sheetId="18" r:id="rId8"/>
    <sheet name="Weather Analysis" sheetId="76" r:id="rId9"/>
  </sheets>
  <definedNames>
    <definedName name="__CAP1000" localSheetId="2">#REF!</definedName>
    <definedName name="__CAP1000" localSheetId="4">#REF!</definedName>
    <definedName name="__CAP1000" localSheetId="3">#REF!</definedName>
    <definedName name="__CAP1000" localSheetId="8">#REF!</definedName>
    <definedName name="__CAP1000">#REF!</definedName>
    <definedName name="__OP1000" localSheetId="2">#REF!</definedName>
    <definedName name="__OP1000" localSheetId="4">#REF!</definedName>
    <definedName name="__OP1000" localSheetId="3">#REF!</definedName>
    <definedName name="__OP1000">#REF!</definedName>
    <definedName name="_110" localSheetId="2">#REF!</definedName>
    <definedName name="_110" localSheetId="4">#REF!</definedName>
    <definedName name="_110" localSheetId="3">#REF!</definedName>
    <definedName name="_110">#REF!</definedName>
    <definedName name="_110INPT" localSheetId="2">#REF!</definedName>
    <definedName name="_110INPT" localSheetId="4">#REF!</definedName>
    <definedName name="_110INPT" localSheetId="3">#REF!</definedName>
    <definedName name="_110INPT">#REF!</definedName>
    <definedName name="_115" localSheetId="2">#REF!</definedName>
    <definedName name="_115" localSheetId="4">#REF!</definedName>
    <definedName name="_115" localSheetId="3">#REF!</definedName>
    <definedName name="_115">#REF!</definedName>
    <definedName name="_115INPT" localSheetId="2">#REF!</definedName>
    <definedName name="_115INPT" localSheetId="4">#REF!</definedName>
    <definedName name="_115INPT" localSheetId="3">#REF!</definedName>
    <definedName name="_115INPT">#REF!</definedName>
    <definedName name="_120" localSheetId="2">#REF!</definedName>
    <definedName name="_120" localSheetId="4">#REF!</definedName>
    <definedName name="_120" localSheetId="3">#REF!</definedName>
    <definedName name="_120">#REF!</definedName>
    <definedName name="_140" localSheetId="2">#REF!</definedName>
    <definedName name="_140" localSheetId="4">#REF!</definedName>
    <definedName name="_140" localSheetId="3">#REF!</definedName>
    <definedName name="_140">#REF!</definedName>
    <definedName name="_140INPT" localSheetId="2">#REF!</definedName>
    <definedName name="_140INPT" localSheetId="4">#REF!</definedName>
    <definedName name="_140INPT" localSheetId="3">#REF!</definedName>
    <definedName name="_140INPT">#REF!</definedName>
    <definedName name="_CAP1000" localSheetId="2">#REF!</definedName>
    <definedName name="_CAP1000" localSheetId="4">#REF!</definedName>
    <definedName name="_CAP1000" localSheetId="3">#REF!</definedName>
    <definedName name="_CAP1000">#REF!</definedName>
    <definedName name="_Fill" localSheetId="8" hidden="1">#REF!</definedName>
    <definedName name="_Fill" hidden="1">#REF!</definedName>
    <definedName name="_OP1000" localSheetId="2">#REF!</definedName>
    <definedName name="_OP1000" localSheetId="4">#REF!</definedName>
    <definedName name="_OP1000" localSheetId="3">#REF!</definedName>
    <definedName name="_OP1000" localSheetId="8">#REF!</definedName>
    <definedName name="_OP1000">#REF!</definedName>
    <definedName name="_Order1" hidden="1">255</definedName>
    <definedName name="_Order2" hidden="1">0</definedName>
    <definedName name="_Sort" localSheetId="8" hidden="1">#REF!</definedName>
    <definedName name="_Sort" hidden="1">#REF!</definedName>
    <definedName name="ALL" localSheetId="2">#REF!</definedName>
    <definedName name="ALL" localSheetId="4">#REF!</definedName>
    <definedName name="ALL" localSheetId="3">#REF!</definedName>
    <definedName name="ALL" localSheetId="8">#REF!</definedName>
    <definedName name="ALL">#REF!</definedName>
    <definedName name="ApprovedYr" localSheetId="8">#REF!</definedName>
    <definedName name="ApprovedYr">#REF!</definedName>
    <definedName name="CAfile" localSheetId="8">#REF!</definedName>
    <definedName name="CAfile">#REF!</definedName>
    <definedName name="CAPCOSTS" localSheetId="2">#REF!</definedName>
    <definedName name="CAPCOSTS" localSheetId="4">#REF!</definedName>
    <definedName name="CAPCOSTS" localSheetId="3">#REF!</definedName>
    <definedName name="CAPCOSTS" localSheetId="8">#REF!</definedName>
    <definedName name="CAPCOSTS">#REF!</definedName>
    <definedName name="CAPITAL" localSheetId="2">#REF!</definedName>
    <definedName name="CAPITAL" localSheetId="4">#REF!</definedName>
    <definedName name="CAPITAL" localSheetId="3">#REF!</definedName>
    <definedName name="CAPITAL">#REF!</definedName>
    <definedName name="CapitalExpListing" localSheetId="2">#REF!</definedName>
    <definedName name="CapitalExpListing" localSheetId="4">#REF!</definedName>
    <definedName name="CapitalExpListing" localSheetId="3">#REF!</definedName>
    <definedName name="CapitalExpListing">#REF!</definedName>
    <definedName name="CArevReq" localSheetId="8">#REF!</definedName>
    <definedName name="CArevReq">#REF!</definedName>
    <definedName name="CASENUMBER">#REF!</definedName>
    <definedName name="CASHFLOW" localSheetId="2">#REF!</definedName>
    <definedName name="CASHFLOW" localSheetId="4">#REF!</definedName>
    <definedName name="CASHFLOW" localSheetId="3">#REF!</definedName>
    <definedName name="CASHFLOW" localSheetId="8">#REF!</definedName>
    <definedName name="CASHFLOW">#REF!</definedName>
    <definedName name="cc" localSheetId="2">#REF!</definedName>
    <definedName name="cc" localSheetId="4">#REF!</definedName>
    <definedName name="cc" localSheetId="3">#REF!</definedName>
    <definedName name="cc">#REF!</definedName>
    <definedName name="ClassRange1" localSheetId="8">#REF!</definedName>
    <definedName name="ClassRange1">#REF!</definedName>
    <definedName name="ClassRange2" localSheetId="8">#REF!</definedName>
    <definedName name="ClassRange2">#REF!</definedName>
    <definedName name="contactf" localSheetId="2">#REF!</definedName>
    <definedName name="contactf" localSheetId="4">#REF!</definedName>
    <definedName name="contactf" localSheetId="3">#REF!</definedName>
    <definedName name="contactf" localSheetId="8">#REF!</definedName>
    <definedName name="contactf">#REF!</definedName>
    <definedName name="_xlnm.Criteria" localSheetId="2">#REF!</definedName>
    <definedName name="_xlnm.Criteria" localSheetId="4">#REF!</definedName>
    <definedName name="_xlnm.Criteria" localSheetId="3">#REF!</definedName>
    <definedName name="_xlnm.Criteria">#REF!</definedName>
    <definedName name="CRLF" localSheetId="8">#REF!</definedName>
    <definedName name="CRLF">#REF!</definedName>
    <definedName name="_xlnm.Database" localSheetId="2">#REF!</definedName>
    <definedName name="_xlnm.Database" localSheetId="4">#REF!</definedName>
    <definedName name="_xlnm.Database" localSheetId="3">#REF!</definedName>
    <definedName name="_xlnm.Database" localSheetId="8">#REF!</definedName>
    <definedName name="_xlnm.Database">#REF!</definedName>
    <definedName name="DaysInPreviousYear" localSheetId="8">#REF!</definedName>
    <definedName name="DaysInPreviousYear">#REF!</definedName>
    <definedName name="DaysInYear" localSheetId="8">#REF!</definedName>
    <definedName name="DaysInYear">#REF!</definedName>
    <definedName name="DEBTREPAY" localSheetId="2">#REF!</definedName>
    <definedName name="DEBTREPAY" localSheetId="4">#REF!</definedName>
    <definedName name="DEBTREPAY" localSheetId="3">#REF!</definedName>
    <definedName name="DEBTREPAY" localSheetId="8">#REF!</definedName>
    <definedName name="DEBTREPAY">#REF!</definedName>
    <definedName name="DeptDiv" localSheetId="2">#REF!</definedName>
    <definedName name="DeptDiv" localSheetId="4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4">#REF!</definedName>
    <definedName name="ExpenseAccountListing" localSheetId="3">#REF!</definedName>
    <definedName name="ExpenseAccountListing" localSheetId="8">#REF!</definedName>
    <definedName name="ExpenseAccountListing">#REF!</definedName>
    <definedName name="_xlnm.Extract" localSheetId="2">#REF!</definedName>
    <definedName name="_xlnm.Extract" localSheetId="4">#REF!</definedName>
    <definedName name="_xlnm.Extract" localSheetId="3">#REF!</definedName>
    <definedName name="_xlnm.Extract">#REF!</definedName>
    <definedName name="FakeBlank" localSheetId="8">#REF!</definedName>
    <definedName name="FakeBlank">#REF!</definedName>
    <definedName name="FolderPath" localSheetId="8">#REF!</definedName>
    <definedName name="FolderPath">#REF!</definedName>
    <definedName name="histdate" localSheetId="8">#REF!</definedName>
    <definedName name="histdate">#REF!</definedName>
    <definedName name="Incr2000" localSheetId="2">#REF!</definedName>
    <definedName name="Incr2000" localSheetId="4">#REF!</definedName>
    <definedName name="Incr2000" localSheetId="3">#REF!</definedName>
    <definedName name="Incr2000" localSheetId="8">#REF!</definedName>
    <definedName name="Incr2000">#REF!</definedName>
    <definedName name="INTERIM" localSheetId="2">#REF!</definedName>
    <definedName name="INTERIM" localSheetId="4">#REF!</definedName>
    <definedName name="INTERIM" localSheetId="3">#REF!</definedName>
    <definedName name="INTERIM">#REF!</definedName>
    <definedName name="LIMIT" localSheetId="2">#REF!</definedName>
    <definedName name="LIMIT" localSheetId="4">#REF!</definedName>
    <definedName name="LIMIT" localSheetId="3">#REF!</definedName>
    <definedName name="LIMIT">#REF!</definedName>
    <definedName name="man_beg_bud" localSheetId="2">#REF!</definedName>
    <definedName name="man_beg_bud" localSheetId="4">#REF!</definedName>
    <definedName name="man_beg_bud" localSheetId="3">#REF!</definedName>
    <definedName name="man_beg_bud" localSheetId="8">#REF!</definedName>
    <definedName name="man_beg_bud">#REF!</definedName>
    <definedName name="man_end_bud" localSheetId="2">#REF!</definedName>
    <definedName name="man_end_bud" localSheetId="4">#REF!</definedName>
    <definedName name="man_end_bud" localSheetId="3">#REF!</definedName>
    <definedName name="man_end_bud">#REF!</definedName>
    <definedName name="man12ACT" localSheetId="2">#REF!</definedName>
    <definedName name="man12ACT" localSheetId="4">#REF!</definedName>
    <definedName name="man12ACT" localSheetId="3">#REF!</definedName>
    <definedName name="man12ACT">#REF!</definedName>
    <definedName name="MANBUD" localSheetId="2">#REF!</definedName>
    <definedName name="MANBUD" localSheetId="4">#REF!</definedName>
    <definedName name="MANBUD" localSheetId="3">#REF!</definedName>
    <definedName name="MANBUD">#REF!</definedName>
    <definedName name="manCYACT" localSheetId="2">#REF!</definedName>
    <definedName name="manCYACT" localSheetId="4">#REF!</definedName>
    <definedName name="manCYACT" localSheetId="3">#REF!</definedName>
    <definedName name="manCYACT">#REF!</definedName>
    <definedName name="manCYBUD" localSheetId="2">#REF!</definedName>
    <definedName name="manCYBUD" localSheetId="4">#REF!</definedName>
    <definedName name="manCYBUD" localSheetId="3">#REF!</definedName>
    <definedName name="manCYBUD">#REF!</definedName>
    <definedName name="manCYF" localSheetId="2">#REF!</definedName>
    <definedName name="manCYF" localSheetId="4">#REF!</definedName>
    <definedName name="manCYF" localSheetId="3">#REF!</definedName>
    <definedName name="manCYF">#REF!</definedName>
    <definedName name="MANEND" localSheetId="2">#REF!</definedName>
    <definedName name="MANEND" localSheetId="4">#REF!</definedName>
    <definedName name="MANEND" localSheetId="3">#REF!</definedName>
    <definedName name="MANEND">#REF!</definedName>
    <definedName name="manNYbud" localSheetId="2">#REF!</definedName>
    <definedName name="manNYbud" localSheetId="4">#REF!</definedName>
    <definedName name="manNYbud" localSheetId="3">#REF!</definedName>
    <definedName name="manNYbud">#REF!</definedName>
    <definedName name="manpower_costs" localSheetId="2">#REF!</definedName>
    <definedName name="manpower_costs" localSheetId="4">#REF!</definedName>
    <definedName name="manpower_costs" localSheetId="3">#REF!</definedName>
    <definedName name="manpower_costs">#REF!</definedName>
    <definedName name="manPYACT" localSheetId="2">#REF!</definedName>
    <definedName name="manPYACT" localSheetId="4">#REF!</definedName>
    <definedName name="manPYACT" localSheetId="3">#REF!</definedName>
    <definedName name="manPYACT">#REF!</definedName>
    <definedName name="MANSTART" localSheetId="2">#REF!</definedName>
    <definedName name="MANSTART" localSheetId="4">#REF!</definedName>
    <definedName name="MANSTART" localSheetId="3">#REF!</definedName>
    <definedName name="MANSTART">#REF!</definedName>
    <definedName name="mat_beg_bud" localSheetId="2">#REF!</definedName>
    <definedName name="mat_beg_bud" localSheetId="4">#REF!</definedName>
    <definedName name="mat_beg_bud" localSheetId="3">#REF!</definedName>
    <definedName name="mat_beg_bud">#REF!</definedName>
    <definedName name="mat_end_bud" localSheetId="2">#REF!</definedName>
    <definedName name="mat_end_bud" localSheetId="4">#REF!</definedName>
    <definedName name="mat_end_bud" localSheetId="3">#REF!</definedName>
    <definedName name="mat_end_bud">#REF!</definedName>
    <definedName name="mat12ACT" localSheetId="2">#REF!</definedName>
    <definedName name="mat12ACT" localSheetId="4">#REF!</definedName>
    <definedName name="mat12ACT" localSheetId="3">#REF!</definedName>
    <definedName name="mat12ACT">#REF!</definedName>
    <definedName name="MATBUD" localSheetId="2">#REF!</definedName>
    <definedName name="MATBUD" localSheetId="4">#REF!</definedName>
    <definedName name="MATBUD" localSheetId="3">#REF!</definedName>
    <definedName name="MATBUD">#REF!</definedName>
    <definedName name="matCYACT" localSheetId="2">#REF!</definedName>
    <definedName name="matCYACT" localSheetId="4">#REF!</definedName>
    <definedName name="matCYACT" localSheetId="3">#REF!</definedName>
    <definedName name="matCYACT">#REF!</definedName>
    <definedName name="matCYBUD" localSheetId="2">#REF!</definedName>
    <definedName name="matCYBUD" localSheetId="4">#REF!</definedName>
    <definedName name="matCYBUD" localSheetId="3">#REF!</definedName>
    <definedName name="matCYBUD">#REF!</definedName>
    <definedName name="matCYF" localSheetId="2">#REF!</definedName>
    <definedName name="matCYF" localSheetId="4">#REF!</definedName>
    <definedName name="matCYF" localSheetId="3">#REF!</definedName>
    <definedName name="matCYF">#REF!</definedName>
    <definedName name="MATEND" localSheetId="2">#REF!</definedName>
    <definedName name="MATEND" localSheetId="4">#REF!</definedName>
    <definedName name="MATEND" localSheetId="3">#REF!</definedName>
    <definedName name="MATEND">#REF!</definedName>
    <definedName name="material_costs" localSheetId="2">#REF!</definedName>
    <definedName name="material_costs" localSheetId="4">#REF!</definedName>
    <definedName name="material_costs" localSheetId="3">#REF!</definedName>
    <definedName name="material_costs">#REF!</definedName>
    <definedName name="matNYbud" localSheetId="2">#REF!</definedName>
    <definedName name="matNYbud" localSheetId="4">#REF!</definedName>
    <definedName name="matNYbud" localSheetId="3">#REF!</definedName>
    <definedName name="matNYbud">#REF!</definedName>
    <definedName name="matPYACT" localSheetId="2">#REF!</definedName>
    <definedName name="matPYACT" localSheetId="4">#REF!</definedName>
    <definedName name="matPYACT" localSheetId="3">#REF!</definedName>
    <definedName name="matPYACT">#REF!</definedName>
    <definedName name="MATSTART" localSheetId="2">#REF!</definedName>
    <definedName name="MATSTART" localSheetId="4">#REF!</definedName>
    <definedName name="MATSTART" localSheetId="3">#REF!</definedName>
    <definedName name="MATSTART">#REF!</definedName>
    <definedName name="mea" localSheetId="2">#REF!</definedName>
    <definedName name="mea" localSheetId="4">#REF!</definedName>
    <definedName name="mea" localSheetId="3">#REF!</definedName>
    <definedName name="mea">#REF!</definedName>
    <definedName name="MEABAL" localSheetId="2">#REF!</definedName>
    <definedName name="MEABAL" localSheetId="4">#REF!</definedName>
    <definedName name="MEABAL" localSheetId="3">#REF!</definedName>
    <definedName name="MEABAL">#REF!</definedName>
    <definedName name="MEACASH" localSheetId="2">#REF!</definedName>
    <definedName name="MEACASH" localSheetId="4">#REF!</definedName>
    <definedName name="MEACASH" localSheetId="3">#REF!</definedName>
    <definedName name="MEACASH">#REF!</definedName>
    <definedName name="MEAEQITY" localSheetId="2">#REF!</definedName>
    <definedName name="MEAEQITY" localSheetId="4">#REF!</definedName>
    <definedName name="MEAEQITY" localSheetId="3">#REF!</definedName>
    <definedName name="MEAEQITY">#REF!</definedName>
    <definedName name="MEAOP" localSheetId="2">#REF!</definedName>
    <definedName name="MEAOP" localSheetId="4">#REF!</definedName>
    <definedName name="MEAOP" localSheetId="3">#REF!</definedName>
    <definedName name="MEAOP">#REF!</definedName>
    <definedName name="MofF" localSheetId="2">#REF!</definedName>
    <definedName name="MofF" localSheetId="4">#REF!</definedName>
    <definedName name="MofF" localSheetId="3">#REF!</definedName>
    <definedName name="MofF">#REF!</definedName>
    <definedName name="NewRevReq" localSheetId="8">#REF!</definedName>
    <definedName name="NewRevReq">#REF!</definedName>
    <definedName name="NOTES" localSheetId="2">#REF!</definedName>
    <definedName name="NOTES" localSheetId="4">#REF!</definedName>
    <definedName name="NOTES" localSheetId="3">#REF!</definedName>
    <definedName name="NOTES" localSheetId="8">#REF!</definedName>
    <definedName name="NOTES">#REF!</definedName>
    <definedName name="OPERATING" localSheetId="2">#REF!</definedName>
    <definedName name="OPERATING" localSheetId="4">#REF!</definedName>
    <definedName name="OPERATING" localSheetId="3">#REF!</definedName>
    <definedName name="OPERATING">#REF!</definedName>
    <definedName name="oth_beg_bud" localSheetId="2">#REF!</definedName>
    <definedName name="oth_beg_bud" localSheetId="4">#REF!</definedName>
    <definedName name="oth_beg_bud" localSheetId="3">#REF!</definedName>
    <definedName name="oth_beg_bud">#REF!</definedName>
    <definedName name="oth_end_bud" localSheetId="2">#REF!</definedName>
    <definedName name="oth_end_bud" localSheetId="4">#REF!</definedName>
    <definedName name="oth_end_bud" localSheetId="3">#REF!</definedName>
    <definedName name="oth_end_bud">#REF!</definedName>
    <definedName name="oth12ACT" localSheetId="2">#REF!</definedName>
    <definedName name="oth12ACT" localSheetId="4">#REF!</definedName>
    <definedName name="oth12ACT" localSheetId="3">#REF!</definedName>
    <definedName name="oth12ACT">#REF!</definedName>
    <definedName name="othCYACT" localSheetId="2">#REF!</definedName>
    <definedName name="othCYACT" localSheetId="4">#REF!</definedName>
    <definedName name="othCYACT" localSheetId="3">#REF!</definedName>
    <definedName name="othCYACT">#REF!</definedName>
    <definedName name="othCYBUD" localSheetId="2">#REF!</definedName>
    <definedName name="othCYBUD" localSheetId="4">#REF!</definedName>
    <definedName name="othCYBUD" localSheetId="3">#REF!</definedName>
    <definedName name="othCYBUD">#REF!</definedName>
    <definedName name="othCYF" localSheetId="2">#REF!</definedName>
    <definedName name="othCYF" localSheetId="4">#REF!</definedName>
    <definedName name="othCYF" localSheetId="3">#REF!</definedName>
    <definedName name="othCYF">#REF!</definedName>
    <definedName name="OTHEND" localSheetId="2">#REF!</definedName>
    <definedName name="OTHEND" localSheetId="4">#REF!</definedName>
    <definedName name="OTHEND" localSheetId="3">#REF!</definedName>
    <definedName name="OTHEND">#REF!</definedName>
    <definedName name="other_costs" localSheetId="2">#REF!</definedName>
    <definedName name="other_costs" localSheetId="4">#REF!</definedName>
    <definedName name="other_costs" localSheetId="3">#REF!</definedName>
    <definedName name="other_costs">#REF!</definedName>
    <definedName name="OTHERBUD" localSheetId="2">#REF!</definedName>
    <definedName name="OTHERBUD" localSheetId="4">#REF!</definedName>
    <definedName name="OTHERBUD" localSheetId="3">#REF!</definedName>
    <definedName name="OTHERBUD">#REF!</definedName>
    <definedName name="othNYbud" localSheetId="2">#REF!</definedName>
    <definedName name="othNYbud" localSheetId="4">#REF!</definedName>
    <definedName name="othNYbud" localSheetId="3">#REF!</definedName>
    <definedName name="othNYbud">#REF!</definedName>
    <definedName name="othPYACT" localSheetId="2">#REF!</definedName>
    <definedName name="othPYACT" localSheetId="4">#REF!</definedName>
    <definedName name="othPYACT" localSheetId="3">#REF!</definedName>
    <definedName name="othPYACT">#REF!</definedName>
    <definedName name="OTHSTART" localSheetId="2">#REF!</definedName>
    <definedName name="OTHSTART" localSheetId="4">#REF!</definedName>
    <definedName name="OTHSTART" localSheetId="3">#REF!</definedName>
    <definedName name="OTHSTART">#REF!</definedName>
    <definedName name="PAGE11" localSheetId="2">#REF!</definedName>
    <definedName name="PAGE11" localSheetId="4">#REF!</definedName>
    <definedName name="PAGE11" localSheetId="3">#REF!</definedName>
    <definedName name="PAGE11" localSheetId="8">#REF!</definedName>
    <definedName name="PAGE11">#REF!</definedName>
    <definedName name="PAGE2" localSheetId="8">#REF!</definedName>
    <definedName name="PAGE2">#REF!</definedName>
    <definedName name="PAGE3" localSheetId="2">#REF!</definedName>
    <definedName name="PAGE3" localSheetId="4">#REF!</definedName>
    <definedName name="PAGE3" localSheetId="3">#REF!</definedName>
    <definedName name="PAGE3" localSheetId="8">#REF!</definedName>
    <definedName name="PAGE3">#REF!</definedName>
    <definedName name="PAGE4" localSheetId="2">#REF!</definedName>
    <definedName name="PAGE4" localSheetId="4">#REF!</definedName>
    <definedName name="PAGE4" localSheetId="3">#REF!</definedName>
    <definedName name="PAGE4" localSheetId="8">#REF!</definedName>
    <definedName name="PAGE4">#REF!</definedName>
    <definedName name="PAGE7" localSheetId="2">#REF!</definedName>
    <definedName name="PAGE7" localSheetId="4">#REF!</definedName>
    <definedName name="PAGE7" localSheetId="3">#REF!</definedName>
    <definedName name="PAGE7" localSheetId="8">#REF!</definedName>
    <definedName name="PAGE7">#REF!</definedName>
    <definedName name="PAGE9" localSheetId="2">#REF!</definedName>
    <definedName name="PAGE9" localSheetId="4">#REF!</definedName>
    <definedName name="PAGE9" localSheetId="3">#REF!</definedName>
    <definedName name="PAGE9" localSheetId="8">#REF!</definedName>
    <definedName name="PAGE9">#REF!</definedName>
    <definedName name="PageOne" localSheetId="2">#REF!</definedName>
    <definedName name="PageOne" localSheetId="4">#REF!</definedName>
    <definedName name="PageOne" localSheetId="3">#REF!</definedName>
    <definedName name="PageOne">#REF!</definedName>
    <definedName name="PR" localSheetId="2">#REF!</definedName>
    <definedName name="PR" localSheetId="4">#REF!</definedName>
    <definedName name="PR" localSheetId="3">#REF!</definedName>
    <definedName name="PR">#REF!</definedName>
    <definedName name="_xlnm.Print_Area" localSheetId="1">'Load Forecast Summary'!$A$3:$J$53</definedName>
    <definedName name="_xlnm.Print_Area" localSheetId="2">'Power Purchased Model'!$A$1:$P$129</definedName>
    <definedName name="_xlnm.Print_Area" localSheetId="4">'Power Purchased Model - WN'!$A$1:$P$129</definedName>
    <definedName name="_xlnm.Print_Area" localSheetId="3">'Power Purchased Model WN-OLD'!$A$1:$P$129</definedName>
    <definedName name="_xlnm.Print_Area" localSheetId="6">'Rate Class Customer Model'!$A$1:$M$38</definedName>
    <definedName name="_xlnm.Print_Area" localSheetId="5">'Rate Class Energy Model'!#REF!</definedName>
    <definedName name="_xlnm.Print_Area" localSheetId="7">'Rate Class Load Model'!$A$1:$J$24</definedName>
    <definedName name="Print_Area_MI" localSheetId="2">#REF!</definedName>
    <definedName name="Print_Area_MI" localSheetId="4">#REF!</definedName>
    <definedName name="Print_Area_MI" localSheetId="3">#REF!</definedName>
    <definedName name="Print_Area_MI" localSheetId="8">#REF!</definedName>
    <definedName name="Print_Area_MI">#REF!</definedName>
    <definedName name="print_end" localSheetId="2">#REF!</definedName>
    <definedName name="print_end" localSheetId="4">#REF!</definedName>
    <definedName name="print_end" localSheetId="3">#REF!</definedName>
    <definedName name="print_end">#REF!</definedName>
    <definedName name="_xlnm.Print_Titles" localSheetId="2">'Power Purchased Model'!$A:$P,'Power Purchased Model'!$1:$2</definedName>
    <definedName name="_xlnm.Print_Titles" localSheetId="4">'Power Purchased Model - WN'!$A:$P,'Power Purchased Model - WN'!$1:$2</definedName>
    <definedName name="_xlnm.Print_Titles" localSheetId="3">'Power Purchased Model WN-OLD'!$A:$P,'Power Purchased Model WN-OLD'!$1:$2</definedName>
    <definedName name="PRIOR" localSheetId="2">#REF!</definedName>
    <definedName name="PRIOR" localSheetId="4">#REF!</definedName>
    <definedName name="PRIOR" localSheetId="3">#REF!</definedName>
    <definedName name="PRIOR" localSheetId="8">#REF!</definedName>
    <definedName name="PRIOR">#REF!</definedName>
    <definedName name="Ratebase" localSheetId="8">#REF!</definedName>
    <definedName name="Ratebase">#REF!</definedName>
    <definedName name="RebaseYear">#REF!</definedName>
    <definedName name="RevReqLookupKey" localSheetId="8">#REF!</definedName>
    <definedName name="RevReqLookupKey">#REF!</definedName>
    <definedName name="RevReqRange" localSheetId="8">#REF!</definedName>
    <definedName name="RevReqRange">#REF!</definedName>
    <definedName name="RVCASHPR" localSheetId="2">#REF!</definedName>
    <definedName name="RVCASHPR" localSheetId="4">#REF!</definedName>
    <definedName name="RVCASHPR" localSheetId="3">#REF!</definedName>
    <definedName name="RVCASHPR" localSheetId="8">#REF!</definedName>
    <definedName name="RVCASHPR">#REF!</definedName>
    <definedName name="SALBENF" localSheetId="2">#REF!</definedName>
    <definedName name="SALBENF" localSheetId="4">#REF!</definedName>
    <definedName name="SALBENF" localSheetId="3">#REF!</definedName>
    <definedName name="SALBENF">#REF!</definedName>
    <definedName name="salreg" localSheetId="2">#REF!</definedName>
    <definedName name="salreg" localSheetId="4">#REF!</definedName>
    <definedName name="salreg" localSheetId="3">#REF!</definedName>
    <definedName name="salreg">#REF!</definedName>
    <definedName name="SALREGF" localSheetId="2">#REF!</definedName>
    <definedName name="SALREGF" localSheetId="4">#REF!</definedName>
    <definedName name="SALREGF" localSheetId="3">#REF!</definedName>
    <definedName name="SALREGF">#REF!</definedName>
    <definedName name="SOURCEAPP" localSheetId="2">#REF!</definedName>
    <definedName name="SOURCEAPP" localSheetId="4">#REF!</definedName>
    <definedName name="SOURCEAPP" localSheetId="3">#REF!</definedName>
    <definedName name="SOURCEAPP">#REF!</definedName>
    <definedName name="STATS1" localSheetId="2">#REF!</definedName>
    <definedName name="STATS1" localSheetId="4">#REF!</definedName>
    <definedName name="STATS1" localSheetId="3">#REF!</definedName>
    <definedName name="STATS1">#REF!</definedName>
    <definedName name="STATS2" localSheetId="2">#REF!</definedName>
    <definedName name="STATS2" localSheetId="4">#REF!</definedName>
    <definedName name="STATS2" localSheetId="3">#REF!</definedName>
    <definedName name="STATS2">#REF!</definedName>
    <definedName name="Surtax" localSheetId="2">#REF!</definedName>
    <definedName name="Surtax" localSheetId="4">#REF!</definedName>
    <definedName name="Surtax" localSheetId="3">#REF!</definedName>
    <definedName name="Surtax">#REF!</definedName>
    <definedName name="TEMPA" localSheetId="2">#REF!</definedName>
    <definedName name="TEMPA" localSheetId="4">#REF!</definedName>
    <definedName name="TEMPA" localSheetId="3">#REF!</definedName>
    <definedName name="TEMPA">#REF!</definedName>
    <definedName name="TEST">#REF!</definedName>
    <definedName name="Test_Year">#REF!</definedName>
    <definedName name="TestYr" localSheetId="8">#REF!</definedName>
    <definedName name="TestYr">#REF!</definedName>
    <definedName name="TestYrPL" localSheetId="8">#REF!</definedName>
    <definedName name="TestYrPL">#REF!</definedName>
    <definedName name="total_dept" localSheetId="2">#REF!</definedName>
    <definedName name="total_dept" localSheetId="4">#REF!</definedName>
    <definedName name="total_dept" localSheetId="3">#REF!</definedName>
    <definedName name="total_dept" localSheetId="8">#REF!</definedName>
    <definedName name="total_dept">#REF!</definedName>
    <definedName name="total_manpower" localSheetId="2">#REF!</definedName>
    <definedName name="total_manpower" localSheetId="4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4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4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4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4">#REF!</definedName>
    <definedName name="TOTCAPADDITIONS" localSheetId="3">#REF!</definedName>
    <definedName name="TOTCAPADDITIONS">#REF!</definedName>
    <definedName name="TRANBUD" localSheetId="2">#REF!</definedName>
    <definedName name="TRANBUD" localSheetId="4">#REF!</definedName>
    <definedName name="TRANBUD" localSheetId="3">#REF!</definedName>
    <definedName name="TRANBUD">#REF!</definedName>
    <definedName name="TRANEND" localSheetId="2">#REF!</definedName>
    <definedName name="TRANEND" localSheetId="4">#REF!</definedName>
    <definedName name="TRANEND" localSheetId="3">#REF!</definedName>
    <definedName name="TRANEND">#REF!</definedName>
    <definedName name="TRANSCAP" localSheetId="2">#REF!</definedName>
    <definedName name="TRANSCAP" localSheetId="4">#REF!</definedName>
    <definedName name="TRANSCAP" localSheetId="3">#REF!</definedName>
    <definedName name="TRANSCAP">#REF!</definedName>
    <definedName name="TRANSFER" localSheetId="2">#REF!</definedName>
    <definedName name="TRANSFER" localSheetId="4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4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4">#REF!</definedName>
    <definedName name="TRANSTART" localSheetId="3">#REF!</definedName>
    <definedName name="TRANSTART">#REF!</definedName>
    <definedName name="trn_beg_bud" localSheetId="2">#REF!</definedName>
    <definedName name="trn_beg_bud" localSheetId="4">#REF!</definedName>
    <definedName name="trn_beg_bud" localSheetId="3">#REF!</definedName>
    <definedName name="trn_beg_bud">#REF!</definedName>
    <definedName name="trn_end_bud" localSheetId="2">#REF!</definedName>
    <definedName name="trn_end_bud" localSheetId="4">#REF!</definedName>
    <definedName name="trn_end_bud" localSheetId="3">#REF!</definedName>
    <definedName name="trn_end_bud">#REF!</definedName>
    <definedName name="trn12ACT" localSheetId="2">#REF!</definedName>
    <definedName name="trn12ACT" localSheetId="4">#REF!</definedName>
    <definedName name="trn12ACT" localSheetId="3">#REF!</definedName>
    <definedName name="trn12ACT">#REF!</definedName>
    <definedName name="trnCYACT" localSheetId="2">#REF!</definedName>
    <definedName name="trnCYACT" localSheetId="4">#REF!</definedName>
    <definedName name="trnCYACT" localSheetId="3">#REF!</definedName>
    <definedName name="trnCYACT">#REF!</definedName>
    <definedName name="trnCYBUD" localSheetId="2">#REF!</definedName>
    <definedName name="trnCYBUD" localSheetId="4">#REF!</definedName>
    <definedName name="trnCYBUD" localSheetId="3">#REF!</definedName>
    <definedName name="trnCYBUD">#REF!</definedName>
    <definedName name="trnCYF" localSheetId="2">#REF!</definedName>
    <definedName name="trnCYF" localSheetId="4">#REF!</definedName>
    <definedName name="trnCYF" localSheetId="3">#REF!</definedName>
    <definedName name="trnCYF">#REF!</definedName>
    <definedName name="trnNYbud" localSheetId="2">#REF!</definedName>
    <definedName name="trnNYbud" localSheetId="4">#REF!</definedName>
    <definedName name="trnNYbud" localSheetId="3">#REF!</definedName>
    <definedName name="trnNYbud">#REF!</definedName>
    <definedName name="trnPYACT" localSheetId="2">#REF!</definedName>
    <definedName name="trnPYACT" localSheetId="4">#REF!</definedName>
    <definedName name="trnPYACT" localSheetId="3">#REF!</definedName>
    <definedName name="trnPYACT">#REF!</definedName>
    <definedName name="Utility" localSheetId="8">#REF!</definedName>
    <definedName name="Utility">#REF!</definedName>
    <definedName name="utitliy1" localSheetId="8">#REF!</definedName>
    <definedName name="utitliy1">#REF!</definedName>
    <definedName name="Variable1">#REF!</definedName>
    <definedName name="WAGBENF" localSheetId="2">#REF!</definedName>
    <definedName name="WAGBENF" localSheetId="4">#REF!</definedName>
    <definedName name="WAGBENF" localSheetId="3">#REF!</definedName>
    <definedName name="WAGBENF" localSheetId="8">#REF!</definedName>
    <definedName name="WAGBENF">#REF!</definedName>
    <definedName name="wagdob" localSheetId="2">#REF!</definedName>
    <definedName name="wagdob" localSheetId="4">#REF!</definedName>
    <definedName name="wagdob" localSheetId="3">#REF!</definedName>
    <definedName name="wagdob">#REF!</definedName>
    <definedName name="wagdobf" localSheetId="2">#REF!</definedName>
    <definedName name="wagdobf" localSheetId="4">#REF!</definedName>
    <definedName name="wagdobf" localSheetId="3">#REF!</definedName>
    <definedName name="wagdobf">#REF!</definedName>
    <definedName name="wagreg" localSheetId="2">#REF!</definedName>
    <definedName name="wagreg" localSheetId="4">#REF!</definedName>
    <definedName name="wagreg" localSheetId="3">#REF!</definedName>
    <definedName name="wagreg">#REF!</definedName>
    <definedName name="wagregf" localSheetId="2">#REF!</definedName>
    <definedName name="wagregf" localSheetId="4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7" i="72" l="1"/>
  <c r="R118" i="72"/>
  <c r="R119" i="72"/>
  <c r="R120" i="72"/>
  <c r="R121" i="72"/>
  <c r="R122" i="72"/>
  <c r="R123" i="72"/>
  <c r="R124" i="72"/>
  <c r="R116" i="72"/>
  <c r="E124" i="80" l="1"/>
  <c r="E123" i="80"/>
  <c r="E122" i="80"/>
  <c r="O122" i="80" s="1"/>
  <c r="O121" i="80"/>
  <c r="E121" i="80"/>
  <c r="E120" i="80"/>
  <c r="O120" i="80" s="1"/>
  <c r="E119" i="80"/>
  <c r="O119" i="80" s="1"/>
  <c r="O118" i="80"/>
  <c r="E118" i="80"/>
  <c r="E117" i="80"/>
  <c r="O117" i="80" s="1"/>
  <c r="O116" i="80"/>
  <c r="E116" i="80"/>
  <c r="E126" i="80" s="1"/>
  <c r="L110" i="80"/>
  <c r="L109" i="80"/>
  <c r="L108" i="80"/>
  <c r="L107" i="80"/>
  <c r="L106" i="80"/>
  <c r="L105" i="80"/>
  <c r="N104" i="80"/>
  <c r="L104" i="80"/>
  <c r="F104" i="80"/>
  <c r="C104" i="80"/>
  <c r="B104" i="80"/>
  <c r="D104" i="80" s="1"/>
  <c r="G104" i="80" s="1"/>
  <c r="L103" i="80"/>
  <c r="N103" i="80" s="1"/>
  <c r="F103" i="80"/>
  <c r="C103" i="80"/>
  <c r="B103" i="80"/>
  <c r="D103" i="80" s="1"/>
  <c r="G103" i="80" s="1"/>
  <c r="N102" i="80"/>
  <c r="L102" i="80"/>
  <c r="G102" i="80"/>
  <c r="F102" i="80"/>
  <c r="D102" i="80"/>
  <c r="C102" i="80"/>
  <c r="B102" i="80"/>
  <c r="L101" i="80"/>
  <c r="N101" i="80" s="1"/>
  <c r="F101" i="80"/>
  <c r="D101" i="80"/>
  <c r="C101" i="80"/>
  <c r="B101" i="80"/>
  <c r="N100" i="80"/>
  <c r="L100" i="80"/>
  <c r="F100" i="80"/>
  <c r="D100" i="80"/>
  <c r="G100" i="80" s="1"/>
  <c r="C100" i="80"/>
  <c r="B100" i="80"/>
  <c r="L99" i="80"/>
  <c r="N99" i="80" s="1"/>
  <c r="F99" i="80"/>
  <c r="C99" i="80"/>
  <c r="B99" i="80"/>
  <c r="D99" i="80" s="1"/>
  <c r="N98" i="80"/>
  <c r="L98" i="80"/>
  <c r="F98" i="80"/>
  <c r="D98" i="80"/>
  <c r="G98" i="80" s="1"/>
  <c r="C98" i="80"/>
  <c r="B98" i="80"/>
  <c r="N97" i="80"/>
  <c r="L97" i="80"/>
  <c r="F97" i="80"/>
  <c r="C97" i="80"/>
  <c r="B97" i="80"/>
  <c r="N96" i="80"/>
  <c r="L96" i="80"/>
  <c r="F96" i="80"/>
  <c r="C96" i="80"/>
  <c r="B96" i="80"/>
  <c r="D96" i="80" s="1"/>
  <c r="G96" i="80" s="1"/>
  <c r="L95" i="80"/>
  <c r="N95" i="80" s="1"/>
  <c r="G95" i="80"/>
  <c r="F95" i="80"/>
  <c r="C95" i="80"/>
  <c r="B95" i="80"/>
  <c r="D95" i="80" s="1"/>
  <c r="N94" i="80"/>
  <c r="L94" i="80"/>
  <c r="F94" i="80"/>
  <c r="G94" i="80" s="1"/>
  <c r="D94" i="80"/>
  <c r="C94" i="80"/>
  <c r="B94" i="80"/>
  <c r="L93" i="80"/>
  <c r="N93" i="80" s="1"/>
  <c r="F93" i="80"/>
  <c r="D93" i="80"/>
  <c r="C93" i="80"/>
  <c r="B93" i="80"/>
  <c r="N92" i="80"/>
  <c r="L92" i="80"/>
  <c r="G92" i="80"/>
  <c r="F92" i="80"/>
  <c r="D92" i="80"/>
  <c r="C92" i="80"/>
  <c r="B92" i="80"/>
  <c r="L91" i="80"/>
  <c r="N91" i="80" s="1"/>
  <c r="F91" i="80"/>
  <c r="C91" i="80"/>
  <c r="B91" i="80"/>
  <c r="D91" i="80" s="1"/>
  <c r="G91" i="80" s="1"/>
  <c r="N90" i="80"/>
  <c r="L90" i="80"/>
  <c r="F90" i="80"/>
  <c r="C90" i="80"/>
  <c r="B90" i="80"/>
  <c r="D90" i="80" s="1"/>
  <c r="G90" i="80" s="1"/>
  <c r="N89" i="80"/>
  <c r="L89" i="80"/>
  <c r="F89" i="80"/>
  <c r="C89" i="80"/>
  <c r="B89" i="80"/>
  <c r="L88" i="80"/>
  <c r="N88" i="80" s="1"/>
  <c r="F88" i="80"/>
  <c r="C88" i="80"/>
  <c r="B88" i="80"/>
  <c r="D88" i="80" s="1"/>
  <c r="G88" i="80" s="1"/>
  <c r="N87" i="80"/>
  <c r="L87" i="80"/>
  <c r="F87" i="80"/>
  <c r="C87" i="80"/>
  <c r="B87" i="80"/>
  <c r="D87" i="80" s="1"/>
  <c r="L86" i="80"/>
  <c r="N86" i="80"/>
  <c r="F86" i="80"/>
  <c r="C86" i="80"/>
  <c r="B86" i="80"/>
  <c r="D86" i="80" s="1"/>
  <c r="G86" i="80" s="1"/>
  <c r="O86" i="80" s="1"/>
  <c r="L85" i="80"/>
  <c r="N85" i="80"/>
  <c r="O85" i="80" s="1"/>
  <c r="F85" i="80"/>
  <c r="C85" i="80"/>
  <c r="B85" i="80"/>
  <c r="D85" i="80" s="1"/>
  <c r="G85" i="80" s="1"/>
  <c r="L84" i="80"/>
  <c r="N84" i="80"/>
  <c r="F84" i="80"/>
  <c r="C84" i="80"/>
  <c r="B84" i="80"/>
  <c r="D84" i="80" s="1"/>
  <c r="G84" i="80" s="1"/>
  <c r="L83" i="80"/>
  <c r="N83" i="80"/>
  <c r="F83" i="80"/>
  <c r="G83" i="80" s="1"/>
  <c r="D83" i="80"/>
  <c r="C83" i="80"/>
  <c r="B83" i="80"/>
  <c r="L82" i="80"/>
  <c r="N82" i="80"/>
  <c r="F82" i="80"/>
  <c r="D82" i="80"/>
  <c r="G82" i="80" s="1"/>
  <c r="C82" i="80"/>
  <c r="B82" i="80"/>
  <c r="N81" i="80"/>
  <c r="L81" i="80"/>
  <c r="F81" i="80"/>
  <c r="F136" i="80" s="1"/>
  <c r="C81" i="80"/>
  <c r="D81" i="80" s="1"/>
  <c r="G81" i="80" s="1"/>
  <c r="B81" i="80"/>
  <c r="N80" i="80"/>
  <c r="L80" i="80"/>
  <c r="F80" i="80"/>
  <c r="C80" i="80"/>
  <c r="B80" i="80"/>
  <c r="D80" i="80" s="1"/>
  <c r="N79" i="80"/>
  <c r="L79" i="80"/>
  <c r="F79" i="80"/>
  <c r="C79" i="80"/>
  <c r="B79" i="80"/>
  <c r="D79" i="80" s="1"/>
  <c r="G79" i="80" s="1"/>
  <c r="L78" i="80"/>
  <c r="F78" i="80"/>
  <c r="C78" i="80"/>
  <c r="B78" i="80"/>
  <c r="D78" i="80" s="1"/>
  <c r="G78" i="80" s="1"/>
  <c r="N77" i="80"/>
  <c r="L77" i="80"/>
  <c r="F77" i="80"/>
  <c r="C77" i="80"/>
  <c r="B77" i="80"/>
  <c r="L76" i="80"/>
  <c r="G76" i="80"/>
  <c r="F76" i="80"/>
  <c r="C76" i="80"/>
  <c r="B76" i="80"/>
  <c r="D76" i="80" s="1"/>
  <c r="L75" i="80"/>
  <c r="N75" i="80"/>
  <c r="G75" i="80"/>
  <c r="F75" i="80"/>
  <c r="D75" i="80"/>
  <c r="C75" i="80"/>
  <c r="B75" i="80"/>
  <c r="L74" i="80"/>
  <c r="N74" i="80"/>
  <c r="O74" i="80" s="1"/>
  <c r="F74" i="80"/>
  <c r="D74" i="80"/>
  <c r="G74" i="80" s="1"/>
  <c r="C74" i="80"/>
  <c r="B74" i="80"/>
  <c r="N73" i="80"/>
  <c r="L73" i="80"/>
  <c r="F73" i="80"/>
  <c r="D73" i="80"/>
  <c r="G73" i="80" s="1"/>
  <c r="O73" i="80" s="1"/>
  <c r="C73" i="80"/>
  <c r="B73" i="80"/>
  <c r="N72" i="80"/>
  <c r="L72" i="80"/>
  <c r="F72" i="80"/>
  <c r="C72" i="80"/>
  <c r="B72" i="80"/>
  <c r="L71" i="80"/>
  <c r="N71" i="80" s="1"/>
  <c r="F71" i="80"/>
  <c r="D71" i="80"/>
  <c r="G71" i="80" s="1"/>
  <c r="C71" i="80"/>
  <c r="B71" i="80"/>
  <c r="L70" i="80"/>
  <c r="F70" i="80"/>
  <c r="C70" i="80"/>
  <c r="B70" i="80"/>
  <c r="D70" i="80" s="1"/>
  <c r="G70" i="80" s="1"/>
  <c r="L69" i="80"/>
  <c r="N69" i="80"/>
  <c r="O69" i="80" s="1"/>
  <c r="F69" i="80"/>
  <c r="F135" i="80" s="1"/>
  <c r="C69" i="80"/>
  <c r="B69" i="80"/>
  <c r="D69" i="80" s="1"/>
  <c r="G69" i="80" s="1"/>
  <c r="L68" i="80"/>
  <c r="N68" i="80"/>
  <c r="O68" i="80" s="1"/>
  <c r="G68" i="80"/>
  <c r="F68" i="80"/>
  <c r="C68" i="80"/>
  <c r="B68" i="80"/>
  <c r="D68" i="80" s="1"/>
  <c r="L67" i="80"/>
  <c r="N67" i="80"/>
  <c r="F67" i="80"/>
  <c r="G67" i="80" s="1"/>
  <c r="D67" i="80"/>
  <c r="C67" i="80"/>
  <c r="B67" i="80"/>
  <c r="L66" i="80"/>
  <c r="N66" i="80"/>
  <c r="F66" i="80"/>
  <c r="D66" i="80"/>
  <c r="C66" i="80"/>
  <c r="B66" i="80"/>
  <c r="N65" i="80"/>
  <c r="L65" i="80"/>
  <c r="F65" i="80"/>
  <c r="C65" i="80"/>
  <c r="D65" i="80" s="1"/>
  <c r="G65" i="80" s="1"/>
  <c r="O65" i="80" s="1"/>
  <c r="B65" i="80"/>
  <c r="N64" i="80"/>
  <c r="O64" i="80" s="1"/>
  <c r="L64" i="80"/>
  <c r="F64" i="80"/>
  <c r="C64" i="80"/>
  <c r="B64" i="80"/>
  <c r="D64" i="80" s="1"/>
  <c r="G64" i="80" s="1"/>
  <c r="N63" i="80"/>
  <c r="L63" i="80"/>
  <c r="F63" i="80"/>
  <c r="D63" i="80"/>
  <c r="C63" i="80"/>
  <c r="B63" i="80"/>
  <c r="L62" i="80"/>
  <c r="F62" i="80"/>
  <c r="C62" i="80"/>
  <c r="B62" i="80"/>
  <c r="N61" i="80"/>
  <c r="L61" i="80"/>
  <c r="F61" i="80"/>
  <c r="C61" i="80"/>
  <c r="B61" i="80"/>
  <c r="D61" i="80" s="1"/>
  <c r="G61" i="80" s="1"/>
  <c r="L60" i="80"/>
  <c r="N60" i="80"/>
  <c r="G60" i="80"/>
  <c r="F60" i="80"/>
  <c r="C60" i="80"/>
  <c r="B60" i="80"/>
  <c r="D60" i="80" s="1"/>
  <c r="L59" i="80"/>
  <c r="G59" i="80"/>
  <c r="F59" i="80"/>
  <c r="D59" i="80"/>
  <c r="C59" i="80"/>
  <c r="B59" i="80"/>
  <c r="L58" i="80"/>
  <c r="N58" i="80"/>
  <c r="O58" i="80" s="1"/>
  <c r="R58" i="80" s="1"/>
  <c r="F58" i="80"/>
  <c r="D58" i="80"/>
  <c r="G58" i="80" s="1"/>
  <c r="C58" i="80"/>
  <c r="B58" i="80"/>
  <c r="N57" i="80"/>
  <c r="L57" i="80"/>
  <c r="F57" i="80"/>
  <c r="D57" i="80"/>
  <c r="G57" i="80" s="1"/>
  <c r="C57" i="80"/>
  <c r="B57" i="80"/>
  <c r="L56" i="80"/>
  <c r="N56" i="80" s="1"/>
  <c r="F56" i="80"/>
  <c r="C56" i="80"/>
  <c r="B56" i="80"/>
  <c r="L55" i="80"/>
  <c r="N55" i="80"/>
  <c r="O55" i="80" s="1"/>
  <c r="F55" i="80"/>
  <c r="C55" i="80"/>
  <c r="B55" i="80"/>
  <c r="D55" i="80" s="1"/>
  <c r="G55" i="80" s="1"/>
  <c r="L54" i="80"/>
  <c r="F54" i="80"/>
  <c r="C54" i="80"/>
  <c r="B54" i="80"/>
  <c r="D54" i="80" s="1"/>
  <c r="G54" i="80" s="1"/>
  <c r="N53" i="80"/>
  <c r="L53" i="80"/>
  <c r="G53" i="80"/>
  <c r="F53" i="80"/>
  <c r="C53" i="80"/>
  <c r="B53" i="80"/>
  <c r="D53" i="80" s="1"/>
  <c r="L52" i="80"/>
  <c r="G52" i="80"/>
  <c r="F52" i="80"/>
  <c r="C52" i="80"/>
  <c r="B52" i="80"/>
  <c r="D52" i="80" s="1"/>
  <c r="L51" i="80"/>
  <c r="N51" i="80"/>
  <c r="F51" i="80"/>
  <c r="D51" i="80"/>
  <c r="C51" i="80"/>
  <c r="B51" i="80"/>
  <c r="L50" i="80"/>
  <c r="N50" i="80"/>
  <c r="F50" i="80"/>
  <c r="D50" i="80"/>
  <c r="G50" i="80" s="1"/>
  <c r="C50" i="80"/>
  <c r="B50" i="80"/>
  <c r="N49" i="80"/>
  <c r="L49" i="80"/>
  <c r="F49" i="80"/>
  <c r="C49" i="80"/>
  <c r="B49" i="80"/>
  <c r="D49" i="80" s="1"/>
  <c r="G49" i="80" s="1"/>
  <c r="L48" i="80"/>
  <c r="N48" i="80" s="1"/>
  <c r="F48" i="80"/>
  <c r="C48" i="80"/>
  <c r="B48" i="80"/>
  <c r="N47" i="80"/>
  <c r="L47" i="80"/>
  <c r="F47" i="80"/>
  <c r="C47" i="80"/>
  <c r="B47" i="80"/>
  <c r="D47" i="80" s="1"/>
  <c r="G47" i="80" s="1"/>
  <c r="L46" i="80"/>
  <c r="F46" i="80"/>
  <c r="C46" i="80"/>
  <c r="B46" i="80"/>
  <c r="D46" i="80" s="1"/>
  <c r="G46" i="80" s="1"/>
  <c r="L45" i="80"/>
  <c r="N45" i="80"/>
  <c r="O45" i="80" s="1"/>
  <c r="G45" i="80"/>
  <c r="F45" i="80"/>
  <c r="C45" i="80"/>
  <c r="B45" i="80"/>
  <c r="D45" i="80" s="1"/>
  <c r="L44" i="80"/>
  <c r="F44" i="80"/>
  <c r="C44" i="80"/>
  <c r="B44" i="80"/>
  <c r="D44" i="80" s="1"/>
  <c r="G44" i="80" s="1"/>
  <c r="L43" i="80"/>
  <c r="N43" i="80"/>
  <c r="F43" i="80"/>
  <c r="D43" i="80"/>
  <c r="C43" i="80"/>
  <c r="B43" i="80"/>
  <c r="L42" i="80"/>
  <c r="F42" i="80"/>
  <c r="C42" i="80"/>
  <c r="D42" i="80" s="1"/>
  <c r="G42" i="80" s="1"/>
  <c r="B42" i="80"/>
  <c r="L41" i="80"/>
  <c r="N41" i="80"/>
  <c r="G41" i="80"/>
  <c r="F41" i="80"/>
  <c r="D41" i="80"/>
  <c r="C41" i="80"/>
  <c r="B41" i="80"/>
  <c r="N40" i="80"/>
  <c r="L40" i="80"/>
  <c r="F40" i="80"/>
  <c r="C40" i="80"/>
  <c r="B40" i="80"/>
  <c r="L39" i="80"/>
  <c r="N39" i="80"/>
  <c r="F39" i="80"/>
  <c r="D39" i="80"/>
  <c r="C39" i="80"/>
  <c r="B39" i="80"/>
  <c r="L38" i="80"/>
  <c r="F38" i="80"/>
  <c r="D38" i="80"/>
  <c r="G38" i="80" s="1"/>
  <c r="C38" i="80"/>
  <c r="B38" i="80"/>
  <c r="N37" i="80"/>
  <c r="L37" i="80"/>
  <c r="F37" i="80"/>
  <c r="C37" i="80"/>
  <c r="B37" i="80"/>
  <c r="N36" i="80"/>
  <c r="O36" i="80" s="1"/>
  <c r="L36" i="80"/>
  <c r="G36" i="80"/>
  <c r="F36" i="80"/>
  <c r="C36" i="80"/>
  <c r="B36" i="80"/>
  <c r="D36" i="80" s="1"/>
  <c r="N35" i="80"/>
  <c r="L35" i="80"/>
  <c r="F35" i="80"/>
  <c r="D35" i="80"/>
  <c r="G35" i="80" s="1"/>
  <c r="C35" i="80"/>
  <c r="B35" i="80"/>
  <c r="L34" i="80"/>
  <c r="F34" i="80"/>
  <c r="C34" i="80"/>
  <c r="D34" i="80" s="1"/>
  <c r="G34" i="80" s="1"/>
  <c r="B34" i="80"/>
  <c r="N33" i="80"/>
  <c r="L33" i="80"/>
  <c r="F33" i="80"/>
  <c r="F132" i="80" s="1"/>
  <c r="C33" i="80"/>
  <c r="B33" i="80"/>
  <c r="D33" i="80" s="1"/>
  <c r="G33" i="80" s="1"/>
  <c r="L32" i="80"/>
  <c r="N32" i="80"/>
  <c r="G32" i="80"/>
  <c r="F32" i="80"/>
  <c r="D32" i="80"/>
  <c r="C32" i="80"/>
  <c r="B32" i="80"/>
  <c r="L31" i="80"/>
  <c r="N31" i="80"/>
  <c r="O31" i="80" s="1"/>
  <c r="R31" i="80" s="1"/>
  <c r="G31" i="80"/>
  <c r="F31" i="80"/>
  <c r="D31" i="80"/>
  <c r="C31" i="80"/>
  <c r="B31" i="80"/>
  <c r="L30" i="80"/>
  <c r="N30" i="80"/>
  <c r="F30" i="80"/>
  <c r="C30" i="80"/>
  <c r="D30" i="80" s="1"/>
  <c r="G30" i="80" s="1"/>
  <c r="B30" i="80"/>
  <c r="L29" i="80"/>
  <c r="N29" i="80"/>
  <c r="F29" i="80"/>
  <c r="C29" i="80"/>
  <c r="D29" i="80" s="1"/>
  <c r="G29" i="80" s="1"/>
  <c r="B29" i="80"/>
  <c r="L28" i="80"/>
  <c r="N28" i="80"/>
  <c r="F28" i="80"/>
  <c r="C28" i="80"/>
  <c r="D28" i="80" s="1"/>
  <c r="G28" i="80" s="1"/>
  <c r="B28" i="80"/>
  <c r="N27" i="80"/>
  <c r="L27" i="80"/>
  <c r="G27" i="80"/>
  <c r="F27" i="80"/>
  <c r="D27" i="80"/>
  <c r="C27" i="80"/>
  <c r="B27" i="80"/>
  <c r="L26" i="80"/>
  <c r="N26" i="80" s="1"/>
  <c r="F26" i="80"/>
  <c r="C26" i="80"/>
  <c r="B26" i="80"/>
  <c r="N25" i="80"/>
  <c r="L25" i="80"/>
  <c r="F25" i="80"/>
  <c r="D25" i="80"/>
  <c r="G25" i="80" s="1"/>
  <c r="C25" i="80"/>
  <c r="B25" i="80"/>
  <c r="L24" i="80"/>
  <c r="N24" i="80"/>
  <c r="O24" i="80" s="1"/>
  <c r="F24" i="80"/>
  <c r="C24" i="80"/>
  <c r="D24" i="80" s="1"/>
  <c r="G24" i="80" s="1"/>
  <c r="B24" i="80"/>
  <c r="L23" i="80"/>
  <c r="F23" i="80"/>
  <c r="C23" i="80"/>
  <c r="B23" i="80"/>
  <c r="D23" i="80" s="1"/>
  <c r="G23" i="80" s="1"/>
  <c r="L22" i="80"/>
  <c r="N22" i="80"/>
  <c r="O22" i="80" s="1"/>
  <c r="F22" i="80"/>
  <c r="C22" i="80"/>
  <c r="B22" i="80"/>
  <c r="D22" i="80" s="1"/>
  <c r="G22" i="80" s="1"/>
  <c r="L21" i="80"/>
  <c r="N21" i="80"/>
  <c r="G21" i="80"/>
  <c r="F21" i="80"/>
  <c r="D21" i="80"/>
  <c r="C21" i="80"/>
  <c r="B21" i="80"/>
  <c r="L20" i="80"/>
  <c r="N20" i="80"/>
  <c r="F20" i="80"/>
  <c r="C20" i="80"/>
  <c r="D20" i="80" s="1"/>
  <c r="B20" i="80"/>
  <c r="N19" i="80"/>
  <c r="L19" i="80"/>
  <c r="F19" i="80"/>
  <c r="D19" i="80"/>
  <c r="G19" i="80" s="1"/>
  <c r="C19" i="80"/>
  <c r="B19" i="80"/>
  <c r="L18" i="80"/>
  <c r="N18" i="80" s="1"/>
  <c r="O18" i="80" s="1"/>
  <c r="F18" i="80"/>
  <c r="C18" i="80"/>
  <c r="B18" i="80"/>
  <c r="D18" i="80" s="1"/>
  <c r="G18" i="80" s="1"/>
  <c r="N17" i="80"/>
  <c r="L17" i="80"/>
  <c r="F17" i="80"/>
  <c r="C17" i="80"/>
  <c r="B17" i="80"/>
  <c r="D17" i="80" s="1"/>
  <c r="G17" i="80" s="1"/>
  <c r="L16" i="80"/>
  <c r="F16" i="80"/>
  <c r="C16" i="80"/>
  <c r="D16" i="80" s="1"/>
  <c r="G16" i="80" s="1"/>
  <c r="B16" i="80"/>
  <c r="N15" i="80"/>
  <c r="L15" i="80"/>
  <c r="F15" i="80"/>
  <c r="C15" i="80"/>
  <c r="B15" i="80"/>
  <c r="L14" i="80"/>
  <c r="F14" i="80"/>
  <c r="C14" i="80"/>
  <c r="B14" i="80"/>
  <c r="D14" i="80" s="1"/>
  <c r="G14" i="80" s="1"/>
  <c r="L13" i="80"/>
  <c r="G13" i="80"/>
  <c r="F13" i="80"/>
  <c r="D13" i="80"/>
  <c r="C13" i="80"/>
  <c r="B13" i="80"/>
  <c r="L12" i="80"/>
  <c r="F12" i="80"/>
  <c r="C12" i="80"/>
  <c r="D12" i="80" s="1"/>
  <c r="G12" i="80" s="1"/>
  <c r="B12" i="80"/>
  <c r="N11" i="80"/>
  <c r="L11" i="80"/>
  <c r="G11" i="80"/>
  <c r="F11" i="80"/>
  <c r="D11" i="80"/>
  <c r="C11" i="80"/>
  <c r="B11" i="80"/>
  <c r="L10" i="80"/>
  <c r="F10" i="80"/>
  <c r="C10" i="80"/>
  <c r="B10" i="80"/>
  <c r="N9" i="80"/>
  <c r="L9" i="80"/>
  <c r="F9" i="80"/>
  <c r="D9" i="80"/>
  <c r="G9" i="80" s="1"/>
  <c r="C9" i="80"/>
  <c r="B9" i="80"/>
  <c r="L8" i="80"/>
  <c r="N8" i="80"/>
  <c r="O8" i="80" s="1"/>
  <c r="F8" i="80"/>
  <c r="C8" i="80"/>
  <c r="D8" i="80" s="1"/>
  <c r="G8" i="80" s="1"/>
  <c r="B8" i="80"/>
  <c r="L7" i="80"/>
  <c r="N7" i="80"/>
  <c r="O7" i="80" s="1"/>
  <c r="F7" i="80"/>
  <c r="C7" i="80"/>
  <c r="B7" i="80"/>
  <c r="D7" i="80" s="1"/>
  <c r="G7" i="80" s="1"/>
  <c r="L6" i="80"/>
  <c r="N6" i="80"/>
  <c r="O6" i="80" s="1"/>
  <c r="F6" i="80"/>
  <c r="C6" i="80"/>
  <c r="B6" i="80"/>
  <c r="D6" i="80" s="1"/>
  <c r="G6" i="80" s="1"/>
  <c r="L5" i="80"/>
  <c r="N5" i="80"/>
  <c r="G5" i="80"/>
  <c r="F5" i="80"/>
  <c r="D5" i="80"/>
  <c r="C5" i="80"/>
  <c r="B5" i="80"/>
  <c r="L4" i="80"/>
  <c r="N4" i="80"/>
  <c r="F4" i="80"/>
  <c r="C4" i="80"/>
  <c r="B4" i="80"/>
  <c r="D4" i="80" s="1"/>
  <c r="N3" i="80"/>
  <c r="L3" i="80"/>
  <c r="F3" i="80"/>
  <c r="C3" i="80"/>
  <c r="B3" i="80"/>
  <c r="B116" i="80" s="1"/>
  <c r="P124" i="72"/>
  <c r="O57" i="80" l="1"/>
  <c r="P57" i="80" s="1"/>
  <c r="Q57" i="80" s="1"/>
  <c r="O81" i="80"/>
  <c r="R18" i="80"/>
  <c r="P18" i="80"/>
  <c r="Q18" i="80" s="1"/>
  <c r="S8" i="80"/>
  <c r="T8" i="80" s="1"/>
  <c r="R8" i="80"/>
  <c r="P8" i="80"/>
  <c r="Q8" i="80" s="1"/>
  <c r="S7" i="80"/>
  <c r="T7" i="80" s="1"/>
  <c r="R7" i="80"/>
  <c r="P7" i="80"/>
  <c r="Q7" i="80" s="1"/>
  <c r="R24" i="80"/>
  <c r="P24" i="80"/>
  <c r="Q24" i="80" s="1"/>
  <c r="P68" i="80"/>
  <c r="Q68" i="80" s="1"/>
  <c r="R68" i="80"/>
  <c r="S86" i="80"/>
  <c r="T86" i="80" s="1"/>
  <c r="R86" i="80"/>
  <c r="P86" i="80"/>
  <c r="Q86" i="80" s="1"/>
  <c r="O5" i="80"/>
  <c r="O33" i="80"/>
  <c r="P36" i="80"/>
  <c r="Q36" i="80" s="1"/>
  <c r="R36" i="80"/>
  <c r="O49" i="80"/>
  <c r="R69" i="80"/>
  <c r="P69" i="80"/>
  <c r="Q69" i="80" s="1"/>
  <c r="S69" i="80"/>
  <c r="T69" i="80" s="1"/>
  <c r="G87" i="80"/>
  <c r="O4" i="80"/>
  <c r="O17" i="80"/>
  <c r="S18" i="80" s="1"/>
  <c r="T18" i="80" s="1"/>
  <c r="G43" i="80"/>
  <c r="S65" i="80"/>
  <c r="T65" i="80" s="1"/>
  <c r="R65" i="80"/>
  <c r="P65" i="80"/>
  <c r="Q65" i="80" s="1"/>
  <c r="R73" i="80"/>
  <c r="P73" i="80"/>
  <c r="Q73" i="80" s="1"/>
  <c r="R6" i="80"/>
  <c r="P6" i="80"/>
  <c r="Q6" i="80" s="1"/>
  <c r="R22" i="80"/>
  <c r="P22" i="80"/>
  <c r="Q22" i="80" s="1"/>
  <c r="R55" i="80"/>
  <c r="P55" i="80"/>
  <c r="Q55" i="80" s="1"/>
  <c r="O30" i="80"/>
  <c r="S31" i="80" s="1"/>
  <c r="T31" i="80" s="1"/>
  <c r="O41" i="80"/>
  <c r="D119" i="80"/>
  <c r="G39" i="80"/>
  <c r="G119" i="80" s="1"/>
  <c r="B117" i="80"/>
  <c r="D15" i="80"/>
  <c r="O19" i="80"/>
  <c r="F119" i="80"/>
  <c r="P119" i="80" s="1"/>
  <c r="R74" i="80"/>
  <c r="S74" i="80"/>
  <c r="T74" i="80" s="1"/>
  <c r="P74" i="80"/>
  <c r="Q74" i="80" s="1"/>
  <c r="O25" i="80"/>
  <c r="O28" i="80"/>
  <c r="O29" i="80"/>
  <c r="P31" i="80"/>
  <c r="Q31" i="80" s="1"/>
  <c r="O39" i="80"/>
  <c r="O50" i="80"/>
  <c r="R57" i="80"/>
  <c r="G4" i="80"/>
  <c r="S6" i="80"/>
  <c r="T6" i="80" s="1"/>
  <c r="N16" i="80"/>
  <c r="O16" i="80" s="1"/>
  <c r="O32" i="80"/>
  <c r="P81" i="80"/>
  <c r="Q81" i="80" s="1"/>
  <c r="R81" i="80"/>
  <c r="O21" i="80"/>
  <c r="S22" i="80" s="1"/>
  <c r="T22" i="80" s="1"/>
  <c r="P45" i="80"/>
  <c r="Q45" i="80" s="1"/>
  <c r="R45" i="80"/>
  <c r="O9" i="80"/>
  <c r="N108" i="80"/>
  <c r="N12" i="80"/>
  <c r="O12" i="80" s="1"/>
  <c r="N23" i="80"/>
  <c r="O23" i="80" s="1"/>
  <c r="S24" i="80" s="1"/>
  <c r="T24" i="80" s="1"/>
  <c r="D3" i="80"/>
  <c r="D10" i="80"/>
  <c r="G10" i="80" s="1"/>
  <c r="O11" i="80"/>
  <c r="N110" i="80"/>
  <c r="N14" i="80"/>
  <c r="O14" i="80" s="1"/>
  <c r="G20" i="80"/>
  <c r="O20" i="80" s="1"/>
  <c r="D26" i="80"/>
  <c r="G26" i="80" s="1"/>
  <c r="O26" i="80" s="1"/>
  <c r="R64" i="80"/>
  <c r="P64" i="80"/>
  <c r="Q64" i="80" s="1"/>
  <c r="O71" i="80"/>
  <c r="R85" i="80"/>
  <c r="P85" i="80"/>
  <c r="Q85" i="80" s="1"/>
  <c r="O83" i="80"/>
  <c r="N109" i="80"/>
  <c r="F118" i="80"/>
  <c r="P118" i="80" s="1"/>
  <c r="D40" i="80"/>
  <c r="G40" i="80" s="1"/>
  <c r="O40" i="80" s="1"/>
  <c r="N46" i="80"/>
  <c r="O46" i="80" s="1"/>
  <c r="D48" i="80"/>
  <c r="G48" i="80" s="1"/>
  <c r="O48" i="80" s="1"/>
  <c r="N52" i="80"/>
  <c r="O52" i="80" s="1"/>
  <c r="F134" i="80"/>
  <c r="P58" i="80"/>
  <c r="Q58" i="80" s="1"/>
  <c r="N59" i="80"/>
  <c r="O59" i="80" s="1"/>
  <c r="D62" i="80"/>
  <c r="G62" i="80" s="1"/>
  <c r="B121" i="80"/>
  <c r="G66" i="80"/>
  <c r="N70" i="80"/>
  <c r="O70" i="80" s="1"/>
  <c r="F122" i="80"/>
  <c r="P122" i="80" s="1"/>
  <c r="D97" i="80"/>
  <c r="G97" i="80" s="1"/>
  <c r="G101" i="80"/>
  <c r="O84" i="80"/>
  <c r="F130" i="80"/>
  <c r="N107" i="80"/>
  <c r="S58" i="80"/>
  <c r="T58" i="80" s="1"/>
  <c r="O60" i="80"/>
  <c r="G63" i="80"/>
  <c r="O66" i="80"/>
  <c r="O75" i="80"/>
  <c r="F123" i="80"/>
  <c r="P123" i="80" s="1"/>
  <c r="N13" i="80"/>
  <c r="O13" i="80" s="1"/>
  <c r="F120" i="80"/>
  <c r="P120" i="80" s="1"/>
  <c r="N62" i="80"/>
  <c r="O62" i="80" s="1"/>
  <c r="F121" i="80"/>
  <c r="P121" i="80" s="1"/>
  <c r="G80" i="80"/>
  <c r="O80" i="80" s="1"/>
  <c r="G99" i="80"/>
  <c r="D124" i="80"/>
  <c r="O79" i="80"/>
  <c r="F116" i="80"/>
  <c r="N105" i="80"/>
  <c r="F117" i="80"/>
  <c r="P117" i="80" s="1"/>
  <c r="N42" i="80"/>
  <c r="O42" i="80" s="1"/>
  <c r="N44" i="80"/>
  <c r="O44" i="80" s="1"/>
  <c r="S45" i="80" s="1"/>
  <c r="T45" i="80" s="1"/>
  <c r="F133" i="80"/>
  <c r="G51" i="80"/>
  <c r="N54" i="80"/>
  <c r="O54" i="80" s="1"/>
  <c r="S55" i="80" s="1"/>
  <c r="T55" i="80" s="1"/>
  <c r="D56" i="80"/>
  <c r="G56" i="80" s="1"/>
  <c r="O56" i="80" s="1"/>
  <c r="N76" i="80"/>
  <c r="O76" i="80" s="1"/>
  <c r="O82" i="80"/>
  <c r="N123" i="80"/>
  <c r="Q123" i="80" s="1"/>
  <c r="D89" i="80"/>
  <c r="G89" i="80" s="1"/>
  <c r="G93" i="80"/>
  <c r="B118" i="80"/>
  <c r="B126" i="80" s="1"/>
  <c r="N34" i="80"/>
  <c r="O34" i="80" s="1"/>
  <c r="O35" i="80"/>
  <c r="B119" i="80"/>
  <c r="O47" i="80"/>
  <c r="O51" i="80"/>
  <c r="O53" i="80"/>
  <c r="O61" i="80"/>
  <c r="O67" i="80"/>
  <c r="N78" i="80"/>
  <c r="O78" i="80" s="1"/>
  <c r="F137" i="80"/>
  <c r="F124" i="80"/>
  <c r="B120" i="80"/>
  <c r="O43" i="80"/>
  <c r="B122" i="80"/>
  <c r="D77" i="80"/>
  <c r="G77" i="80" s="1"/>
  <c r="O77" i="80" s="1"/>
  <c r="N10" i="80"/>
  <c r="O10" i="80" s="1"/>
  <c r="F131" i="80"/>
  <c r="O27" i="80"/>
  <c r="D37" i="80"/>
  <c r="G37" i="80" s="1"/>
  <c r="G118" i="80" s="1"/>
  <c r="N38" i="80"/>
  <c r="O38" i="80" s="1"/>
  <c r="F138" i="80" a="1"/>
  <c r="F138" i="80" s="1"/>
  <c r="P124" i="80" s="1"/>
  <c r="D72" i="80"/>
  <c r="G72" i="80" s="1"/>
  <c r="O72" i="80" s="1"/>
  <c r="B20" i="18"/>
  <c r="F138" i="72" a="1"/>
  <c r="F138" i="72" s="1"/>
  <c r="F137" i="72"/>
  <c r="F136" i="72"/>
  <c r="F135" i="72"/>
  <c r="F134" i="72"/>
  <c r="F133" i="72"/>
  <c r="F132" i="72"/>
  <c r="F131" i="72"/>
  <c r="F130" i="72"/>
  <c r="P123" i="72"/>
  <c r="P122" i="72"/>
  <c r="N124" i="72"/>
  <c r="F4" i="72"/>
  <c r="F5" i="72"/>
  <c r="F6" i="72"/>
  <c r="F7" i="72"/>
  <c r="F8" i="72"/>
  <c r="F9" i="72"/>
  <c r="F10" i="72"/>
  <c r="F11" i="72"/>
  <c r="F12" i="72"/>
  <c r="F13" i="72"/>
  <c r="F14" i="72"/>
  <c r="F15" i="72"/>
  <c r="F16" i="72"/>
  <c r="F17" i="72"/>
  <c r="F18" i="72"/>
  <c r="F19" i="72"/>
  <c r="F20" i="72"/>
  <c r="F21" i="72"/>
  <c r="F22" i="72"/>
  <c r="F23" i="72"/>
  <c r="F24" i="72"/>
  <c r="F25" i="72"/>
  <c r="F26" i="72"/>
  <c r="F27" i="72"/>
  <c r="F28" i="72"/>
  <c r="F29" i="72"/>
  <c r="F30" i="72"/>
  <c r="F31" i="72"/>
  <c r="F32" i="72"/>
  <c r="F33" i="72"/>
  <c r="F34" i="72"/>
  <c r="F35" i="72"/>
  <c r="F36" i="72"/>
  <c r="F37" i="72"/>
  <c r="F38" i="72"/>
  <c r="F39" i="72"/>
  <c r="F40" i="72"/>
  <c r="F41" i="72"/>
  <c r="F42" i="72"/>
  <c r="F43" i="72"/>
  <c r="F44" i="72"/>
  <c r="F45" i="72"/>
  <c r="F46" i="72"/>
  <c r="F47" i="72"/>
  <c r="F48" i="72"/>
  <c r="F49" i="72"/>
  <c r="F50" i="72"/>
  <c r="F51" i="72"/>
  <c r="F52" i="72"/>
  <c r="F53" i="72"/>
  <c r="F54" i="72"/>
  <c r="F55" i="72"/>
  <c r="F56" i="72"/>
  <c r="F57" i="72"/>
  <c r="F58" i="72"/>
  <c r="F59" i="72"/>
  <c r="F60" i="72"/>
  <c r="F61" i="72"/>
  <c r="F62" i="72"/>
  <c r="F63" i="72"/>
  <c r="F64" i="72"/>
  <c r="F65" i="72"/>
  <c r="F66" i="72"/>
  <c r="F67" i="72"/>
  <c r="F68" i="72"/>
  <c r="F69" i="72"/>
  <c r="F70" i="72"/>
  <c r="F71" i="72"/>
  <c r="F72" i="72"/>
  <c r="F73" i="72"/>
  <c r="F74" i="72"/>
  <c r="F75" i="72"/>
  <c r="F76" i="72"/>
  <c r="F77" i="72"/>
  <c r="F78" i="72"/>
  <c r="F79" i="72"/>
  <c r="F80" i="72"/>
  <c r="F81" i="72"/>
  <c r="F82" i="72"/>
  <c r="F83" i="72"/>
  <c r="F84" i="72"/>
  <c r="F85" i="72"/>
  <c r="F86" i="72"/>
  <c r="F87" i="72"/>
  <c r="F88" i="72"/>
  <c r="F89" i="72"/>
  <c r="F90" i="72"/>
  <c r="F91" i="72"/>
  <c r="F92" i="72"/>
  <c r="F93" i="72"/>
  <c r="F94" i="72"/>
  <c r="F95" i="72"/>
  <c r="F96" i="72"/>
  <c r="F97" i="72"/>
  <c r="F98" i="72"/>
  <c r="F99" i="72"/>
  <c r="F100" i="72"/>
  <c r="F101" i="72"/>
  <c r="F102" i="72"/>
  <c r="F103" i="72"/>
  <c r="F104" i="72"/>
  <c r="F3" i="72"/>
  <c r="N121" i="80" l="1"/>
  <c r="Q121" i="80" s="1"/>
  <c r="N119" i="80"/>
  <c r="Q119" i="80" s="1"/>
  <c r="N118" i="80"/>
  <c r="Q118" i="80" s="1"/>
  <c r="S80" i="80"/>
  <c r="T80" i="80" s="1"/>
  <c r="R80" i="80"/>
  <c r="P80" i="80"/>
  <c r="Q80" i="80" s="1"/>
  <c r="S81" i="80"/>
  <c r="T81" i="80" s="1"/>
  <c r="S56" i="80"/>
  <c r="T56" i="80" s="1"/>
  <c r="R56" i="80"/>
  <c r="P56" i="80"/>
  <c r="Q56" i="80" s="1"/>
  <c r="S57" i="80"/>
  <c r="T57" i="80" s="1"/>
  <c r="S48" i="80"/>
  <c r="T48" i="80" s="1"/>
  <c r="R48" i="80"/>
  <c r="P48" i="80"/>
  <c r="Q48" i="80" s="1"/>
  <c r="S40" i="80"/>
  <c r="T40" i="80" s="1"/>
  <c r="P40" i="80"/>
  <c r="Q40" i="80" s="1"/>
  <c r="R40" i="80"/>
  <c r="P20" i="80"/>
  <c r="Q20" i="80" s="1"/>
  <c r="R20" i="80"/>
  <c r="S20" i="80"/>
  <c r="T20" i="80" s="1"/>
  <c r="R77" i="80"/>
  <c r="P77" i="80"/>
  <c r="Q77" i="80" s="1"/>
  <c r="S77" i="80"/>
  <c r="T77" i="80" s="1"/>
  <c r="P32" i="80"/>
  <c r="Q32" i="80" s="1"/>
  <c r="S32" i="80"/>
  <c r="T32" i="80" s="1"/>
  <c r="R32" i="80"/>
  <c r="P84" i="80"/>
  <c r="Q84" i="80" s="1"/>
  <c r="S84" i="80"/>
  <c r="T84" i="80" s="1"/>
  <c r="R84" i="80"/>
  <c r="S35" i="80"/>
  <c r="T35" i="80" s="1"/>
  <c r="P35" i="80"/>
  <c r="Q35" i="80" s="1"/>
  <c r="R35" i="80"/>
  <c r="R42" i="80"/>
  <c r="S42" i="80"/>
  <c r="T42" i="80" s="1"/>
  <c r="P42" i="80"/>
  <c r="Q42" i="80" s="1"/>
  <c r="R46" i="80"/>
  <c r="P46" i="80"/>
  <c r="Q46" i="80" s="1"/>
  <c r="S46" i="80"/>
  <c r="T46" i="80" s="1"/>
  <c r="S25" i="80"/>
  <c r="T25" i="80" s="1"/>
  <c r="R25" i="80"/>
  <c r="P25" i="80"/>
  <c r="Q25" i="80" s="1"/>
  <c r="G15" i="80"/>
  <c r="D117" i="80"/>
  <c r="N116" i="80"/>
  <c r="D118" i="80"/>
  <c r="S62" i="80"/>
  <c r="T62" i="80" s="1"/>
  <c r="R62" i="80"/>
  <c r="P62" i="80"/>
  <c r="Q62" i="80" s="1"/>
  <c r="S72" i="80"/>
  <c r="T72" i="80" s="1"/>
  <c r="R72" i="80"/>
  <c r="P72" i="80"/>
  <c r="Q72" i="80" s="1"/>
  <c r="P53" i="80"/>
  <c r="Q53" i="80" s="1"/>
  <c r="R53" i="80"/>
  <c r="S53" i="80"/>
  <c r="T53" i="80" s="1"/>
  <c r="S78" i="80"/>
  <c r="T78" i="80" s="1"/>
  <c r="R78" i="80"/>
  <c r="P78" i="80"/>
  <c r="Q78" i="80" s="1"/>
  <c r="N122" i="80"/>
  <c r="Q122" i="80" s="1"/>
  <c r="S10" i="80"/>
  <c r="T10" i="80" s="1"/>
  <c r="R10" i="80"/>
  <c r="P10" i="80"/>
  <c r="Q10" i="80" s="1"/>
  <c r="P67" i="80"/>
  <c r="Q67" i="80" s="1"/>
  <c r="S67" i="80"/>
  <c r="T67" i="80" s="1"/>
  <c r="R67" i="80"/>
  <c r="R34" i="80"/>
  <c r="P34" i="80"/>
  <c r="Q34" i="80" s="1"/>
  <c r="S34" i="80"/>
  <c r="T34" i="80" s="1"/>
  <c r="R82" i="80"/>
  <c r="S82" i="80"/>
  <c r="T82" i="80" s="1"/>
  <c r="P82" i="80"/>
  <c r="Q82" i="80" s="1"/>
  <c r="P75" i="80"/>
  <c r="Q75" i="80" s="1"/>
  <c r="S75" i="80"/>
  <c r="T75" i="80" s="1"/>
  <c r="R75" i="80"/>
  <c r="R14" i="80"/>
  <c r="P14" i="80"/>
  <c r="Q14" i="80" s="1"/>
  <c r="S14" i="80"/>
  <c r="T14" i="80" s="1"/>
  <c r="S9" i="80"/>
  <c r="T9" i="80" s="1"/>
  <c r="R9" i="80"/>
  <c r="P9" i="80"/>
  <c r="Q9" i="80" s="1"/>
  <c r="R50" i="80"/>
  <c r="P50" i="80"/>
  <c r="Q50" i="80" s="1"/>
  <c r="S50" i="80"/>
  <c r="T50" i="80" s="1"/>
  <c r="D122" i="80"/>
  <c r="S36" i="80"/>
  <c r="T36" i="80" s="1"/>
  <c r="S68" i="80"/>
  <c r="T68" i="80" s="1"/>
  <c r="S43" i="80"/>
  <c r="T43" i="80" s="1"/>
  <c r="R43" i="80"/>
  <c r="P43" i="80"/>
  <c r="Q43" i="80" s="1"/>
  <c r="S51" i="80"/>
  <c r="T51" i="80" s="1"/>
  <c r="R51" i="80"/>
  <c r="P51" i="80"/>
  <c r="Q51" i="80" s="1"/>
  <c r="R54" i="80"/>
  <c r="P54" i="80"/>
  <c r="Q54" i="80" s="1"/>
  <c r="S54" i="80"/>
  <c r="T54" i="80" s="1"/>
  <c r="F126" i="80"/>
  <c r="P116" i="80"/>
  <c r="P13" i="80"/>
  <c r="Q13" i="80" s="1"/>
  <c r="S13" i="80"/>
  <c r="T13" i="80" s="1"/>
  <c r="R13" i="80"/>
  <c r="D121" i="80"/>
  <c r="R16" i="80"/>
  <c r="P16" i="80"/>
  <c r="Q16" i="80" s="1"/>
  <c r="R41" i="80"/>
  <c r="P41" i="80"/>
  <c r="Q41" i="80" s="1"/>
  <c r="S41" i="80"/>
  <c r="T41" i="80" s="1"/>
  <c r="N117" i="80"/>
  <c r="Q117" i="80" s="1"/>
  <c r="P5" i="80"/>
  <c r="Q5" i="80" s="1"/>
  <c r="S5" i="80"/>
  <c r="T5" i="80" s="1"/>
  <c r="R5" i="80"/>
  <c r="R61" i="80"/>
  <c r="P61" i="80"/>
  <c r="Q61" i="80" s="1"/>
  <c r="S61" i="80"/>
  <c r="T61" i="80" s="1"/>
  <c r="R66" i="80"/>
  <c r="P66" i="80"/>
  <c r="Q66" i="80" s="1"/>
  <c r="S66" i="80"/>
  <c r="T66" i="80" s="1"/>
  <c r="S71" i="80"/>
  <c r="T71" i="80" s="1"/>
  <c r="R71" i="80"/>
  <c r="P71" i="80"/>
  <c r="Q71" i="80" s="1"/>
  <c r="G121" i="80"/>
  <c r="R38" i="80"/>
  <c r="P38" i="80"/>
  <c r="Q38" i="80" s="1"/>
  <c r="N120" i="80"/>
  <c r="Q120" i="80" s="1"/>
  <c r="G120" i="80"/>
  <c r="S79" i="80"/>
  <c r="T79" i="80" s="1"/>
  <c r="R79" i="80"/>
  <c r="P79" i="80"/>
  <c r="Q79" i="80" s="1"/>
  <c r="N106" i="80"/>
  <c r="N124" i="80" s="1"/>
  <c r="Q124" i="80" s="1"/>
  <c r="P60" i="80"/>
  <c r="Q60" i="80" s="1"/>
  <c r="S60" i="80"/>
  <c r="T60" i="80" s="1"/>
  <c r="R60" i="80"/>
  <c r="P83" i="80"/>
  <c r="Q83" i="80" s="1"/>
  <c r="S83" i="80"/>
  <c r="T83" i="80" s="1"/>
  <c r="R83" i="80"/>
  <c r="D116" i="80"/>
  <c r="G3" i="80"/>
  <c r="P21" i="80"/>
  <c r="Q21" i="80" s="1"/>
  <c r="S21" i="80"/>
  <c r="T21" i="80" s="1"/>
  <c r="R21" i="80"/>
  <c r="P30" i="80"/>
  <c r="Q30" i="80" s="1"/>
  <c r="S30" i="80"/>
  <c r="T30" i="80" s="1"/>
  <c r="R30" i="80"/>
  <c r="P4" i="80"/>
  <c r="Q4" i="80" s="1"/>
  <c r="R4" i="80"/>
  <c r="P76" i="80"/>
  <c r="Q76" i="80" s="1"/>
  <c r="S76" i="80"/>
  <c r="T76" i="80" s="1"/>
  <c r="R76" i="80"/>
  <c r="S39" i="80"/>
  <c r="T39" i="80" s="1"/>
  <c r="R39" i="80"/>
  <c r="P39" i="80"/>
  <c r="Q39" i="80" s="1"/>
  <c r="P59" i="80"/>
  <c r="Q59" i="80" s="1"/>
  <c r="S59" i="80"/>
  <c r="T59" i="80" s="1"/>
  <c r="R59" i="80"/>
  <c r="S11" i="80"/>
  <c r="T11" i="80" s="1"/>
  <c r="R11" i="80"/>
  <c r="P11" i="80"/>
  <c r="Q11" i="80" s="1"/>
  <c r="S33" i="80"/>
  <c r="T33" i="80" s="1"/>
  <c r="R33" i="80"/>
  <c r="P33" i="80"/>
  <c r="Q33" i="80" s="1"/>
  <c r="S47" i="80"/>
  <c r="T47" i="80" s="1"/>
  <c r="R47" i="80"/>
  <c r="P47" i="80"/>
  <c r="Q47" i="80" s="1"/>
  <c r="G122" i="80"/>
  <c r="P52" i="80"/>
  <c r="Q52" i="80" s="1"/>
  <c r="S52" i="80"/>
  <c r="T52" i="80" s="1"/>
  <c r="R52" i="80"/>
  <c r="O37" i="80"/>
  <c r="S23" i="80"/>
  <c r="T23" i="80" s="1"/>
  <c r="R23" i="80"/>
  <c r="P23" i="80"/>
  <c r="Q23" i="80" s="1"/>
  <c r="P29" i="80"/>
  <c r="Q29" i="80" s="1"/>
  <c r="S29" i="80"/>
  <c r="T29" i="80" s="1"/>
  <c r="R29" i="80"/>
  <c r="D123" i="80"/>
  <c r="O63" i="80"/>
  <c r="S17" i="80"/>
  <c r="T17" i="80" s="1"/>
  <c r="R17" i="80"/>
  <c r="P17" i="80"/>
  <c r="Q17" i="80" s="1"/>
  <c r="S73" i="80"/>
  <c r="T73" i="80" s="1"/>
  <c r="S27" i="80"/>
  <c r="T27" i="80" s="1"/>
  <c r="R27" i="80"/>
  <c r="P27" i="80"/>
  <c r="Q27" i="80" s="1"/>
  <c r="P44" i="80"/>
  <c r="Q44" i="80" s="1"/>
  <c r="S44" i="80"/>
  <c r="T44" i="80" s="1"/>
  <c r="R44" i="80"/>
  <c r="G124" i="80"/>
  <c r="D120" i="80"/>
  <c r="S70" i="80"/>
  <c r="T70" i="80" s="1"/>
  <c r="R70" i="80"/>
  <c r="P70" i="80"/>
  <c r="Q70" i="80" s="1"/>
  <c r="S85" i="80"/>
  <c r="T85" i="80" s="1"/>
  <c r="S26" i="80"/>
  <c r="T26" i="80" s="1"/>
  <c r="R26" i="80"/>
  <c r="P26" i="80"/>
  <c r="Q26" i="80" s="1"/>
  <c r="P12" i="80"/>
  <c r="Q12" i="80" s="1"/>
  <c r="R12" i="80"/>
  <c r="S12" i="80"/>
  <c r="T12" i="80" s="1"/>
  <c r="P28" i="80"/>
  <c r="Q28" i="80" s="1"/>
  <c r="R28" i="80"/>
  <c r="S28" i="80"/>
  <c r="T28" i="80" s="1"/>
  <c r="S19" i="80"/>
  <c r="T19" i="80" s="1"/>
  <c r="R19" i="80"/>
  <c r="P19" i="80"/>
  <c r="Q19" i="80" s="1"/>
  <c r="G123" i="80"/>
  <c r="S49" i="80"/>
  <c r="T49" i="80" s="1"/>
  <c r="R49" i="80"/>
  <c r="P49" i="80"/>
  <c r="Q49" i="80" s="1"/>
  <c r="D123" i="72"/>
  <c r="S63" i="80" l="1"/>
  <c r="T63" i="80" s="1"/>
  <c r="R63" i="80"/>
  <c r="P63" i="80"/>
  <c r="Q63" i="80" s="1"/>
  <c r="S64" i="80"/>
  <c r="T64" i="80" s="1"/>
  <c r="P37" i="80"/>
  <c r="Q37" i="80" s="1"/>
  <c r="S37" i="80"/>
  <c r="T37" i="80" s="1"/>
  <c r="R37" i="80"/>
  <c r="S38" i="80"/>
  <c r="T38" i="80" s="1"/>
  <c r="G117" i="80"/>
  <c r="O15" i="80"/>
  <c r="G116" i="80"/>
  <c r="G126" i="80" s="1"/>
  <c r="O3" i="80"/>
  <c r="D126" i="80"/>
  <c r="N114" i="80"/>
  <c r="N131" i="80" s="1"/>
  <c r="N130" i="80"/>
  <c r="Q116" i="80"/>
  <c r="N126" i="80"/>
  <c r="E24" i="18"/>
  <c r="E20" i="18"/>
  <c r="W115" i="80" l="1" a="1"/>
  <c r="Q126" i="80"/>
  <c r="Q127" i="80" s="1"/>
  <c r="R3" i="80"/>
  <c r="P3" i="80"/>
  <c r="Q3" i="80" s="1"/>
  <c r="S4" i="80"/>
  <c r="T4" i="80" s="1"/>
  <c r="S15" i="80"/>
  <c r="T15" i="80" s="1"/>
  <c r="R15" i="80"/>
  <c r="P15" i="80"/>
  <c r="Q15" i="80" s="1"/>
  <c r="S16" i="80"/>
  <c r="T16" i="80" s="1"/>
  <c r="N127" i="80"/>
  <c r="C24" i="18"/>
  <c r="D24" i="18"/>
  <c r="F24" i="18"/>
  <c r="A20" i="18"/>
  <c r="C20" i="18"/>
  <c r="D20" i="18"/>
  <c r="F20" i="18"/>
  <c r="Q87" i="80" l="1"/>
  <c r="T87" i="80"/>
  <c r="W28" i="80" s="1"/>
  <c r="R87" i="80"/>
  <c r="W29" i="80" s="1"/>
  <c r="AA115" i="80"/>
  <c r="Z115" i="80"/>
  <c r="Y115" i="80"/>
  <c r="X115" i="80"/>
  <c r="AE115" i="80"/>
  <c r="W115" i="80"/>
  <c r="AD115" i="80"/>
  <c r="AC115" i="80"/>
  <c r="AB115" i="80"/>
  <c r="N4" i="9"/>
  <c r="N5" i="9"/>
  <c r="N6" i="9"/>
  <c r="N7" i="9"/>
  <c r="N8" i="9"/>
  <c r="N9" i="9"/>
  <c r="N3" i="9"/>
  <c r="E34" i="17"/>
  <c r="F34" i="17"/>
  <c r="G34" i="17"/>
  <c r="H34" i="17"/>
  <c r="I34" i="17"/>
  <c r="H19" i="17"/>
  <c r="G15" i="17"/>
  <c r="G16" i="17"/>
  <c r="G17" i="17"/>
  <c r="W31" i="80" l="1"/>
  <c r="I4" i="11"/>
  <c r="M4" i="9" l="1"/>
  <c r="M3" i="9"/>
  <c r="I47" i="11" l="1"/>
  <c r="I42" i="11"/>
  <c r="I38" i="11"/>
  <c r="I33" i="11"/>
  <c r="I28" i="11"/>
  <c r="I23" i="11"/>
  <c r="I19" i="11"/>
  <c r="I15" i="11"/>
  <c r="K18" i="9"/>
  <c r="L18" i="9"/>
  <c r="M18" i="9"/>
  <c r="N18" i="9"/>
  <c r="G10" i="9"/>
  <c r="I56" i="11" s="1"/>
  <c r="E124" i="72"/>
  <c r="E123" i="72"/>
  <c r="R13" i="17" l="1"/>
  <c r="R14" i="17"/>
  <c r="R15" i="17"/>
  <c r="R16" i="17"/>
  <c r="R17" i="17"/>
  <c r="R12" i="17"/>
  <c r="Q23" i="17"/>
  <c r="G58" i="17"/>
  <c r="H58" i="17"/>
  <c r="I58" i="17"/>
  <c r="G59" i="17"/>
  <c r="H59" i="17"/>
  <c r="I59" i="17"/>
  <c r="G60" i="17"/>
  <c r="H60" i="17"/>
  <c r="I60" i="17"/>
  <c r="G61" i="17"/>
  <c r="H61" i="17"/>
  <c r="I61" i="17"/>
  <c r="G62" i="17"/>
  <c r="H62" i="17"/>
  <c r="I62" i="17"/>
  <c r="G57" i="17"/>
  <c r="H57" i="17"/>
  <c r="I57" i="17"/>
  <c r="G48" i="17"/>
  <c r="H48" i="17"/>
  <c r="H55" i="17" s="1"/>
  <c r="I48" i="17"/>
  <c r="G49" i="17"/>
  <c r="H49" i="17"/>
  <c r="I49" i="17"/>
  <c r="G50" i="17"/>
  <c r="H50" i="17"/>
  <c r="I50" i="17"/>
  <c r="G51" i="17"/>
  <c r="H51" i="17"/>
  <c r="I51" i="17"/>
  <c r="G52" i="17"/>
  <c r="H52" i="17"/>
  <c r="I52" i="17"/>
  <c r="G53" i="17"/>
  <c r="H53" i="17"/>
  <c r="I53" i="17"/>
  <c r="D40" i="17"/>
  <c r="C40" i="17"/>
  <c r="B40" i="17"/>
  <c r="D18" i="17"/>
  <c r="J18" i="9" s="1"/>
  <c r="C18" i="17"/>
  <c r="I18" i="9" s="1"/>
  <c r="G30" i="17"/>
  <c r="H30" i="17"/>
  <c r="A30" i="17"/>
  <c r="B18" i="17"/>
  <c r="H18" i="9" s="1"/>
  <c r="G55" i="17" l="1"/>
  <c r="G63" i="17" s="1"/>
  <c r="G64" i="17" s="1"/>
  <c r="G65" i="17" s="1"/>
  <c r="G66" i="17" s="1"/>
  <c r="G67" i="17" s="1"/>
  <c r="G68" i="17" s="1"/>
  <c r="I55" i="17"/>
  <c r="I63" i="17" s="1"/>
  <c r="H70" i="17"/>
  <c r="H63" i="17"/>
  <c r="H64" i="17" s="1"/>
  <c r="H65" i="17" s="1"/>
  <c r="H66" i="17" s="1"/>
  <c r="H67" i="17" s="1"/>
  <c r="H68" i="17" s="1"/>
  <c r="F42" i="17"/>
  <c r="F43" i="17"/>
  <c r="F44" i="17"/>
  <c r="F45" i="17"/>
  <c r="F46" i="17"/>
  <c r="F41" i="17"/>
  <c r="E42" i="17"/>
  <c r="E43" i="17"/>
  <c r="E44" i="17"/>
  <c r="E45" i="17"/>
  <c r="E46" i="17"/>
  <c r="E41" i="17"/>
  <c r="D42" i="17"/>
  <c r="D43" i="17"/>
  <c r="D44" i="17"/>
  <c r="D45" i="17"/>
  <c r="D46" i="17"/>
  <c r="D41" i="17"/>
  <c r="C42" i="17"/>
  <c r="C43" i="17"/>
  <c r="C44" i="17"/>
  <c r="C45" i="17"/>
  <c r="C46" i="17"/>
  <c r="C41" i="17"/>
  <c r="B42" i="17"/>
  <c r="B43" i="17"/>
  <c r="B44" i="17"/>
  <c r="B45" i="17"/>
  <c r="B46" i="17"/>
  <c r="B41" i="17"/>
  <c r="I64" i="17" l="1"/>
  <c r="I65" i="17" s="1"/>
  <c r="I66" i="17" s="1"/>
  <c r="I67" i="17" s="1"/>
  <c r="I68" i="17" s="1"/>
  <c r="I70" i="17" s="1"/>
  <c r="I19" i="17" s="1"/>
  <c r="F50" i="17"/>
  <c r="F59" i="17"/>
  <c r="D60" i="17"/>
  <c r="D51" i="17"/>
  <c r="E49" i="17"/>
  <c r="E58" i="17"/>
  <c r="B50" i="17"/>
  <c r="B59" i="17"/>
  <c r="D57" i="17"/>
  <c r="D48" i="17"/>
  <c r="B49" i="17"/>
  <c r="B58" i="17"/>
  <c r="D62" i="17"/>
  <c r="D53" i="17"/>
  <c r="E60" i="17"/>
  <c r="E51" i="17"/>
  <c r="F49" i="17"/>
  <c r="F58" i="17"/>
  <c r="C48" i="17"/>
  <c r="C57" i="17"/>
  <c r="D61" i="17"/>
  <c r="D52" i="17"/>
  <c r="E50" i="17"/>
  <c r="E59" i="17"/>
  <c r="C62" i="17"/>
  <c r="C53" i="17"/>
  <c r="B57" i="17"/>
  <c r="B48" i="17"/>
  <c r="C61" i="17"/>
  <c r="C52" i="17"/>
  <c r="D50" i="17"/>
  <c r="D59" i="17"/>
  <c r="F57" i="17"/>
  <c r="F48" i="17"/>
  <c r="B53" i="17"/>
  <c r="B62" i="17"/>
  <c r="C60" i="17"/>
  <c r="C51" i="17"/>
  <c r="D49" i="17"/>
  <c r="D58" i="17"/>
  <c r="F62" i="17"/>
  <c r="F53" i="17"/>
  <c r="E52" i="17"/>
  <c r="E61" i="17"/>
  <c r="B61" i="17"/>
  <c r="B52" i="17"/>
  <c r="C59" i="17"/>
  <c r="C50" i="17"/>
  <c r="E57" i="17"/>
  <c r="E48" i="17"/>
  <c r="F61" i="17"/>
  <c r="F52" i="17"/>
  <c r="B51" i="17"/>
  <c r="B60" i="17"/>
  <c r="C58" i="17"/>
  <c r="C49" i="17"/>
  <c r="E62" i="17"/>
  <c r="E53" i="17"/>
  <c r="F51" i="17"/>
  <c r="F60" i="17"/>
  <c r="G70" i="17"/>
  <c r="G19" i="17" s="1"/>
  <c r="X164" i="73"/>
  <c r="D63" i="17" l="1"/>
  <c r="D64" i="17" s="1"/>
  <c r="D65" i="17" s="1"/>
  <c r="D66" i="17" s="1"/>
  <c r="D67" i="17" s="1"/>
  <c r="D68" i="17" s="1"/>
  <c r="B55" i="17"/>
  <c r="B63" i="17" s="1"/>
  <c r="C55" i="17"/>
  <c r="C63" i="17" s="1"/>
  <c r="C64" i="17" s="1"/>
  <c r="C65" i="17" s="1"/>
  <c r="C66" i="17" s="1"/>
  <c r="C67" i="17" s="1"/>
  <c r="C68" i="17" s="1"/>
  <c r="E55" i="17"/>
  <c r="E63" i="17" s="1"/>
  <c r="F55" i="17"/>
  <c r="F63" i="17" s="1"/>
  <c r="D55" i="17"/>
  <c r="C87" i="72"/>
  <c r="C88" i="72"/>
  <c r="C89" i="72"/>
  <c r="C90" i="72"/>
  <c r="C91" i="72"/>
  <c r="C92" i="72"/>
  <c r="C93" i="72"/>
  <c r="C94" i="72"/>
  <c r="C95" i="72"/>
  <c r="C96" i="72"/>
  <c r="C97" i="72"/>
  <c r="C98" i="72"/>
  <c r="C99" i="72"/>
  <c r="C100" i="72"/>
  <c r="C101" i="72"/>
  <c r="C102" i="72"/>
  <c r="C103" i="72"/>
  <c r="C104" i="72"/>
  <c r="D104" i="72" s="1"/>
  <c r="B88" i="72"/>
  <c r="D88" i="72" s="1"/>
  <c r="B89" i="72"/>
  <c r="B90" i="72"/>
  <c r="D90" i="72" s="1"/>
  <c r="B93" i="72"/>
  <c r="D93" i="72" s="1"/>
  <c r="B95" i="72"/>
  <c r="B96" i="72"/>
  <c r="B97" i="72"/>
  <c r="B98" i="72"/>
  <c r="D98" i="72" s="1"/>
  <c r="B101" i="72"/>
  <c r="D101" i="72" s="1"/>
  <c r="B102" i="72"/>
  <c r="B103" i="72"/>
  <c r="B104" i="72"/>
  <c r="B87" i="72"/>
  <c r="B91" i="72"/>
  <c r="B92" i="72"/>
  <c r="D92" i="72" s="1"/>
  <c r="B94" i="72"/>
  <c r="D94" i="72" s="1"/>
  <c r="B99" i="72"/>
  <c r="D99" i="72" s="1"/>
  <c r="B100" i="72"/>
  <c r="D96" i="72" l="1"/>
  <c r="D97" i="72"/>
  <c r="D95" i="72"/>
  <c r="D103" i="72"/>
  <c r="D91" i="72"/>
  <c r="D87" i="72"/>
  <c r="B10" i="9" s="1"/>
  <c r="F10" i="9" s="1"/>
  <c r="D100" i="72"/>
  <c r="D124" i="72" s="1"/>
  <c r="D102" i="72"/>
  <c r="D89" i="72"/>
  <c r="F64" i="17"/>
  <c r="F65" i="17" s="1"/>
  <c r="F66" i="17" s="1"/>
  <c r="F67" i="17" s="1"/>
  <c r="F68" i="17" s="1"/>
  <c r="F70" i="17"/>
  <c r="F19" i="17" s="1"/>
  <c r="B64" i="17"/>
  <c r="B65" i="17" s="1"/>
  <c r="B66" i="17" s="1"/>
  <c r="B67" i="17" s="1"/>
  <c r="B68" i="17" s="1"/>
  <c r="B70" i="17"/>
  <c r="B19" i="17" s="1"/>
  <c r="E64" i="17"/>
  <c r="E65" i="17" s="1"/>
  <c r="E66" i="17" s="1"/>
  <c r="E67" i="17" s="1"/>
  <c r="E68" i="17" s="1"/>
  <c r="E70" i="17" s="1"/>
  <c r="E19" i="17" s="1"/>
  <c r="C70" i="17"/>
  <c r="C19" i="17" s="1"/>
  <c r="D70" i="17"/>
  <c r="D19" i="17" s="1"/>
  <c r="AC156" i="73"/>
  <c r="AC157" i="73"/>
  <c r="AC158" i="73"/>
  <c r="AC159" i="73"/>
  <c r="AC160" i="73"/>
  <c r="AC161" i="73"/>
  <c r="AC143" i="73"/>
  <c r="AC144" i="73"/>
  <c r="AC145" i="73"/>
  <c r="AC146" i="73"/>
  <c r="AC147" i="73"/>
  <c r="AC148" i="73"/>
  <c r="AC149" i="73"/>
  <c r="AC150" i="73"/>
  <c r="AC151" i="73"/>
  <c r="AC152" i="73"/>
  <c r="AC153" i="73"/>
  <c r="AC154" i="73"/>
  <c r="AC155" i="73"/>
  <c r="J11" i="18" l="1"/>
  <c r="K13" i="18" l="1"/>
  <c r="B13" i="18" s="1"/>
  <c r="K14" i="18" l="1"/>
  <c r="B14" i="18" s="1"/>
  <c r="K15" i="18"/>
  <c r="B15" i="18" s="1"/>
  <c r="K16" i="18"/>
  <c r="B16" i="18" s="1"/>
  <c r="K17" i="18"/>
  <c r="B17" i="18" s="1"/>
  <c r="K18" i="18"/>
  <c r="B18" i="18" s="1"/>
  <c r="K19" i="18"/>
  <c r="B19" i="18" s="1"/>
  <c r="AF164" i="73"/>
  <c r="AE164" i="73"/>
  <c r="AG164" i="73"/>
  <c r="K28" i="9" l="1"/>
  <c r="L28" i="9" s="1"/>
  <c r="F122" i="78"/>
  <c r="P122" i="78" s="1"/>
  <c r="E122" i="78"/>
  <c r="O122" i="78" s="1"/>
  <c r="F121" i="78"/>
  <c r="P121" i="78" s="1"/>
  <c r="E121" i="78"/>
  <c r="O121" i="78" s="1"/>
  <c r="F120" i="78"/>
  <c r="P120" i="78" s="1"/>
  <c r="E120" i="78"/>
  <c r="O120" i="78" s="1"/>
  <c r="O119" i="78"/>
  <c r="F119" i="78"/>
  <c r="P119" i="78" s="1"/>
  <c r="E119" i="78"/>
  <c r="F118" i="78"/>
  <c r="P118" i="78" s="1"/>
  <c r="E118" i="78"/>
  <c r="O118" i="78" s="1"/>
  <c r="F117" i="78"/>
  <c r="P117" i="78" s="1"/>
  <c r="E117" i="78"/>
  <c r="O117" i="78" s="1"/>
  <c r="F116" i="78"/>
  <c r="P116" i="78" s="1"/>
  <c r="E116" i="78"/>
  <c r="O116" i="78" s="1"/>
  <c r="L86" i="78"/>
  <c r="C86" i="78"/>
  <c r="B86" i="78"/>
  <c r="D86" i="78" s="1"/>
  <c r="G86" i="78" s="1"/>
  <c r="L85" i="78"/>
  <c r="C85" i="78"/>
  <c r="B85" i="78"/>
  <c r="L84" i="78"/>
  <c r="C84" i="78"/>
  <c r="B84" i="78"/>
  <c r="L83" i="78"/>
  <c r="C83" i="78"/>
  <c r="B83" i="78"/>
  <c r="L82" i="78"/>
  <c r="C82" i="78"/>
  <c r="B82" i="78"/>
  <c r="L81" i="78"/>
  <c r="C81" i="78"/>
  <c r="B81" i="78"/>
  <c r="L80" i="78"/>
  <c r="C80" i="78"/>
  <c r="B80" i="78"/>
  <c r="L79" i="78"/>
  <c r="C79" i="78"/>
  <c r="B79" i="78"/>
  <c r="L78" i="78"/>
  <c r="C78" i="78"/>
  <c r="B78" i="78"/>
  <c r="L77" i="78"/>
  <c r="C77" i="78"/>
  <c r="B77" i="78"/>
  <c r="L76" i="78"/>
  <c r="C76" i="78"/>
  <c r="B76" i="78"/>
  <c r="L75" i="78"/>
  <c r="C75" i="78"/>
  <c r="B75" i="78"/>
  <c r="L74" i="78"/>
  <c r="C74" i="78"/>
  <c r="B74" i="78"/>
  <c r="L73" i="78"/>
  <c r="C73" i="78"/>
  <c r="B73" i="78"/>
  <c r="L72" i="78"/>
  <c r="C72" i="78"/>
  <c r="B72" i="78"/>
  <c r="L71" i="78"/>
  <c r="C71" i="78"/>
  <c r="B71" i="78"/>
  <c r="L70" i="78"/>
  <c r="C70" i="78"/>
  <c r="B70" i="78"/>
  <c r="L69" i="78"/>
  <c r="C69" i="78"/>
  <c r="B69" i="78"/>
  <c r="L68" i="78"/>
  <c r="C68" i="78"/>
  <c r="B68" i="78"/>
  <c r="L67" i="78"/>
  <c r="C67" i="78"/>
  <c r="B67" i="78"/>
  <c r="D67" i="78" s="1"/>
  <c r="G67" i="78" s="1"/>
  <c r="L66" i="78"/>
  <c r="C66" i="78"/>
  <c r="B66" i="78"/>
  <c r="L65" i="78"/>
  <c r="C65" i="78"/>
  <c r="B65" i="78"/>
  <c r="D65" i="78" s="1"/>
  <c r="G65" i="78" s="1"/>
  <c r="L64" i="78"/>
  <c r="C64" i="78"/>
  <c r="B64" i="78"/>
  <c r="L63" i="78"/>
  <c r="C63" i="78"/>
  <c r="B63" i="78"/>
  <c r="L62" i="78"/>
  <c r="C62" i="78"/>
  <c r="B62" i="78"/>
  <c r="L61" i="78"/>
  <c r="C61" i="78"/>
  <c r="B61" i="78"/>
  <c r="L60" i="78"/>
  <c r="C60" i="78"/>
  <c r="B60" i="78"/>
  <c r="L59" i="78"/>
  <c r="C59" i="78"/>
  <c r="B59" i="78"/>
  <c r="L58" i="78"/>
  <c r="C58" i="78"/>
  <c r="B58" i="78"/>
  <c r="L57" i="78"/>
  <c r="C57" i="78"/>
  <c r="B57" i="78"/>
  <c r="L56" i="78"/>
  <c r="C56" i="78"/>
  <c r="B56" i="78"/>
  <c r="L55" i="78"/>
  <c r="C55" i="78"/>
  <c r="B55" i="78"/>
  <c r="L54" i="78"/>
  <c r="C54" i="78"/>
  <c r="B54" i="78"/>
  <c r="L53" i="78"/>
  <c r="C53" i="78"/>
  <c r="B53" i="78"/>
  <c r="L52" i="78"/>
  <c r="C52" i="78"/>
  <c r="B52" i="78"/>
  <c r="L51" i="78"/>
  <c r="C51" i="78"/>
  <c r="B51" i="78"/>
  <c r="L50" i="78"/>
  <c r="C50" i="78"/>
  <c r="B50" i="78"/>
  <c r="L49" i="78"/>
  <c r="C49" i="78"/>
  <c r="B49" i="78"/>
  <c r="L48" i="78"/>
  <c r="C48" i="78"/>
  <c r="B48" i="78"/>
  <c r="L47" i="78"/>
  <c r="C47" i="78"/>
  <c r="B47" i="78"/>
  <c r="L46" i="78"/>
  <c r="C46" i="78"/>
  <c r="B46" i="78"/>
  <c r="L45" i="78"/>
  <c r="C45" i="78"/>
  <c r="B45" i="78"/>
  <c r="L44" i="78"/>
  <c r="C44" i="78"/>
  <c r="B44" i="78"/>
  <c r="L43" i="78"/>
  <c r="C43" i="78"/>
  <c r="B43" i="78"/>
  <c r="L42" i="78"/>
  <c r="C42" i="78"/>
  <c r="B42" i="78"/>
  <c r="L41" i="78"/>
  <c r="C41" i="78"/>
  <c r="B41" i="78"/>
  <c r="L40" i="78"/>
  <c r="C40" i="78"/>
  <c r="B40" i="78"/>
  <c r="L39" i="78"/>
  <c r="C39" i="78"/>
  <c r="B39" i="78"/>
  <c r="L38" i="78"/>
  <c r="C38" i="78"/>
  <c r="B38" i="78"/>
  <c r="L37" i="78"/>
  <c r="C37" i="78"/>
  <c r="B37" i="78"/>
  <c r="L36" i="78"/>
  <c r="C36" i="78"/>
  <c r="B36" i="78"/>
  <c r="L35" i="78"/>
  <c r="C35" i="78"/>
  <c r="B35" i="78"/>
  <c r="L34" i="78"/>
  <c r="C34" i="78"/>
  <c r="B34" i="78"/>
  <c r="L33" i="78"/>
  <c r="C33" i="78"/>
  <c r="B33" i="78"/>
  <c r="L32" i="78"/>
  <c r="C32" i="78"/>
  <c r="B32" i="78"/>
  <c r="D32" i="78" s="1"/>
  <c r="G32" i="78" s="1"/>
  <c r="L31" i="78"/>
  <c r="C31" i="78"/>
  <c r="B31" i="78"/>
  <c r="L30" i="78"/>
  <c r="C30" i="78"/>
  <c r="B30" i="78"/>
  <c r="L29" i="78"/>
  <c r="C29" i="78"/>
  <c r="B29" i="78"/>
  <c r="L28" i="78"/>
  <c r="C28" i="78"/>
  <c r="B28" i="78"/>
  <c r="L27" i="78"/>
  <c r="C27" i="78"/>
  <c r="B27" i="78"/>
  <c r="D27" i="78" s="1"/>
  <c r="G27" i="78" s="1"/>
  <c r="L26" i="78"/>
  <c r="C26" i="78"/>
  <c r="B26" i="78"/>
  <c r="L25" i="78"/>
  <c r="C25" i="78"/>
  <c r="B25" i="78"/>
  <c r="L24" i="78"/>
  <c r="C24" i="78"/>
  <c r="B24" i="78"/>
  <c r="L23" i="78"/>
  <c r="C23" i="78"/>
  <c r="B23" i="78"/>
  <c r="L22" i="78"/>
  <c r="C22" i="78"/>
  <c r="B22" i="78"/>
  <c r="L21" i="78"/>
  <c r="C21" i="78"/>
  <c r="B21" i="78"/>
  <c r="L20" i="78"/>
  <c r="C20" i="78"/>
  <c r="B20" i="78"/>
  <c r="L19" i="78"/>
  <c r="C19" i="78"/>
  <c r="B19" i="78"/>
  <c r="L18" i="78"/>
  <c r="C18" i="78"/>
  <c r="B18" i="78"/>
  <c r="L17" i="78"/>
  <c r="C17" i="78"/>
  <c r="B17" i="78"/>
  <c r="L16" i="78"/>
  <c r="C16" i="78"/>
  <c r="B16" i="78"/>
  <c r="L15" i="78"/>
  <c r="C15" i="78"/>
  <c r="B15" i="78"/>
  <c r="L14" i="78"/>
  <c r="C14" i="78"/>
  <c r="B14" i="78"/>
  <c r="D14" i="78" s="1"/>
  <c r="G14" i="78" s="1"/>
  <c r="L13" i="78"/>
  <c r="C13" i="78"/>
  <c r="B13" i="78"/>
  <c r="L12" i="78"/>
  <c r="C12" i="78"/>
  <c r="B12" i="78"/>
  <c r="L11" i="78"/>
  <c r="C11" i="78"/>
  <c r="B11" i="78"/>
  <c r="D11" i="78" s="1"/>
  <c r="G11" i="78" s="1"/>
  <c r="L10" i="78"/>
  <c r="C10" i="78"/>
  <c r="B10" i="78"/>
  <c r="L9" i="78"/>
  <c r="C9" i="78"/>
  <c r="B9" i="78"/>
  <c r="L8" i="78"/>
  <c r="C8" i="78"/>
  <c r="B8" i="78"/>
  <c r="L7" i="78"/>
  <c r="C7" i="78"/>
  <c r="B7" i="78"/>
  <c r="L6" i="78"/>
  <c r="C6" i="78"/>
  <c r="B6" i="78"/>
  <c r="L5" i="78"/>
  <c r="C5" i="78"/>
  <c r="B5" i="78"/>
  <c r="L4" i="78"/>
  <c r="C4" i="78"/>
  <c r="B4" i="78"/>
  <c r="L3" i="78"/>
  <c r="C3" i="78"/>
  <c r="B3" i="78"/>
  <c r="D48" i="78" l="1"/>
  <c r="G48" i="78" s="1"/>
  <c r="D56" i="78"/>
  <c r="G56" i="78" s="1"/>
  <c r="D33" i="78"/>
  <c r="G33" i="78" s="1"/>
  <c r="D20" i="78"/>
  <c r="G20" i="78" s="1"/>
  <c r="D36" i="78"/>
  <c r="G36" i="78" s="1"/>
  <c r="D60" i="78"/>
  <c r="G60" i="78" s="1"/>
  <c r="D68" i="78"/>
  <c r="G68" i="78" s="1"/>
  <c r="D76" i="78"/>
  <c r="G76" i="78" s="1"/>
  <c r="D84" i="78"/>
  <c r="G84" i="78" s="1"/>
  <c r="D44" i="78"/>
  <c r="G44" i="78" s="1"/>
  <c r="D47" i="78"/>
  <c r="G47" i="78" s="1"/>
  <c r="D74" i="78"/>
  <c r="G74" i="78" s="1"/>
  <c r="D72" i="78"/>
  <c r="G72" i="78" s="1"/>
  <c r="D21" i="78"/>
  <c r="G21" i="78" s="1"/>
  <c r="D29" i="78"/>
  <c r="G29" i="78" s="1"/>
  <c r="D53" i="78"/>
  <c r="G53" i="78" s="1"/>
  <c r="D66" i="78"/>
  <c r="G66" i="78" s="1"/>
  <c r="D69" i="78"/>
  <c r="G69" i="78" s="1"/>
  <c r="D85" i="78"/>
  <c r="G85" i="78" s="1"/>
  <c r="D70" i="78"/>
  <c r="G70" i="78" s="1"/>
  <c r="D59" i="78"/>
  <c r="G59" i="78" s="1"/>
  <c r="D41" i="78"/>
  <c r="G41" i="78" s="1"/>
  <c r="D10" i="78"/>
  <c r="G10" i="78" s="1"/>
  <c r="D18" i="78"/>
  <c r="G18" i="78" s="1"/>
  <c r="D23" i="78"/>
  <c r="G23" i="78" s="1"/>
  <c r="D52" i="78"/>
  <c r="G52" i="78" s="1"/>
  <c r="D62" i="78"/>
  <c r="G62" i="78" s="1"/>
  <c r="D80" i="78"/>
  <c r="G80" i="78" s="1"/>
  <c r="D50" i="78"/>
  <c r="G50" i="78" s="1"/>
  <c r="D30" i="78"/>
  <c r="G30" i="78" s="1"/>
  <c r="D38" i="78"/>
  <c r="G38" i="78" s="1"/>
  <c r="D71" i="78"/>
  <c r="G71" i="78" s="1"/>
  <c r="D7" i="78"/>
  <c r="G7" i="78" s="1"/>
  <c r="D5" i="78"/>
  <c r="G5" i="78" s="1"/>
  <c r="D13" i="78"/>
  <c r="G13" i="78" s="1"/>
  <c r="D26" i="78"/>
  <c r="G26" i="78" s="1"/>
  <c r="D61" i="78"/>
  <c r="G61" i="78" s="1"/>
  <c r="D78" i="78"/>
  <c r="G78" i="78" s="1"/>
  <c r="D83" i="78"/>
  <c r="G83" i="78" s="1"/>
  <c r="D34" i="78"/>
  <c r="G34" i="78" s="1"/>
  <c r="D54" i="78"/>
  <c r="G54" i="78" s="1"/>
  <c r="D16" i="78"/>
  <c r="G16" i="78" s="1"/>
  <c r="D49" i="78"/>
  <c r="G49" i="78" s="1"/>
  <c r="D79" i="78"/>
  <c r="G79" i="78" s="1"/>
  <c r="D3" i="78"/>
  <c r="D9" i="78"/>
  <c r="G9" i="78" s="1"/>
  <c r="D42" i="78"/>
  <c r="G42" i="78" s="1"/>
  <c r="D4" i="78"/>
  <c r="G4" i="78" s="1"/>
  <c r="D12" i="78"/>
  <c r="G12" i="78" s="1"/>
  <c r="D40" i="78"/>
  <c r="G40" i="78" s="1"/>
  <c r="D45" i="78"/>
  <c r="G45" i="78" s="1"/>
  <c r="D77" i="78"/>
  <c r="G77" i="78" s="1"/>
  <c r="D25" i="78"/>
  <c r="G25" i="78" s="1"/>
  <c r="D37" i="78"/>
  <c r="G37" i="78" s="1"/>
  <c r="D58" i="78"/>
  <c r="G58" i="78" s="1"/>
  <c r="D81" i="78"/>
  <c r="G81" i="78" s="1"/>
  <c r="D8" i="78"/>
  <c r="G8" i="78" s="1"/>
  <c r="B117" i="78"/>
  <c r="D17" i="78"/>
  <c r="G17" i="78" s="1"/>
  <c r="D19" i="78"/>
  <c r="G19" i="78" s="1"/>
  <c r="D24" i="78"/>
  <c r="G24" i="78" s="1"/>
  <c r="D43" i="78"/>
  <c r="G43" i="78" s="1"/>
  <c r="D82" i="78"/>
  <c r="G82" i="78" s="1"/>
  <c r="D6" i="78"/>
  <c r="G6" i="78" s="1"/>
  <c r="D57" i="78"/>
  <c r="G57" i="78" s="1"/>
  <c r="D64" i="78"/>
  <c r="G64" i="78" s="1"/>
  <c r="D73" i="78"/>
  <c r="G73" i="78" s="1"/>
  <c r="D35" i="78"/>
  <c r="G35" i="78" s="1"/>
  <c r="D46" i="78"/>
  <c r="G46" i="78" s="1"/>
  <c r="D55" i="78"/>
  <c r="G55" i="78" s="1"/>
  <c r="D22" i="78"/>
  <c r="G22" i="78" s="1"/>
  <c r="F126" i="78"/>
  <c r="B116" i="78"/>
  <c r="D28" i="78"/>
  <c r="G28" i="78" s="1"/>
  <c r="B120" i="78"/>
  <c r="D51" i="78"/>
  <c r="B119" i="78"/>
  <c r="D39" i="78"/>
  <c r="D63" i="78"/>
  <c r="B121" i="78"/>
  <c r="D15" i="78"/>
  <c r="B118" i="78"/>
  <c r="B122" i="78"/>
  <c r="D75" i="78"/>
  <c r="D31" i="78"/>
  <c r="G31" i="78" s="1"/>
  <c r="E126" i="78"/>
  <c r="P123" i="78"/>
  <c r="P124" i="78" s="1"/>
  <c r="D116" i="78" l="1"/>
  <c r="D118" i="78"/>
  <c r="G3" i="78"/>
  <c r="G116" i="78" s="1"/>
  <c r="B126" i="78"/>
  <c r="G118" i="78"/>
  <c r="D119" i="78"/>
  <c r="G39" i="78"/>
  <c r="D120" i="78"/>
  <c r="G51" i="78"/>
  <c r="G63" i="78"/>
  <c r="D121" i="78"/>
  <c r="D122" i="78"/>
  <c r="G75" i="78"/>
  <c r="D117" i="78"/>
  <c r="G15" i="78"/>
  <c r="I78" i="72"/>
  <c r="I84" i="72"/>
  <c r="I69" i="72"/>
  <c r="H70" i="72"/>
  <c r="I54" i="72"/>
  <c r="I60" i="72"/>
  <c r="I42" i="72"/>
  <c r="I48" i="72"/>
  <c r="I30" i="72"/>
  <c r="I36" i="72"/>
  <c r="I21" i="72"/>
  <c r="I9" i="72"/>
  <c r="H22" i="72"/>
  <c r="H9" i="72"/>
  <c r="N33" i="76"/>
  <c r="N19" i="76"/>
  <c r="M19" i="76"/>
  <c r="I86" i="72"/>
  <c r="I85" i="72"/>
  <c r="I83" i="72"/>
  <c r="I82" i="72"/>
  <c r="I81" i="72"/>
  <c r="I80" i="72"/>
  <c r="I79" i="72"/>
  <c r="I77" i="72"/>
  <c r="I76" i="72"/>
  <c r="I75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I74" i="72"/>
  <c r="I73" i="72"/>
  <c r="I72" i="72"/>
  <c r="I71" i="72"/>
  <c r="I70" i="72"/>
  <c r="I68" i="72"/>
  <c r="I67" i="72"/>
  <c r="I66" i="72"/>
  <c r="I65" i="72"/>
  <c r="I64" i="72"/>
  <c r="I63" i="72"/>
  <c r="H74" i="72"/>
  <c r="H73" i="72"/>
  <c r="H72" i="72"/>
  <c r="H71" i="72"/>
  <c r="H69" i="72"/>
  <c r="H68" i="72"/>
  <c r="H67" i="72"/>
  <c r="H66" i="72"/>
  <c r="H65" i="72"/>
  <c r="H64" i="72"/>
  <c r="H63" i="72"/>
  <c r="I62" i="72"/>
  <c r="I61" i="72"/>
  <c r="I59" i="72"/>
  <c r="I58" i="72"/>
  <c r="I57" i="72"/>
  <c r="I56" i="72"/>
  <c r="I55" i="72"/>
  <c r="I53" i="72"/>
  <c r="I52" i="72"/>
  <c r="I51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I50" i="72"/>
  <c r="I49" i="72"/>
  <c r="I47" i="72"/>
  <c r="I46" i="72"/>
  <c r="I45" i="72"/>
  <c r="I44" i="72"/>
  <c r="I43" i="72"/>
  <c r="I41" i="72"/>
  <c r="I40" i="72"/>
  <c r="I39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I38" i="72"/>
  <c r="I37" i="72"/>
  <c r="I35" i="72"/>
  <c r="I34" i="72"/>
  <c r="I33" i="72"/>
  <c r="I32" i="72"/>
  <c r="I31" i="72"/>
  <c r="I29" i="72"/>
  <c r="I28" i="72"/>
  <c r="I27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I26" i="72"/>
  <c r="I25" i="72"/>
  <c r="I24" i="72"/>
  <c r="I23" i="72"/>
  <c r="I22" i="72"/>
  <c r="I20" i="72"/>
  <c r="I19" i="72"/>
  <c r="I18" i="72"/>
  <c r="I17" i="72"/>
  <c r="I16" i="72"/>
  <c r="I15" i="72"/>
  <c r="H26" i="72"/>
  <c r="H25" i="72"/>
  <c r="H24" i="72"/>
  <c r="H23" i="72"/>
  <c r="H21" i="72"/>
  <c r="H20" i="72"/>
  <c r="H19" i="72"/>
  <c r="H18" i="72"/>
  <c r="H17" i="72"/>
  <c r="H16" i="72"/>
  <c r="H15" i="72"/>
  <c r="M38" i="76"/>
  <c r="M37" i="76"/>
  <c r="I12" i="72"/>
  <c r="I108" i="72" s="1"/>
  <c r="I11" i="72"/>
  <c r="I107" i="72" s="1"/>
  <c r="M34" i="76"/>
  <c r="M33" i="76"/>
  <c r="M32" i="76"/>
  <c r="M31" i="76"/>
  <c r="I6" i="72"/>
  <c r="I5" i="72"/>
  <c r="I4" i="72"/>
  <c r="I3" i="72"/>
  <c r="H14" i="72"/>
  <c r="H13" i="72"/>
  <c r="H12" i="72"/>
  <c r="H11" i="72"/>
  <c r="M15" i="76"/>
  <c r="M14" i="76"/>
  <c r="M13" i="76"/>
  <c r="M12" i="76"/>
  <c r="M11" i="76"/>
  <c r="M10" i="76"/>
  <c r="M9" i="76"/>
  <c r="H3" i="72"/>
  <c r="N28" i="76"/>
  <c r="N14" i="76"/>
  <c r="L5" i="76"/>
  <c r="K5" i="76"/>
  <c r="J5" i="76"/>
  <c r="I5" i="76"/>
  <c r="H5" i="76"/>
  <c r="G5" i="76"/>
  <c r="F5" i="76"/>
  <c r="E5" i="76"/>
  <c r="D5" i="76"/>
  <c r="C5" i="76"/>
  <c r="N38" i="76"/>
  <c r="N37" i="76"/>
  <c r="N36" i="76"/>
  <c r="N35" i="76"/>
  <c r="N34" i="76"/>
  <c r="N32" i="76"/>
  <c r="N31" i="76"/>
  <c r="N30" i="76"/>
  <c r="N29" i="76"/>
  <c r="N27" i="76"/>
  <c r="N8" i="76"/>
  <c r="N15" i="76"/>
  <c r="N16" i="76"/>
  <c r="N17" i="76"/>
  <c r="N18" i="76"/>
  <c r="N13" i="76"/>
  <c r="N12" i="76"/>
  <c r="N11" i="76"/>
  <c r="N10" i="76"/>
  <c r="N9" i="76"/>
  <c r="B5" i="76"/>
  <c r="F122" i="72"/>
  <c r="F121" i="72"/>
  <c r="P121" i="72" s="1"/>
  <c r="F120" i="72"/>
  <c r="P120" i="72" s="1"/>
  <c r="F119" i="72"/>
  <c r="P119" i="72" s="1"/>
  <c r="F118" i="72"/>
  <c r="P118" i="72" s="1"/>
  <c r="F117" i="72"/>
  <c r="P117" i="72" s="1"/>
  <c r="F116" i="72"/>
  <c r="E122" i="72"/>
  <c r="O122" i="72" s="1"/>
  <c r="J19" i="18" s="1"/>
  <c r="E121" i="72"/>
  <c r="O121" i="72" s="1"/>
  <c r="J18" i="18" s="1"/>
  <c r="E120" i="72"/>
  <c r="O120" i="72" s="1"/>
  <c r="J17" i="18" s="1"/>
  <c r="E119" i="72"/>
  <c r="E118" i="72"/>
  <c r="O118" i="72" s="1"/>
  <c r="J15" i="18" s="1"/>
  <c r="E117" i="72"/>
  <c r="O117" i="72" s="1"/>
  <c r="J14" i="18" s="1"/>
  <c r="E116" i="72"/>
  <c r="P116" i="72" l="1"/>
  <c r="O116" i="72"/>
  <c r="E126" i="72"/>
  <c r="H107" i="72"/>
  <c r="H105" i="72"/>
  <c r="H108" i="72"/>
  <c r="I105" i="72"/>
  <c r="H109" i="72"/>
  <c r="H110" i="72"/>
  <c r="J13" i="18"/>
  <c r="D126" i="78"/>
  <c r="H11" i="78"/>
  <c r="H3" i="78"/>
  <c r="I12" i="78"/>
  <c r="G117" i="78"/>
  <c r="G121" i="78"/>
  <c r="G120" i="78"/>
  <c r="G119" i="78"/>
  <c r="G122" i="78"/>
  <c r="M8" i="76"/>
  <c r="M27" i="76"/>
  <c r="H10" i="72"/>
  <c r="H106" i="72" s="1"/>
  <c r="I10" i="72"/>
  <c r="I106" i="72" s="1"/>
  <c r="M18" i="76"/>
  <c r="M29" i="76"/>
  <c r="H8" i="72"/>
  <c r="I8" i="72"/>
  <c r="M17" i="76"/>
  <c r="M30" i="76"/>
  <c r="H7" i="72"/>
  <c r="I7" i="72"/>
  <c r="M28" i="76"/>
  <c r="M16" i="76"/>
  <c r="H6" i="72"/>
  <c r="H5" i="72"/>
  <c r="H4" i="72"/>
  <c r="M35" i="76"/>
  <c r="I14" i="72"/>
  <c r="I110" i="72" s="1"/>
  <c r="M36" i="76"/>
  <c r="I13" i="72"/>
  <c r="I109" i="72" s="1"/>
  <c r="O119" i="72"/>
  <c r="J16" i="18" s="1"/>
  <c r="I20" i="76"/>
  <c r="J20" i="76"/>
  <c r="J39" i="76"/>
  <c r="H39" i="76"/>
  <c r="L20" i="76"/>
  <c r="L39" i="76"/>
  <c r="D39" i="76"/>
  <c r="E39" i="76"/>
  <c r="K39" i="76"/>
  <c r="D20" i="76"/>
  <c r="E20" i="76"/>
  <c r="F39" i="76"/>
  <c r="K20" i="76"/>
  <c r="F20" i="76"/>
  <c r="G39" i="76"/>
  <c r="G20" i="76"/>
  <c r="I39" i="76"/>
  <c r="H20" i="76"/>
  <c r="C39" i="76"/>
  <c r="C20" i="76"/>
  <c r="B39" i="76"/>
  <c r="B20" i="76"/>
  <c r="Z168" i="73"/>
  <c r="W168" i="73"/>
  <c r="Q168" i="73"/>
  <c r="N168" i="73"/>
  <c r="K168" i="73"/>
  <c r="I14" i="78" l="1"/>
  <c r="H7" i="78"/>
  <c r="I10" i="78"/>
  <c r="I4" i="78"/>
  <c r="H14" i="78"/>
  <c r="H10" i="78"/>
  <c r="H4" i="78"/>
  <c r="I6" i="78"/>
  <c r="I7" i="78"/>
  <c r="H15" i="78"/>
  <c r="N3" i="78"/>
  <c r="I11" i="78"/>
  <c r="N11" i="78" s="1"/>
  <c r="H13" i="78"/>
  <c r="H5" i="78"/>
  <c r="H6" i="78"/>
  <c r="I8" i="78"/>
  <c r="H9" i="78"/>
  <c r="I3" i="78"/>
  <c r="I5" i="78"/>
  <c r="I9" i="78"/>
  <c r="H8" i="78"/>
  <c r="H12" i="78"/>
  <c r="I13" i="78"/>
  <c r="I24" i="78"/>
  <c r="I36" i="78" s="1"/>
  <c r="I48" i="78" s="1"/>
  <c r="I60" i="78" s="1"/>
  <c r="I72" i="78" s="1"/>
  <c r="I84" i="78" s="1"/>
  <c r="H23" i="78"/>
  <c r="G126" i="78"/>
  <c r="G94" i="72" l="1"/>
  <c r="G93" i="72"/>
  <c r="G95" i="72"/>
  <c r="G96" i="72"/>
  <c r="G97" i="72"/>
  <c r="G98" i="72"/>
  <c r="I96" i="78"/>
  <c r="I108" i="78" s="1"/>
  <c r="I22" i="78"/>
  <c r="I34" i="78" s="1"/>
  <c r="I46" i="78" s="1"/>
  <c r="I58" i="78" s="1"/>
  <c r="I70" i="78" s="1"/>
  <c r="I82" i="78" s="1"/>
  <c r="H27" i="78"/>
  <c r="I15" i="78"/>
  <c r="I27" i="78" s="1"/>
  <c r="I39" i="78" s="1"/>
  <c r="I51" i="78" s="1"/>
  <c r="I63" i="78" s="1"/>
  <c r="I75" i="78" s="1"/>
  <c r="H24" i="78"/>
  <c r="N12" i="78"/>
  <c r="H17" i="78"/>
  <c r="N5" i="78"/>
  <c r="H22" i="78"/>
  <c r="N10" i="78"/>
  <c r="I19" i="78"/>
  <c r="I31" i="78" s="1"/>
  <c r="I43" i="78" s="1"/>
  <c r="I55" i="78" s="1"/>
  <c r="I67" i="78" s="1"/>
  <c r="I79" i="78" s="1"/>
  <c r="H20" i="78"/>
  <c r="N8" i="78"/>
  <c r="H25" i="78"/>
  <c r="N13" i="78"/>
  <c r="H26" i="78"/>
  <c r="N14" i="78"/>
  <c r="I26" i="78"/>
  <c r="I38" i="78" s="1"/>
  <c r="I50" i="78" s="1"/>
  <c r="I62" i="78" s="1"/>
  <c r="I74" i="78" s="1"/>
  <c r="I86" i="78" s="1"/>
  <c r="I17" i="78"/>
  <c r="I29" i="78" s="1"/>
  <c r="I41" i="78" s="1"/>
  <c r="I53" i="78" s="1"/>
  <c r="I65" i="78" s="1"/>
  <c r="I77" i="78" s="1"/>
  <c r="H16" i="78"/>
  <c r="N4" i="78"/>
  <c r="H19" i="78"/>
  <c r="N7" i="78"/>
  <c r="H35" i="78"/>
  <c r="H21" i="78"/>
  <c r="N9" i="78"/>
  <c r="I18" i="78"/>
  <c r="I30" i="78" s="1"/>
  <c r="I42" i="78" s="1"/>
  <c r="I54" i="78" s="1"/>
  <c r="I66" i="78" s="1"/>
  <c r="I78" i="78" s="1"/>
  <c r="I25" i="78"/>
  <c r="I37" i="78" s="1"/>
  <c r="I49" i="78" s="1"/>
  <c r="I61" i="78" s="1"/>
  <c r="I73" i="78" s="1"/>
  <c r="I85" i="78" s="1"/>
  <c r="H18" i="78"/>
  <c r="N6" i="78"/>
  <c r="I21" i="78"/>
  <c r="I33" i="78" s="1"/>
  <c r="I45" i="78" s="1"/>
  <c r="I57" i="78" s="1"/>
  <c r="I69" i="78" s="1"/>
  <c r="I81" i="78" s="1"/>
  <c r="I20" i="78"/>
  <c r="I32" i="78" s="1"/>
  <c r="I44" i="78" s="1"/>
  <c r="I56" i="78" s="1"/>
  <c r="I68" i="78" s="1"/>
  <c r="I80" i="78" s="1"/>
  <c r="I23" i="78"/>
  <c r="I35" i="78" s="1"/>
  <c r="I47" i="78" s="1"/>
  <c r="I59" i="78" s="1"/>
  <c r="I71" i="78" s="1"/>
  <c r="I83" i="78" s="1"/>
  <c r="I16" i="78"/>
  <c r="I28" i="78" s="1"/>
  <c r="I40" i="78" s="1"/>
  <c r="I52" i="78" s="1"/>
  <c r="I64" i="78" s="1"/>
  <c r="I76" i="78" s="1"/>
  <c r="Y168" i="73"/>
  <c r="V168" i="73"/>
  <c r="S168" i="73"/>
  <c r="P168" i="73"/>
  <c r="M168" i="73"/>
  <c r="J168" i="73"/>
  <c r="H168" i="73"/>
  <c r="O2" i="9"/>
  <c r="F1" i="18" s="1"/>
  <c r="N2" i="9"/>
  <c r="E1" i="18" s="1"/>
  <c r="M2" i="9"/>
  <c r="L2" i="9"/>
  <c r="K2" i="9"/>
  <c r="J2" i="9"/>
  <c r="I2" i="9"/>
  <c r="H2" i="9"/>
  <c r="F123" i="72" l="1"/>
  <c r="G102" i="72"/>
  <c r="G90" i="72"/>
  <c r="G103" i="72"/>
  <c r="G91" i="72"/>
  <c r="G100" i="72"/>
  <c r="G88" i="72"/>
  <c r="G101" i="72"/>
  <c r="G89" i="72"/>
  <c r="G87" i="72"/>
  <c r="G104" i="72"/>
  <c r="G92" i="72"/>
  <c r="I88" i="78"/>
  <c r="I100" i="78" s="1"/>
  <c r="I98" i="78"/>
  <c r="I110" i="78" s="1"/>
  <c r="I90" i="78"/>
  <c r="I102" i="78" s="1"/>
  <c r="I95" i="78"/>
  <c r="I107" i="78" s="1"/>
  <c r="N116" i="78"/>
  <c r="Q116" i="78" s="1"/>
  <c r="H30" i="78"/>
  <c r="N18" i="78"/>
  <c r="N23" i="78"/>
  <c r="F2" i="17"/>
  <c r="D1" i="18" s="1"/>
  <c r="A31" i="11"/>
  <c r="H34" i="78"/>
  <c r="H46" i="78" s="1"/>
  <c r="H58" i="78" s="1"/>
  <c r="H70" i="78" s="1"/>
  <c r="H82" i="78" s="1"/>
  <c r="N22" i="78"/>
  <c r="E2" i="17"/>
  <c r="C1" i="18" s="1"/>
  <c r="A26" i="11"/>
  <c r="I97" i="78"/>
  <c r="I109" i="78" s="1"/>
  <c r="H47" i="78"/>
  <c r="H59" i="78" s="1"/>
  <c r="H71" i="78" s="1"/>
  <c r="H83" i="78" s="1"/>
  <c r="H95" i="78" s="1"/>
  <c r="H107" i="78" s="1"/>
  <c r="I89" i="78"/>
  <c r="I101" i="78" s="1"/>
  <c r="H37" i="78"/>
  <c r="N25" i="78"/>
  <c r="H94" i="78"/>
  <c r="H106" i="78" s="1"/>
  <c r="I87" i="78"/>
  <c r="I99" i="78" s="1"/>
  <c r="N15" i="78"/>
  <c r="H29" i="78"/>
  <c r="N17" i="78"/>
  <c r="H39" i="78"/>
  <c r="H51" i="78" s="1"/>
  <c r="H63" i="78" s="1"/>
  <c r="H75" i="78" s="1"/>
  <c r="N27" i="78"/>
  <c r="I92" i="78"/>
  <c r="I104" i="78" s="1"/>
  <c r="H31" i="78"/>
  <c r="N19" i="78"/>
  <c r="I93" i="78"/>
  <c r="I105" i="78" s="1"/>
  <c r="H32" i="78"/>
  <c r="N20" i="78"/>
  <c r="I94" i="78"/>
  <c r="I106" i="78" s="1"/>
  <c r="H33" i="78"/>
  <c r="N33" i="78" s="1"/>
  <c r="N21" i="78"/>
  <c r="H28" i="78"/>
  <c r="N16" i="78"/>
  <c r="H38" i="78"/>
  <c r="N26" i="78"/>
  <c r="I91" i="78"/>
  <c r="I103" i="78" s="1"/>
  <c r="H36" i="78"/>
  <c r="H48" i="78" s="1"/>
  <c r="H60" i="78" s="1"/>
  <c r="H72" i="78" s="1"/>
  <c r="H84" i="78" s="1"/>
  <c r="N24" i="78"/>
  <c r="T164" i="73"/>
  <c r="C3" i="72"/>
  <c r="C4" i="72"/>
  <c r="C5" i="72"/>
  <c r="C6" i="72"/>
  <c r="C7" i="72"/>
  <c r="C8" i="72"/>
  <c r="C9" i="72"/>
  <c r="C10" i="72"/>
  <c r="C11" i="72"/>
  <c r="C12" i="72"/>
  <c r="C13" i="72"/>
  <c r="C14" i="72"/>
  <c r="C15" i="72"/>
  <c r="C16" i="72"/>
  <c r="C17" i="72"/>
  <c r="C18" i="72"/>
  <c r="C19" i="72"/>
  <c r="C20" i="72"/>
  <c r="C21" i="72"/>
  <c r="C22" i="72"/>
  <c r="C23" i="72"/>
  <c r="C24" i="72"/>
  <c r="C25" i="72"/>
  <c r="C26" i="72"/>
  <c r="C27" i="72"/>
  <c r="C28" i="72"/>
  <c r="C29" i="72"/>
  <c r="C30" i="72"/>
  <c r="C31" i="72"/>
  <c r="C32" i="72"/>
  <c r="C33" i="72"/>
  <c r="C34" i="72"/>
  <c r="C35" i="72"/>
  <c r="C36" i="72"/>
  <c r="C37" i="72"/>
  <c r="C38" i="72"/>
  <c r="C39" i="72"/>
  <c r="C40" i="72"/>
  <c r="C41" i="72"/>
  <c r="C42" i="72"/>
  <c r="C43" i="72"/>
  <c r="C44" i="72"/>
  <c r="C45" i="72"/>
  <c r="C46" i="72"/>
  <c r="C47" i="72"/>
  <c r="C48" i="72"/>
  <c r="C49" i="72"/>
  <c r="C50" i="72"/>
  <c r="C51" i="72"/>
  <c r="C52" i="72"/>
  <c r="C53" i="72"/>
  <c r="C54" i="72"/>
  <c r="C55" i="72"/>
  <c r="C56" i="72"/>
  <c r="C57" i="72"/>
  <c r="C58" i="72"/>
  <c r="C59" i="72"/>
  <c r="C60" i="72"/>
  <c r="C61" i="72"/>
  <c r="C62" i="72"/>
  <c r="C63" i="72"/>
  <c r="C64" i="72"/>
  <c r="C65" i="72"/>
  <c r="C66" i="72"/>
  <c r="C67" i="72"/>
  <c r="C68" i="72"/>
  <c r="C69" i="72"/>
  <c r="C70" i="72"/>
  <c r="C71" i="72"/>
  <c r="C72" i="72"/>
  <c r="C73" i="72"/>
  <c r="C74" i="72"/>
  <c r="C75" i="72"/>
  <c r="C76" i="72"/>
  <c r="C77" i="72"/>
  <c r="C78" i="72"/>
  <c r="C79" i="72"/>
  <c r="C80" i="72"/>
  <c r="C81" i="72"/>
  <c r="C82" i="72"/>
  <c r="C83" i="72"/>
  <c r="C84" i="72"/>
  <c r="C85" i="72"/>
  <c r="C86" i="72"/>
  <c r="Y21" i="73"/>
  <c r="V21" i="73"/>
  <c r="S21" i="73"/>
  <c r="G99" i="72" l="1"/>
  <c r="G124" i="72" s="1"/>
  <c r="F124" i="72"/>
  <c r="F126" i="72" s="1"/>
  <c r="G123" i="72"/>
  <c r="H87" i="78"/>
  <c r="H99" i="78" s="1"/>
  <c r="H40" i="78"/>
  <c r="H52" i="78" s="1"/>
  <c r="H64" i="78" s="1"/>
  <c r="H76" i="78" s="1"/>
  <c r="N28" i="78"/>
  <c r="N117" i="78"/>
  <c r="Q117" i="78" s="1"/>
  <c r="H42" i="78"/>
  <c r="H54" i="78" s="1"/>
  <c r="H66" i="78" s="1"/>
  <c r="H78" i="78" s="1"/>
  <c r="N30" i="78"/>
  <c r="H41" i="78"/>
  <c r="H53" i="78" s="1"/>
  <c r="H65" i="78" s="1"/>
  <c r="H77" i="78" s="1"/>
  <c r="N29" i="78"/>
  <c r="H45" i="78"/>
  <c r="H57" i="78" s="1"/>
  <c r="H69" i="78" s="1"/>
  <c r="H81" i="78" s="1"/>
  <c r="H43" i="78"/>
  <c r="H55" i="78" s="1"/>
  <c r="H67" i="78" s="1"/>
  <c r="H79" i="78" s="1"/>
  <c r="N31" i="78"/>
  <c r="H96" i="78"/>
  <c r="H108" i="78" s="1"/>
  <c r="H44" i="78"/>
  <c r="H56" i="78" s="1"/>
  <c r="H68" i="78" s="1"/>
  <c r="H80" i="78" s="1"/>
  <c r="N32" i="78"/>
  <c r="H49" i="78"/>
  <c r="H61" i="78" s="1"/>
  <c r="H73" i="78" s="1"/>
  <c r="H85" i="78" s="1"/>
  <c r="H50" i="78"/>
  <c r="H62" i="78" s="1"/>
  <c r="H74" i="78" s="1"/>
  <c r="H86" i="78" s="1"/>
  <c r="N34" i="78"/>
  <c r="AC52" i="73"/>
  <c r="AC40" i="73"/>
  <c r="AC28" i="73"/>
  <c r="F168" i="73"/>
  <c r="I5" i="9"/>
  <c r="L9" i="9"/>
  <c r="L6" i="9"/>
  <c r="L3" i="9"/>
  <c r="AC55" i="73"/>
  <c r="AC43" i="73"/>
  <c r="AC31" i="73"/>
  <c r="J8" i="9"/>
  <c r="K9" i="9"/>
  <c r="K8" i="9"/>
  <c r="K6" i="9"/>
  <c r="K5" i="9"/>
  <c r="K4" i="9"/>
  <c r="K3" i="9"/>
  <c r="K7" i="9"/>
  <c r="AC53" i="73"/>
  <c r="AC41" i="73"/>
  <c r="AC29" i="73"/>
  <c r="J5" i="9"/>
  <c r="J4" i="9"/>
  <c r="J7" i="9"/>
  <c r="J6" i="9"/>
  <c r="J3" i="9"/>
  <c r="AC50" i="73"/>
  <c r="AC38" i="73"/>
  <c r="AC26" i="73"/>
  <c r="T166" i="73"/>
  <c r="I9" i="9"/>
  <c r="I8" i="9"/>
  <c r="I3" i="9"/>
  <c r="H8" i="9"/>
  <c r="H6" i="9"/>
  <c r="H4" i="9"/>
  <c r="H3" i="9"/>
  <c r="AC49" i="73"/>
  <c r="AC37" i="73"/>
  <c r="AC25" i="73"/>
  <c r="I4" i="9"/>
  <c r="H9" i="9"/>
  <c r="H7" i="9"/>
  <c r="H5" i="9"/>
  <c r="AC58" i="73"/>
  <c r="AC46" i="73"/>
  <c r="AC34" i="73"/>
  <c r="I7" i="9"/>
  <c r="L7" i="9"/>
  <c r="L5" i="9"/>
  <c r="J9" i="9"/>
  <c r="I6" i="9"/>
  <c r="L8" i="9"/>
  <c r="L4" i="9"/>
  <c r="AC56" i="73"/>
  <c r="AC44" i="73"/>
  <c r="AC32" i="73"/>
  <c r="E14" i="73"/>
  <c r="E17" i="17" s="1"/>
  <c r="E30" i="17" s="1"/>
  <c r="E13" i="73"/>
  <c r="E16" i="17" s="1"/>
  <c r="E12" i="73"/>
  <c r="E15" i="17" s="1"/>
  <c r="E11" i="73"/>
  <c r="E14" i="17" s="1"/>
  <c r="E10" i="73"/>
  <c r="E13" i="17" s="1"/>
  <c r="E9" i="73"/>
  <c r="E12" i="17" s="1"/>
  <c r="E8" i="73"/>
  <c r="E11" i="17" s="1"/>
  <c r="B27" i="11" s="1"/>
  <c r="E7" i="73"/>
  <c r="E6" i="73"/>
  <c r="AC80" i="73"/>
  <c r="L23" i="72"/>
  <c r="N23" i="72" s="1"/>
  <c r="L84" i="72"/>
  <c r="N84" i="72" s="1"/>
  <c r="AC141" i="73"/>
  <c r="AC129" i="73"/>
  <c r="L72" i="72"/>
  <c r="N72" i="72" s="1"/>
  <c r="L60" i="72"/>
  <c r="N60" i="72" s="1"/>
  <c r="AC117" i="73"/>
  <c r="AC105" i="73"/>
  <c r="L48" i="72"/>
  <c r="N48" i="72" s="1"/>
  <c r="AC93" i="73"/>
  <c r="L36" i="72"/>
  <c r="N36" i="72" s="1"/>
  <c r="L24" i="72"/>
  <c r="N24" i="72" s="1"/>
  <c r="AC81" i="73"/>
  <c r="L12" i="72"/>
  <c r="N12" i="72" s="1"/>
  <c r="AC69" i="73"/>
  <c r="AC57" i="73"/>
  <c r="AC45" i="73"/>
  <c r="AC33" i="73"/>
  <c r="L82" i="72"/>
  <c r="N82" i="72" s="1"/>
  <c r="AC139" i="73"/>
  <c r="L70" i="72"/>
  <c r="N70" i="72" s="1"/>
  <c r="AC127" i="73"/>
  <c r="L58" i="72"/>
  <c r="N58" i="72" s="1"/>
  <c r="AC115" i="73"/>
  <c r="L46" i="72"/>
  <c r="N46" i="72" s="1"/>
  <c r="AC103" i="73"/>
  <c r="AC91" i="73"/>
  <c r="L34" i="72"/>
  <c r="N34" i="72" s="1"/>
  <c r="L22" i="72"/>
  <c r="N22" i="72" s="1"/>
  <c r="AC79" i="73"/>
  <c r="L10" i="72"/>
  <c r="N10" i="72" s="1"/>
  <c r="AC67" i="73"/>
  <c r="AC138" i="73"/>
  <c r="L81" i="72"/>
  <c r="N81" i="72" s="1"/>
  <c r="AC126" i="73"/>
  <c r="L69" i="72"/>
  <c r="N69" i="72" s="1"/>
  <c r="AC114" i="73"/>
  <c r="L57" i="72"/>
  <c r="N57" i="72" s="1"/>
  <c r="AC102" i="73"/>
  <c r="L45" i="72"/>
  <c r="N45" i="72" s="1"/>
  <c r="AC90" i="73"/>
  <c r="L33" i="72"/>
  <c r="N33" i="72" s="1"/>
  <c r="AC78" i="73"/>
  <c r="L21" i="72"/>
  <c r="N21" i="72" s="1"/>
  <c r="AC66" i="73"/>
  <c r="L9" i="72"/>
  <c r="N9" i="72" s="1"/>
  <c r="AC54" i="73"/>
  <c r="AC42" i="73"/>
  <c r="AC30" i="73"/>
  <c r="L35" i="72"/>
  <c r="N35" i="72" s="1"/>
  <c r="AC92" i="73"/>
  <c r="AC137" i="73"/>
  <c r="L80" i="72"/>
  <c r="N80" i="72" s="1"/>
  <c r="AC125" i="73"/>
  <c r="L68" i="72"/>
  <c r="N68" i="72" s="1"/>
  <c r="AC113" i="73"/>
  <c r="L56" i="72"/>
  <c r="N56" i="72" s="1"/>
  <c r="AC101" i="73"/>
  <c r="L44" i="72"/>
  <c r="N44" i="72" s="1"/>
  <c r="AC89" i="73"/>
  <c r="L32" i="72"/>
  <c r="N32" i="72" s="1"/>
  <c r="AC77" i="73"/>
  <c r="L20" i="72"/>
  <c r="N20" i="72" s="1"/>
  <c r="AC65" i="73"/>
  <c r="L8" i="72"/>
  <c r="N8" i="72" s="1"/>
  <c r="D14" i="73"/>
  <c r="D17" i="17" s="1"/>
  <c r="D30" i="17" s="1"/>
  <c r="D13" i="73"/>
  <c r="D16" i="17" s="1"/>
  <c r="D12" i="73"/>
  <c r="D15" i="17" s="1"/>
  <c r="D11" i="73"/>
  <c r="D14" i="17" s="1"/>
  <c r="D10" i="73"/>
  <c r="D13" i="17" s="1"/>
  <c r="D9" i="73"/>
  <c r="D12" i="17" s="1"/>
  <c r="D8" i="73"/>
  <c r="D11" i="17" s="1"/>
  <c r="D7" i="73"/>
  <c r="D6" i="73"/>
  <c r="AC140" i="73"/>
  <c r="L83" i="72"/>
  <c r="N83" i="72" s="1"/>
  <c r="L11" i="72"/>
  <c r="N11" i="72" s="1"/>
  <c r="AC68" i="73"/>
  <c r="AC136" i="73"/>
  <c r="L79" i="72"/>
  <c r="N79" i="72" s="1"/>
  <c r="AC124" i="73"/>
  <c r="L67" i="72"/>
  <c r="N67" i="72" s="1"/>
  <c r="AC112" i="73"/>
  <c r="L55" i="72"/>
  <c r="N55" i="72" s="1"/>
  <c r="AC100" i="73"/>
  <c r="L43" i="72"/>
  <c r="N43" i="72" s="1"/>
  <c r="AC88" i="73"/>
  <c r="L31" i="72"/>
  <c r="N31" i="72" s="1"/>
  <c r="AC76" i="73"/>
  <c r="L19" i="72"/>
  <c r="N19" i="72" s="1"/>
  <c r="AC64" i="73"/>
  <c r="L7" i="72"/>
  <c r="N7" i="72" s="1"/>
  <c r="AC135" i="73"/>
  <c r="L78" i="72"/>
  <c r="N78" i="72" s="1"/>
  <c r="AC123" i="73"/>
  <c r="L66" i="72"/>
  <c r="N66" i="72" s="1"/>
  <c r="AC111" i="73"/>
  <c r="L54" i="72"/>
  <c r="N54" i="72" s="1"/>
  <c r="AC99" i="73"/>
  <c r="L42" i="72"/>
  <c r="N42" i="72" s="1"/>
  <c r="AC87" i="73"/>
  <c r="L30" i="72"/>
  <c r="N30" i="72" s="1"/>
  <c r="AC75" i="73"/>
  <c r="L18" i="72"/>
  <c r="N18" i="72" s="1"/>
  <c r="AC63" i="73"/>
  <c r="L6" i="72"/>
  <c r="N6" i="72" s="1"/>
  <c r="AC51" i="73"/>
  <c r="AC39" i="73"/>
  <c r="AC27" i="73"/>
  <c r="AC134" i="73"/>
  <c r="L77" i="72"/>
  <c r="N77" i="72" s="1"/>
  <c r="AC122" i="73"/>
  <c r="L65" i="72"/>
  <c r="N65" i="72" s="1"/>
  <c r="AC110" i="73"/>
  <c r="L53" i="72"/>
  <c r="N53" i="72" s="1"/>
  <c r="AC98" i="73"/>
  <c r="L41" i="72"/>
  <c r="N41" i="72" s="1"/>
  <c r="AC86" i="73"/>
  <c r="L29" i="72"/>
  <c r="N29" i="72" s="1"/>
  <c r="AC74" i="73"/>
  <c r="L17" i="72"/>
  <c r="N17" i="72" s="1"/>
  <c r="AC62" i="73"/>
  <c r="L5" i="72"/>
  <c r="N5" i="72" s="1"/>
  <c r="L59" i="72"/>
  <c r="N59" i="72" s="1"/>
  <c r="AC116" i="73"/>
  <c r="L76" i="72"/>
  <c r="N76" i="72" s="1"/>
  <c r="AC133" i="73"/>
  <c r="AC121" i="73"/>
  <c r="L64" i="72"/>
  <c r="N64" i="72" s="1"/>
  <c r="AC109" i="73"/>
  <c r="L52" i="72"/>
  <c r="N52" i="72" s="1"/>
  <c r="AC97" i="73"/>
  <c r="L40" i="72"/>
  <c r="N40" i="72" s="1"/>
  <c r="AC85" i="73"/>
  <c r="L28" i="72"/>
  <c r="N28" i="72" s="1"/>
  <c r="AC73" i="73"/>
  <c r="L16" i="72"/>
  <c r="N16" i="72" s="1"/>
  <c r="AC61" i="73"/>
  <c r="L4" i="72"/>
  <c r="N4" i="72" s="1"/>
  <c r="AC132" i="73"/>
  <c r="L75" i="72"/>
  <c r="N75" i="72" s="1"/>
  <c r="AC120" i="73"/>
  <c r="L63" i="72"/>
  <c r="N63" i="72" s="1"/>
  <c r="AC108" i="73"/>
  <c r="L51" i="72"/>
  <c r="N51" i="72" s="1"/>
  <c r="AC96" i="73"/>
  <c r="L39" i="72"/>
  <c r="N39" i="72" s="1"/>
  <c r="AC84" i="73"/>
  <c r="L27" i="72"/>
  <c r="N27" i="72" s="1"/>
  <c r="AC72" i="73"/>
  <c r="L15" i="72"/>
  <c r="N15" i="72" s="1"/>
  <c r="AC60" i="73"/>
  <c r="L3" i="72"/>
  <c r="N3" i="72" s="1"/>
  <c r="AC48" i="73"/>
  <c r="AC36" i="73"/>
  <c r="L71" i="72"/>
  <c r="N71" i="72" s="1"/>
  <c r="AC128" i="73"/>
  <c r="L86" i="72"/>
  <c r="L74" i="72"/>
  <c r="N74" i="72" s="1"/>
  <c r="AC131" i="73"/>
  <c r="L62" i="72"/>
  <c r="N62" i="72" s="1"/>
  <c r="AC119" i="73"/>
  <c r="L50" i="72"/>
  <c r="N50" i="72" s="1"/>
  <c r="AC107" i="73"/>
  <c r="L38" i="72"/>
  <c r="N38" i="72" s="1"/>
  <c r="AC95" i="73"/>
  <c r="L26" i="72"/>
  <c r="N26" i="72" s="1"/>
  <c r="AC83" i="73"/>
  <c r="L14" i="72"/>
  <c r="N14" i="72" s="1"/>
  <c r="AC71" i="73"/>
  <c r="AC59" i="73"/>
  <c r="AC47" i="73"/>
  <c r="AC35" i="73"/>
  <c r="F14" i="73"/>
  <c r="F17" i="17" s="1"/>
  <c r="F30" i="17" s="1"/>
  <c r="F13" i="73"/>
  <c r="F16" i="17" s="1"/>
  <c r="F12" i="73"/>
  <c r="F15" i="17" s="1"/>
  <c r="F11" i="73"/>
  <c r="F14" i="17" s="1"/>
  <c r="F10" i="73"/>
  <c r="F13" i="17" s="1"/>
  <c r="F9" i="73"/>
  <c r="F12" i="17" s="1"/>
  <c r="F8" i="73"/>
  <c r="F11" i="17" s="1"/>
  <c r="B32" i="11" s="1"/>
  <c r="F7" i="73"/>
  <c r="F6" i="73"/>
  <c r="AC104" i="73"/>
  <c r="L47" i="72"/>
  <c r="N47" i="72" s="1"/>
  <c r="AC142" i="73"/>
  <c r="L85" i="72"/>
  <c r="N85" i="72" s="1"/>
  <c r="AC130" i="73"/>
  <c r="L73" i="72"/>
  <c r="N73" i="72" s="1"/>
  <c r="L61" i="72"/>
  <c r="N61" i="72" s="1"/>
  <c r="AC118" i="73"/>
  <c r="AC106" i="73"/>
  <c r="L49" i="72"/>
  <c r="N49" i="72" s="1"/>
  <c r="AC94" i="73"/>
  <c r="L37" i="72"/>
  <c r="N37" i="72" s="1"/>
  <c r="AC82" i="73"/>
  <c r="L25" i="72"/>
  <c r="N25" i="72" s="1"/>
  <c r="AC70" i="73"/>
  <c r="L13" i="72"/>
  <c r="N13" i="72" s="1"/>
  <c r="AA164" i="73"/>
  <c r="AA166" i="73" s="1"/>
  <c r="Z164" i="73"/>
  <c r="Z166" i="73" s="1"/>
  <c r="Y164" i="73"/>
  <c r="Y166" i="73" s="1"/>
  <c r="W164" i="73"/>
  <c r="W166" i="73" s="1"/>
  <c r="U164" i="73"/>
  <c r="U166" i="73" s="1"/>
  <c r="S164" i="73"/>
  <c r="S166" i="73" s="1"/>
  <c r="K164" i="73"/>
  <c r="K166" i="73" s="1"/>
  <c r="N164" i="73"/>
  <c r="N166" i="73" s="1"/>
  <c r="Q164" i="73"/>
  <c r="Q166" i="73" s="1"/>
  <c r="E164" i="73"/>
  <c r="E166" i="73" s="1"/>
  <c r="M21" i="73"/>
  <c r="J21" i="73"/>
  <c r="H90" i="78" l="1"/>
  <c r="H102" i="78" s="1"/>
  <c r="H88" i="78"/>
  <c r="H100" i="78" s="1"/>
  <c r="H93" i="78"/>
  <c r="H105" i="78" s="1"/>
  <c r="H91" i="78"/>
  <c r="H103" i="78" s="1"/>
  <c r="D25" i="17"/>
  <c r="D28" i="17"/>
  <c r="J19" i="9"/>
  <c r="G27" i="11"/>
  <c r="E28" i="17"/>
  <c r="H32" i="11"/>
  <c r="F29" i="17"/>
  <c r="D24" i="17"/>
  <c r="H27" i="11"/>
  <c r="E29" i="17"/>
  <c r="D33" i="11"/>
  <c r="F28" i="11"/>
  <c r="H98" i="78"/>
  <c r="H110" i="78" s="1"/>
  <c r="B28" i="11"/>
  <c r="D26" i="17"/>
  <c r="C28" i="11"/>
  <c r="G32" i="11"/>
  <c r="F28" i="17"/>
  <c r="F24" i="17"/>
  <c r="C32" i="11"/>
  <c r="D27" i="17"/>
  <c r="C27" i="11"/>
  <c r="E24" i="17"/>
  <c r="D28" i="11"/>
  <c r="B33" i="11"/>
  <c r="H97" i="78"/>
  <c r="H109" i="78" s="1"/>
  <c r="E28" i="11"/>
  <c r="E33" i="11"/>
  <c r="D32" i="11"/>
  <c r="F25" i="17"/>
  <c r="C33" i="11"/>
  <c r="F26" i="17"/>
  <c r="E32" i="11"/>
  <c r="D29" i="17"/>
  <c r="E26" i="17"/>
  <c r="E27" i="11"/>
  <c r="G33" i="11"/>
  <c r="G28" i="11"/>
  <c r="H33" i="11"/>
  <c r="H89" i="78"/>
  <c r="H101" i="78" s="1"/>
  <c r="F33" i="11"/>
  <c r="D27" i="11"/>
  <c r="E25" i="17"/>
  <c r="F32" i="11"/>
  <c r="F27" i="17"/>
  <c r="F27" i="11"/>
  <c r="E27" i="17"/>
  <c r="H28" i="11"/>
  <c r="H92" i="78"/>
  <c r="H104" i="78" s="1"/>
  <c r="N35" i="78"/>
  <c r="O11" i="17"/>
  <c r="Q12" i="17" s="1"/>
  <c r="N86" i="72"/>
  <c r="N116" i="72"/>
  <c r="P169" i="73"/>
  <c r="P170" i="73" s="1"/>
  <c r="F169" i="73"/>
  <c r="F170" i="73" s="1"/>
  <c r="J169" i="73"/>
  <c r="J170" i="73" s="1"/>
  <c r="M169" i="73"/>
  <c r="M170" i="73" s="1"/>
  <c r="H169" i="73"/>
  <c r="H170" i="73" s="1"/>
  <c r="D164" i="73"/>
  <c r="D166" i="73" s="1"/>
  <c r="F164" i="73"/>
  <c r="F166" i="73" s="1"/>
  <c r="H164" i="73"/>
  <c r="H166" i="73" s="1"/>
  <c r="V164" i="73"/>
  <c r="V166" i="73" s="1"/>
  <c r="P164" i="73"/>
  <c r="P166" i="73" s="1"/>
  <c r="J164" i="73"/>
  <c r="J166" i="73" s="1"/>
  <c r="M164" i="73"/>
  <c r="M166" i="73" s="1"/>
  <c r="AC24" i="73"/>
  <c r="AC164" i="73" s="1"/>
  <c r="G164" i="73"/>
  <c r="G166" i="73" s="1"/>
  <c r="F5" i="73"/>
  <c r="R164" i="73"/>
  <c r="R166" i="73" s="1"/>
  <c r="H5" i="73"/>
  <c r="X166" i="73"/>
  <c r="E5" i="73"/>
  <c r="O164" i="73"/>
  <c r="O166" i="73" s="1"/>
  <c r="AC165" i="73"/>
  <c r="D5" i="73"/>
  <c r="L164" i="73"/>
  <c r="L166" i="73" s="1"/>
  <c r="C5" i="73"/>
  <c r="I164" i="73"/>
  <c r="I166" i="73" s="1"/>
  <c r="G14" i="73"/>
  <c r="P21" i="73"/>
  <c r="H21" i="73"/>
  <c r="F21" i="73"/>
  <c r="Q116" i="72" l="1"/>
  <c r="B5" i="11" s="1"/>
  <c r="L87" i="78"/>
  <c r="E36" i="17"/>
  <c r="F36" i="17"/>
  <c r="J32" i="11"/>
  <c r="I32" i="11"/>
  <c r="J27" i="11"/>
  <c r="I27" i="11"/>
  <c r="C3" i="9"/>
  <c r="L19" i="9"/>
  <c r="K19" i="9"/>
  <c r="N36" i="78"/>
  <c r="L87" i="72"/>
  <c r="N87" i="72" s="1"/>
  <c r="Q13" i="17"/>
  <c r="AC166" i="73"/>
  <c r="S116" i="72" l="1"/>
  <c r="L88" i="78"/>
  <c r="L23" i="9"/>
  <c r="L29" i="9" s="1"/>
  <c r="K23" i="9"/>
  <c r="K29" i="9" s="1"/>
  <c r="K36" i="9" s="1"/>
  <c r="N37" i="78"/>
  <c r="Q14" i="17"/>
  <c r="L88" i="72"/>
  <c r="N88" i="72" s="1"/>
  <c r="L89" i="78" l="1"/>
  <c r="L89" i="72"/>
  <c r="N89" i="72" s="1"/>
  <c r="N38" i="78"/>
  <c r="Q15" i="17"/>
  <c r="B3" i="72"/>
  <c r="D3" i="72" s="1"/>
  <c r="G3" i="72" s="1"/>
  <c r="B4" i="72"/>
  <c r="D4" i="72" s="1"/>
  <c r="G4" i="72" s="1"/>
  <c r="B5" i="72"/>
  <c r="D5" i="72" s="1"/>
  <c r="G5" i="72" s="1"/>
  <c r="B6" i="72"/>
  <c r="D6" i="72" s="1"/>
  <c r="G6" i="72" s="1"/>
  <c r="B7" i="72"/>
  <c r="D7" i="72" s="1"/>
  <c r="G7" i="72" s="1"/>
  <c r="B8" i="72"/>
  <c r="D8" i="72" s="1"/>
  <c r="G8" i="72" s="1"/>
  <c r="B9" i="72"/>
  <c r="D9" i="72" s="1"/>
  <c r="G9" i="72" s="1"/>
  <c r="B10" i="72"/>
  <c r="D10" i="72" s="1"/>
  <c r="G10" i="72" s="1"/>
  <c r="B11" i="72"/>
  <c r="D11" i="72" s="1"/>
  <c r="G11" i="72" s="1"/>
  <c r="B12" i="72"/>
  <c r="D12" i="72" s="1"/>
  <c r="G12" i="72" s="1"/>
  <c r="B13" i="72"/>
  <c r="D13" i="72" s="1"/>
  <c r="G13" i="72" s="1"/>
  <c r="B14" i="72"/>
  <c r="D14" i="72" s="1"/>
  <c r="G14" i="72" s="1"/>
  <c r="B15" i="72"/>
  <c r="D15" i="72" s="1"/>
  <c r="B16" i="72"/>
  <c r="D16" i="72" s="1"/>
  <c r="G16" i="72" s="1"/>
  <c r="B17" i="72"/>
  <c r="D17" i="72" s="1"/>
  <c r="G17" i="72" s="1"/>
  <c r="B18" i="72"/>
  <c r="D18" i="72" s="1"/>
  <c r="G18" i="72" s="1"/>
  <c r="B19" i="72"/>
  <c r="D19" i="72" s="1"/>
  <c r="G19" i="72" s="1"/>
  <c r="B20" i="72"/>
  <c r="D20" i="72" s="1"/>
  <c r="G20" i="72" s="1"/>
  <c r="B21" i="72"/>
  <c r="D21" i="72" s="1"/>
  <c r="G21" i="72" s="1"/>
  <c r="B22" i="72"/>
  <c r="D22" i="72" s="1"/>
  <c r="G22" i="72" s="1"/>
  <c r="B23" i="72"/>
  <c r="D23" i="72" s="1"/>
  <c r="G23" i="72" s="1"/>
  <c r="B24" i="72"/>
  <c r="D24" i="72" s="1"/>
  <c r="G24" i="72" s="1"/>
  <c r="B25" i="72"/>
  <c r="D25" i="72" s="1"/>
  <c r="G25" i="72" s="1"/>
  <c r="B26" i="72"/>
  <c r="D26" i="72" s="1"/>
  <c r="G26" i="72" s="1"/>
  <c r="B27" i="72"/>
  <c r="D27" i="72" s="1"/>
  <c r="B28" i="72"/>
  <c r="D28" i="72" s="1"/>
  <c r="G28" i="72" s="1"/>
  <c r="B29" i="72"/>
  <c r="D29" i="72" s="1"/>
  <c r="G29" i="72" s="1"/>
  <c r="B30" i="72"/>
  <c r="D30" i="72" s="1"/>
  <c r="G30" i="72" s="1"/>
  <c r="B31" i="72"/>
  <c r="D31" i="72" s="1"/>
  <c r="G31" i="72" s="1"/>
  <c r="B32" i="72"/>
  <c r="D32" i="72" s="1"/>
  <c r="G32" i="72" s="1"/>
  <c r="B33" i="72"/>
  <c r="D33" i="72" s="1"/>
  <c r="G33" i="72" s="1"/>
  <c r="B34" i="72"/>
  <c r="D34" i="72" s="1"/>
  <c r="G34" i="72" s="1"/>
  <c r="B35" i="72"/>
  <c r="D35" i="72" s="1"/>
  <c r="G35" i="72" s="1"/>
  <c r="B36" i="72"/>
  <c r="D36" i="72" s="1"/>
  <c r="G36" i="72" s="1"/>
  <c r="B37" i="72"/>
  <c r="D37" i="72" s="1"/>
  <c r="G37" i="72" s="1"/>
  <c r="B38" i="72"/>
  <c r="D38" i="72" s="1"/>
  <c r="G38" i="72" s="1"/>
  <c r="B39" i="72"/>
  <c r="D39" i="72" s="1"/>
  <c r="B40" i="72"/>
  <c r="D40" i="72" s="1"/>
  <c r="G40" i="72" s="1"/>
  <c r="B41" i="72"/>
  <c r="D41" i="72" s="1"/>
  <c r="G41" i="72" s="1"/>
  <c r="B42" i="72"/>
  <c r="D42" i="72" s="1"/>
  <c r="G42" i="72" s="1"/>
  <c r="B43" i="72"/>
  <c r="D43" i="72" s="1"/>
  <c r="G43" i="72" s="1"/>
  <c r="B44" i="72"/>
  <c r="D44" i="72" s="1"/>
  <c r="G44" i="72" s="1"/>
  <c r="B45" i="72"/>
  <c r="D45" i="72" s="1"/>
  <c r="G45" i="72" s="1"/>
  <c r="B46" i="72"/>
  <c r="D46" i="72" s="1"/>
  <c r="G46" i="72" s="1"/>
  <c r="B47" i="72"/>
  <c r="D47" i="72" s="1"/>
  <c r="G47" i="72" s="1"/>
  <c r="B48" i="72"/>
  <c r="D48" i="72" s="1"/>
  <c r="G48" i="72" s="1"/>
  <c r="B49" i="72"/>
  <c r="D49" i="72" s="1"/>
  <c r="G49" i="72" s="1"/>
  <c r="B50" i="72"/>
  <c r="D50" i="72" s="1"/>
  <c r="G50" i="72" s="1"/>
  <c r="B51" i="72"/>
  <c r="D51" i="72" s="1"/>
  <c r="B52" i="72"/>
  <c r="D52" i="72" s="1"/>
  <c r="G52" i="72" s="1"/>
  <c r="B53" i="72"/>
  <c r="D53" i="72" s="1"/>
  <c r="G53" i="72" s="1"/>
  <c r="B54" i="72"/>
  <c r="D54" i="72" s="1"/>
  <c r="G54" i="72" s="1"/>
  <c r="B55" i="72"/>
  <c r="D55" i="72" s="1"/>
  <c r="G55" i="72" s="1"/>
  <c r="B56" i="72"/>
  <c r="D56" i="72" s="1"/>
  <c r="G56" i="72" s="1"/>
  <c r="B57" i="72"/>
  <c r="D57" i="72" s="1"/>
  <c r="G57" i="72" s="1"/>
  <c r="B58" i="72"/>
  <c r="D58" i="72" s="1"/>
  <c r="G58" i="72" s="1"/>
  <c r="B59" i="72"/>
  <c r="D59" i="72" s="1"/>
  <c r="G59" i="72" s="1"/>
  <c r="B60" i="72"/>
  <c r="D60" i="72" s="1"/>
  <c r="G60" i="72" s="1"/>
  <c r="B61" i="72"/>
  <c r="D61" i="72" s="1"/>
  <c r="G61" i="72" s="1"/>
  <c r="B62" i="72"/>
  <c r="D62" i="72" s="1"/>
  <c r="G62" i="72" s="1"/>
  <c r="B63" i="72"/>
  <c r="D63" i="72" s="1"/>
  <c r="B64" i="72"/>
  <c r="D64" i="72" s="1"/>
  <c r="G64" i="72" s="1"/>
  <c r="B65" i="72"/>
  <c r="D65" i="72" s="1"/>
  <c r="G65" i="72" s="1"/>
  <c r="B66" i="72"/>
  <c r="D66" i="72" s="1"/>
  <c r="G66" i="72" s="1"/>
  <c r="B67" i="72"/>
  <c r="D67" i="72" s="1"/>
  <c r="G67" i="72" s="1"/>
  <c r="B68" i="72"/>
  <c r="D68" i="72" s="1"/>
  <c r="G68" i="72" s="1"/>
  <c r="B69" i="72"/>
  <c r="D69" i="72" s="1"/>
  <c r="G69" i="72" s="1"/>
  <c r="B70" i="72"/>
  <c r="D70" i="72" s="1"/>
  <c r="G70" i="72" s="1"/>
  <c r="B71" i="72"/>
  <c r="D71" i="72" s="1"/>
  <c r="G71" i="72" s="1"/>
  <c r="B72" i="72"/>
  <c r="D72" i="72" s="1"/>
  <c r="G72" i="72" s="1"/>
  <c r="B73" i="72"/>
  <c r="D73" i="72" s="1"/>
  <c r="G73" i="72" s="1"/>
  <c r="B74" i="72"/>
  <c r="D74" i="72" s="1"/>
  <c r="G74" i="72" s="1"/>
  <c r="B75" i="72"/>
  <c r="D75" i="72" s="1"/>
  <c r="B76" i="72"/>
  <c r="D76" i="72" s="1"/>
  <c r="G76" i="72" s="1"/>
  <c r="B77" i="72"/>
  <c r="D77" i="72" s="1"/>
  <c r="G77" i="72" s="1"/>
  <c r="B78" i="72"/>
  <c r="D78" i="72" s="1"/>
  <c r="G78" i="72" s="1"/>
  <c r="B79" i="72"/>
  <c r="D79" i="72" s="1"/>
  <c r="G79" i="72" s="1"/>
  <c r="B80" i="72"/>
  <c r="D80" i="72" s="1"/>
  <c r="G80" i="72" s="1"/>
  <c r="B81" i="72"/>
  <c r="D81" i="72" s="1"/>
  <c r="G81" i="72" s="1"/>
  <c r="B82" i="72"/>
  <c r="D82" i="72" s="1"/>
  <c r="G82" i="72" s="1"/>
  <c r="B83" i="72"/>
  <c r="D83" i="72" s="1"/>
  <c r="G83" i="72" s="1"/>
  <c r="B84" i="72"/>
  <c r="D84" i="72" s="1"/>
  <c r="G84" i="72" s="1"/>
  <c r="B85" i="72"/>
  <c r="D85" i="72" s="1"/>
  <c r="G85" i="72" s="1"/>
  <c r="B86" i="72"/>
  <c r="D86" i="72" s="1"/>
  <c r="G86" i="72" s="1"/>
  <c r="H28" i="9"/>
  <c r="L90" i="78" l="1"/>
  <c r="N39" i="78"/>
  <c r="N118" i="78"/>
  <c r="L90" i="72"/>
  <c r="N90" i="72" s="1"/>
  <c r="Q16" i="17"/>
  <c r="G27" i="72"/>
  <c r="G118" i="72" s="1"/>
  <c r="D118" i="72"/>
  <c r="B5" i="9" s="1"/>
  <c r="G63" i="72"/>
  <c r="G121" i="72" s="1"/>
  <c r="D121" i="72"/>
  <c r="B8" i="9" s="1"/>
  <c r="G116" i="72"/>
  <c r="D116" i="72"/>
  <c r="G39" i="72"/>
  <c r="G119" i="72" s="1"/>
  <c r="D119" i="72"/>
  <c r="G51" i="72"/>
  <c r="G120" i="72" s="1"/>
  <c r="D120" i="72"/>
  <c r="B7" i="9" s="1"/>
  <c r="G75" i="72"/>
  <c r="G122" i="72" s="1"/>
  <c r="D122" i="72"/>
  <c r="B9" i="9" s="1"/>
  <c r="G15" i="72"/>
  <c r="G117" i="72" s="1"/>
  <c r="D117" i="72"/>
  <c r="B4" i="9" s="1"/>
  <c r="G126" i="72" l="1"/>
  <c r="L91" i="78"/>
  <c r="B3" i="9"/>
  <c r="D126" i="72"/>
  <c r="L91" i="72"/>
  <c r="N91" i="72" s="1"/>
  <c r="Q17" i="17"/>
  <c r="Q118" i="78"/>
  <c r="N40" i="78"/>
  <c r="B6" i="9"/>
  <c r="L92" i="78" l="1"/>
  <c r="Q18" i="17"/>
  <c r="L92" i="72"/>
  <c r="N92" i="72" s="1"/>
  <c r="N41" i="78"/>
  <c r="Q19" i="17"/>
  <c r="L93" i="72"/>
  <c r="N93" i="72" s="1"/>
  <c r="L94" i="78" l="1"/>
  <c r="L93" i="78"/>
  <c r="N42" i="78"/>
  <c r="Q20" i="17"/>
  <c r="L94" i="72"/>
  <c r="N94" i="72" s="1"/>
  <c r="L95" i="78" l="1"/>
  <c r="N43" i="78"/>
  <c r="Q21" i="17"/>
  <c r="L95" i="72"/>
  <c r="N95" i="72" s="1"/>
  <c r="B116" i="72"/>
  <c r="B118" i="72"/>
  <c r="B120" i="72"/>
  <c r="B122" i="72"/>
  <c r="L96" i="78" l="1"/>
  <c r="N44" i="78"/>
  <c r="Q22" i="17"/>
  <c r="L96" i="72"/>
  <c r="N96" i="72" s="1"/>
  <c r="B119" i="72"/>
  <c r="B117" i="72"/>
  <c r="B121" i="72"/>
  <c r="L97" i="78" l="1"/>
  <c r="Q24" i="17"/>
  <c r="N45" i="78"/>
  <c r="L98" i="78"/>
  <c r="L97" i="72"/>
  <c r="N97" i="72" s="1"/>
  <c r="O63" i="72"/>
  <c r="O64" i="72"/>
  <c r="O65" i="72"/>
  <c r="O66" i="72"/>
  <c r="O67" i="72"/>
  <c r="O68" i="72"/>
  <c r="O69" i="72"/>
  <c r="O70" i="72"/>
  <c r="O71" i="72"/>
  <c r="O72" i="72"/>
  <c r="O73" i="72"/>
  <c r="O74" i="72"/>
  <c r="O4" i="72"/>
  <c r="O5" i="72"/>
  <c r="O7" i="72"/>
  <c r="O8" i="72"/>
  <c r="O9" i="72"/>
  <c r="O10" i="72"/>
  <c r="O11" i="72"/>
  <c r="O12" i="72"/>
  <c r="O13" i="72"/>
  <c r="O15" i="72"/>
  <c r="O16" i="72"/>
  <c r="O17" i="72"/>
  <c r="O18" i="72"/>
  <c r="O20" i="72"/>
  <c r="O21" i="72"/>
  <c r="O23" i="72"/>
  <c r="O24" i="72"/>
  <c r="O25" i="72"/>
  <c r="O26" i="72"/>
  <c r="O27" i="72"/>
  <c r="O28" i="72"/>
  <c r="O29" i="72"/>
  <c r="O31" i="72"/>
  <c r="O32" i="72"/>
  <c r="O33" i="72"/>
  <c r="O34" i="72"/>
  <c r="O35" i="72"/>
  <c r="O36" i="72"/>
  <c r="O37" i="72"/>
  <c r="O39" i="72"/>
  <c r="O40" i="72"/>
  <c r="O41" i="72"/>
  <c r="O42" i="72"/>
  <c r="O43" i="72"/>
  <c r="O44" i="72"/>
  <c r="O45" i="72"/>
  <c r="O47" i="72"/>
  <c r="O48" i="72"/>
  <c r="O49" i="72"/>
  <c r="O50" i="72"/>
  <c r="O51" i="72"/>
  <c r="O52" i="72"/>
  <c r="O53" i="72"/>
  <c r="O55" i="72"/>
  <c r="O56" i="72"/>
  <c r="O57" i="72"/>
  <c r="O58" i="72"/>
  <c r="O59" i="72"/>
  <c r="O61" i="72"/>
  <c r="O76" i="72"/>
  <c r="O77" i="72"/>
  <c r="O78" i="72"/>
  <c r="O79" i="72"/>
  <c r="O81" i="72"/>
  <c r="O84" i="72"/>
  <c r="O85" i="72"/>
  <c r="O86" i="72"/>
  <c r="I14" i="73"/>
  <c r="I17" i="17" s="1"/>
  <c r="H14" i="73"/>
  <c r="C14" i="73"/>
  <c r="C17" i="17" s="1"/>
  <c r="C30" i="17" s="1"/>
  <c r="B14" i="73"/>
  <c r="B17" i="17" s="1"/>
  <c r="I13" i="73"/>
  <c r="I16" i="17" s="1"/>
  <c r="H13" i="73"/>
  <c r="H16" i="17" s="1"/>
  <c r="G13" i="73"/>
  <c r="C13" i="73"/>
  <c r="C16" i="17" s="1"/>
  <c r="B13" i="73"/>
  <c r="B16" i="17" s="1"/>
  <c r="I12" i="73"/>
  <c r="I15" i="17" s="1"/>
  <c r="H12" i="73"/>
  <c r="H15" i="17" s="1"/>
  <c r="G12" i="73"/>
  <c r="C12" i="73"/>
  <c r="C15" i="17" s="1"/>
  <c r="B12" i="73"/>
  <c r="B15" i="17" s="1"/>
  <c r="I11" i="73"/>
  <c r="I14" i="17" s="1"/>
  <c r="H11" i="73"/>
  <c r="H14" i="17" s="1"/>
  <c r="G11" i="73"/>
  <c r="G14" i="17" s="1"/>
  <c r="C11" i="73"/>
  <c r="C14" i="17" s="1"/>
  <c r="B11" i="73"/>
  <c r="B14" i="17" s="1"/>
  <c r="I10" i="73"/>
  <c r="I13" i="17" s="1"/>
  <c r="H10" i="73"/>
  <c r="H13" i="17" s="1"/>
  <c r="G10" i="73"/>
  <c r="G13" i="17" s="1"/>
  <c r="C10" i="73"/>
  <c r="C13" i="17" s="1"/>
  <c r="B10" i="73"/>
  <c r="B13" i="17" s="1"/>
  <c r="I9" i="73"/>
  <c r="I12" i="17" s="1"/>
  <c r="H9" i="73"/>
  <c r="H12" i="17" s="1"/>
  <c r="G9" i="73"/>
  <c r="G12" i="17" s="1"/>
  <c r="C9" i="73"/>
  <c r="C12" i="17" s="1"/>
  <c r="B9" i="73"/>
  <c r="B12" i="17" s="1"/>
  <c r="I8" i="73"/>
  <c r="I11" i="17" s="1"/>
  <c r="H8" i="73"/>
  <c r="H11" i="17" s="1"/>
  <c r="G8" i="73"/>
  <c r="G11" i="17" s="1"/>
  <c r="C8" i="73"/>
  <c r="C11" i="17" s="1"/>
  <c r="B8" i="73"/>
  <c r="B11" i="17" s="1"/>
  <c r="I7" i="73"/>
  <c r="H7" i="73"/>
  <c r="G7" i="73"/>
  <c r="C7" i="73"/>
  <c r="B7" i="73"/>
  <c r="I6" i="73"/>
  <c r="H6" i="73"/>
  <c r="G6" i="73"/>
  <c r="C6" i="73"/>
  <c r="B6" i="73"/>
  <c r="I5" i="73"/>
  <c r="G5" i="73"/>
  <c r="B5" i="73"/>
  <c r="B30" i="17" l="1"/>
  <c r="L13" i="17"/>
  <c r="H26" i="17"/>
  <c r="C28" i="17"/>
  <c r="L12" i="17"/>
  <c r="G25" i="17"/>
  <c r="L15" i="17"/>
  <c r="H28" i="17"/>
  <c r="H24" i="17"/>
  <c r="C26" i="17"/>
  <c r="I27" i="17"/>
  <c r="I29" i="17"/>
  <c r="C25" i="17"/>
  <c r="I26" i="17"/>
  <c r="G28" i="17"/>
  <c r="G29" i="17"/>
  <c r="H25" i="17"/>
  <c r="C27" i="17"/>
  <c r="I28" i="17"/>
  <c r="I25" i="17"/>
  <c r="G27" i="17"/>
  <c r="L17" i="17"/>
  <c r="C24" i="17"/>
  <c r="G24" i="17"/>
  <c r="L14" i="17"/>
  <c r="H27" i="17"/>
  <c r="C29" i="17"/>
  <c r="H29" i="17"/>
  <c r="L11" i="17"/>
  <c r="I24" i="17"/>
  <c r="G26" i="17"/>
  <c r="L16" i="17"/>
  <c r="N46" i="78"/>
  <c r="L99" i="78"/>
  <c r="L98" i="72"/>
  <c r="N98" i="72" s="1"/>
  <c r="R43" i="72"/>
  <c r="P43" i="72"/>
  <c r="S43" i="72"/>
  <c r="T43" i="72" s="1"/>
  <c r="R15" i="72"/>
  <c r="P15" i="72"/>
  <c r="R72" i="72"/>
  <c r="P72" i="72"/>
  <c r="S72" i="72"/>
  <c r="T72" i="72" s="1"/>
  <c r="R56" i="72"/>
  <c r="P56" i="72"/>
  <c r="S56" i="72"/>
  <c r="T56" i="72" s="1"/>
  <c r="P27" i="72"/>
  <c r="S27" i="72"/>
  <c r="T27" i="72" s="1"/>
  <c r="R27" i="72"/>
  <c r="R12" i="72"/>
  <c r="P12" i="72"/>
  <c r="S12" i="72"/>
  <c r="T12" i="72" s="1"/>
  <c r="R70" i="72"/>
  <c r="P70" i="72"/>
  <c r="S70" i="72"/>
  <c r="T70" i="72" s="1"/>
  <c r="S42" i="72"/>
  <c r="T42" i="72" s="1"/>
  <c r="R42" i="72"/>
  <c r="P42" i="72"/>
  <c r="S40" i="72"/>
  <c r="T40" i="72" s="1"/>
  <c r="R40" i="72"/>
  <c r="P40" i="72"/>
  <c r="R26" i="72"/>
  <c r="P26" i="72"/>
  <c r="S26" i="72"/>
  <c r="T26" i="72" s="1"/>
  <c r="R11" i="72"/>
  <c r="P11" i="72"/>
  <c r="S11" i="72"/>
  <c r="T11" i="72" s="1"/>
  <c r="R69" i="72"/>
  <c r="P69" i="72"/>
  <c r="S69" i="72"/>
  <c r="T69" i="72" s="1"/>
  <c r="S28" i="72"/>
  <c r="T28" i="72" s="1"/>
  <c r="R28" i="72"/>
  <c r="P28" i="72"/>
  <c r="R81" i="72"/>
  <c r="P81" i="72"/>
  <c r="R39" i="72"/>
  <c r="P39" i="72"/>
  <c r="R25" i="72"/>
  <c r="P25" i="72"/>
  <c r="S25" i="72"/>
  <c r="T25" i="72" s="1"/>
  <c r="R10" i="72"/>
  <c r="P10" i="72"/>
  <c r="S10" i="72"/>
  <c r="T10" i="72" s="1"/>
  <c r="R68" i="72"/>
  <c r="P68" i="72"/>
  <c r="S68" i="72"/>
  <c r="T68" i="72" s="1"/>
  <c r="R57" i="72"/>
  <c r="P57" i="72"/>
  <c r="S57" i="72"/>
  <c r="T57" i="72" s="1"/>
  <c r="R85" i="72"/>
  <c r="P85" i="72"/>
  <c r="S85" i="72"/>
  <c r="T85" i="72" s="1"/>
  <c r="R9" i="72"/>
  <c r="P9" i="72"/>
  <c r="S9" i="72"/>
  <c r="T9" i="72" s="1"/>
  <c r="R67" i="72"/>
  <c r="P67" i="72"/>
  <c r="S67" i="72"/>
  <c r="T67" i="72" s="1"/>
  <c r="R41" i="72"/>
  <c r="P41" i="72"/>
  <c r="S41" i="72"/>
  <c r="T41" i="72" s="1"/>
  <c r="R50" i="72"/>
  <c r="P50" i="72"/>
  <c r="S50" i="72"/>
  <c r="T50" i="72" s="1"/>
  <c r="R23" i="72"/>
  <c r="P23" i="72"/>
  <c r="R8" i="72"/>
  <c r="P8" i="72"/>
  <c r="S8" i="72"/>
  <c r="T8" i="72" s="1"/>
  <c r="S66" i="72"/>
  <c r="T66" i="72" s="1"/>
  <c r="R66" i="72"/>
  <c r="P66" i="72"/>
  <c r="R29" i="72"/>
  <c r="P29" i="72"/>
  <c r="S29" i="72"/>
  <c r="T29" i="72" s="1"/>
  <c r="R84" i="72"/>
  <c r="P84" i="72"/>
  <c r="R37" i="72"/>
  <c r="P37" i="72"/>
  <c r="S37" i="72"/>
  <c r="T37" i="72" s="1"/>
  <c r="R49" i="72"/>
  <c r="P49" i="72"/>
  <c r="S49" i="72"/>
  <c r="T49" i="72" s="1"/>
  <c r="R35" i="72"/>
  <c r="P35" i="72"/>
  <c r="S35" i="72"/>
  <c r="T35" i="72" s="1"/>
  <c r="R21" i="72"/>
  <c r="P21" i="72"/>
  <c r="S21" i="72"/>
  <c r="T21" i="72" s="1"/>
  <c r="R7" i="72"/>
  <c r="P7" i="72"/>
  <c r="P65" i="72"/>
  <c r="R65" i="72"/>
  <c r="S65" i="72"/>
  <c r="T65" i="72" s="1"/>
  <c r="R55" i="72"/>
  <c r="P55" i="72"/>
  <c r="R24" i="72"/>
  <c r="P24" i="72"/>
  <c r="S24" i="72"/>
  <c r="T24" i="72" s="1"/>
  <c r="R34" i="72"/>
  <c r="P34" i="72"/>
  <c r="S34" i="72"/>
  <c r="T34" i="72" s="1"/>
  <c r="R20" i="72"/>
  <c r="P20" i="72"/>
  <c r="R5" i="72"/>
  <c r="P5" i="72"/>
  <c r="S5" i="72"/>
  <c r="T5" i="72" s="1"/>
  <c r="R64" i="72"/>
  <c r="P64" i="72"/>
  <c r="S64" i="72"/>
  <c r="T64" i="72" s="1"/>
  <c r="R13" i="72"/>
  <c r="P13" i="72"/>
  <c r="S13" i="72"/>
  <c r="T13" i="72" s="1"/>
  <c r="R51" i="72"/>
  <c r="P51" i="72"/>
  <c r="S51" i="72"/>
  <c r="T51" i="72" s="1"/>
  <c r="P77" i="72"/>
  <c r="R77" i="72"/>
  <c r="S77" i="72"/>
  <c r="T77" i="72" s="1"/>
  <c r="R61" i="72"/>
  <c r="P61" i="72"/>
  <c r="R47" i="72"/>
  <c r="P47" i="72"/>
  <c r="R33" i="72"/>
  <c r="P33" i="72"/>
  <c r="S33" i="72"/>
  <c r="T33" i="72" s="1"/>
  <c r="S18" i="72"/>
  <c r="T18" i="72" s="1"/>
  <c r="R18" i="72"/>
  <c r="P18" i="72"/>
  <c r="R4" i="72"/>
  <c r="P4" i="72"/>
  <c r="Q4" i="72" s="1"/>
  <c r="R63" i="72"/>
  <c r="P63" i="72"/>
  <c r="R71" i="72"/>
  <c r="P71" i="72"/>
  <c r="S71" i="72"/>
  <c r="T71" i="72" s="1"/>
  <c r="S52" i="72"/>
  <c r="T52" i="72" s="1"/>
  <c r="R52" i="72"/>
  <c r="P52" i="72"/>
  <c r="R36" i="72"/>
  <c r="P36" i="72"/>
  <c r="S36" i="72"/>
  <c r="T36" i="72" s="1"/>
  <c r="R76" i="72"/>
  <c r="P76" i="72"/>
  <c r="R59" i="72"/>
  <c r="P59" i="72"/>
  <c r="S59" i="72"/>
  <c r="T59" i="72" s="1"/>
  <c r="R45" i="72"/>
  <c r="P45" i="72"/>
  <c r="S45" i="72"/>
  <c r="T45" i="72" s="1"/>
  <c r="R32" i="72"/>
  <c r="P32" i="72"/>
  <c r="S32" i="72"/>
  <c r="T32" i="72" s="1"/>
  <c r="R17" i="72"/>
  <c r="P17" i="72"/>
  <c r="S17" i="72"/>
  <c r="T17" i="72" s="1"/>
  <c r="R74" i="72"/>
  <c r="P74" i="72"/>
  <c r="S74" i="72"/>
  <c r="T74" i="72" s="1"/>
  <c r="S86" i="72"/>
  <c r="T86" i="72" s="1"/>
  <c r="R86" i="72"/>
  <c r="P86" i="72"/>
  <c r="P53" i="72"/>
  <c r="R53" i="72"/>
  <c r="S53" i="72"/>
  <c r="T53" i="72" s="1"/>
  <c r="R79" i="72"/>
  <c r="P79" i="72"/>
  <c r="S79" i="72"/>
  <c r="T79" i="72" s="1"/>
  <c r="S78" i="72"/>
  <c r="T78" i="72" s="1"/>
  <c r="R78" i="72"/>
  <c r="P78" i="72"/>
  <c r="R48" i="72"/>
  <c r="P48" i="72"/>
  <c r="S48" i="72"/>
  <c r="T48" i="72" s="1"/>
  <c r="R58" i="72"/>
  <c r="P58" i="72"/>
  <c r="S58" i="72"/>
  <c r="T58" i="72" s="1"/>
  <c r="R44" i="72"/>
  <c r="P44" i="72"/>
  <c r="S44" i="72"/>
  <c r="T44" i="72" s="1"/>
  <c r="R31" i="72"/>
  <c r="P31" i="72"/>
  <c r="S16" i="72"/>
  <c r="T16" i="72" s="1"/>
  <c r="R16" i="72"/>
  <c r="P16" i="72"/>
  <c r="R73" i="72"/>
  <c r="P73" i="72"/>
  <c r="S73" i="72"/>
  <c r="T73" i="72" s="1"/>
  <c r="O3" i="72"/>
  <c r="O19" i="72"/>
  <c r="S20" i="72" s="1"/>
  <c r="T20" i="72" s="1"/>
  <c r="O83" i="72"/>
  <c r="O75" i="72"/>
  <c r="O82" i="72"/>
  <c r="O62" i="72"/>
  <c r="S63" i="72" s="1"/>
  <c r="T63" i="72" s="1"/>
  <c r="O54" i="72"/>
  <c r="S55" i="72" s="1"/>
  <c r="T55" i="72" s="1"/>
  <c r="O38" i="72"/>
  <c r="S39" i="72" s="1"/>
  <c r="T39" i="72" s="1"/>
  <c r="O30" i="72"/>
  <c r="S31" i="72" s="1"/>
  <c r="T31" i="72" s="1"/>
  <c r="O22" i="72"/>
  <c r="S23" i="72" s="1"/>
  <c r="T23" i="72" s="1"/>
  <c r="O14" i="72"/>
  <c r="S15" i="72" s="1"/>
  <c r="T15" i="72" s="1"/>
  <c r="O6" i="72"/>
  <c r="O80" i="72"/>
  <c r="O60" i="72"/>
  <c r="H36" i="17" l="1"/>
  <c r="G36" i="17"/>
  <c r="I36" i="17"/>
  <c r="N47" i="78"/>
  <c r="L100" i="78"/>
  <c r="L99" i="72"/>
  <c r="N99" i="72" s="1"/>
  <c r="J12" i="17"/>
  <c r="J16" i="17"/>
  <c r="R82" i="72"/>
  <c r="P82" i="72"/>
  <c r="S82" i="72"/>
  <c r="T82" i="72" s="1"/>
  <c r="R60" i="72"/>
  <c r="P60" i="72"/>
  <c r="S60" i="72"/>
  <c r="T60" i="72" s="1"/>
  <c r="R75" i="72"/>
  <c r="P75" i="72"/>
  <c r="S75" i="72"/>
  <c r="T75" i="72" s="1"/>
  <c r="R80" i="72"/>
  <c r="P80" i="72"/>
  <c r="S80" i="72"/>
  <c r="T80" i="72" s="1"/>
  <c r="R83" i="72"/>
  <c r="P83" i="72"/>
  <c r="S83" i="72"/>
  <c r="T83" i="72" s="1"/>
  <c r="P3" i="72"/>
  <c r="Q3" i="72" s="1"/>
  <c r="R3" i="72"/>
  <c r="S6" i="72"/>
  <c r="T6" i="72" s="1"/>
  <c r="R6" i="72"/>
  <c r="P6" i="72"/>
  <c r="S76" i="72"/>
  <c r="T76" i="72" s="1"/>
  <c r="R19" i="72"/>
  <c r="P19" i="72"/>
  <c r="S19" i="72"/>
  <c r="T19" i="72" s="1"/>
  <c r="R14" i="72"/>
  <c r="P14" i="72"/>
  <c r="S14" i="72"/>
  <c r="T14" i="72" s="1"/>
  <c r="S4" i="72"/>
  <c r="T4" i="72" s="1"/>
  <c r="S61" i="72"/>
  <c r="T61" i="72" s="1"/>
  <c r="S84" i="72"/>
  <c r="T84" i="72" s="1"/>
  <c r="S54" i="72"/>
  <c r="T54" i="72" s="1"/>
  <c r="R54" i="72"/>
  <c r="P54" i="72"/>
  <c r="S81" i="72"/>
  <c r="T81" i="72" s="1"/>
  <c r="R22" i="72"/>
  <c r="P22" i="72"/>
  <c r="S22" i="72"/>
  <c r="T22" i="72" s="1"/>
  <c r="R62" i="72"/>
  <c r="P62" i="72"/>
  <c r="S62" i="72"/>
  <c r="T62" i="72" s="1"/>
  <c r="S7" i="72"/>
  <c r="T7" i="72" s="1"/>
  <c r="S30" i="72"/>
  <c r="T30" i="72" s="1"/>
  <c r="R30" i="72"/>
  <c r="P30" i="72"/>
  <c r="R38" i="72"/>
  <c r="P38" i="72"/>
  <c r="S38" i="72"/>
  <c r="T38" i="72" s="1"/>
  <c r="N119" i="72"/>
  <c r="Q119" i="72" s="1"/>
  <c r="O46" i="72"/>
  <c r="J13" i="17"/>
  <c r="J17" i="17"/>
  <c r="J11" i="17"/>
  <c r="J15" i="17"/>
  <c r="J14" i="17"/>
  <c r="A7" i="18"/>
  <c r="A8" i="18"/>
  <c r="A9" i="18"/>
  <c r="A10" i="18"/>
  <c r="A26" i="9"/>
  <c r="A29" i="9" s="1"/>
  <c r="A32" i="9" s="1"/>
  <c r="A2" i="18"/>
  <c r="A3" i="18"/>
  <c r="A4" i="18"/>
  <c r="A5" i="18"/>
  <c r="A6" i="18"/>
  <c r="C6" i="9" l="1"/>
  <c r="E5" i="11"/>
  <c r="D5" i="18"/>
  <c r="B5" i="18"/>
  <c r="C5" i="18"/>
  <c r="F5" i="18"/>
  <c r="F8" i="18"/>
  <c r="D8" i="18"/>
  <c r="C8" i="18"/>
  <c r="B8" i="18"/>
  <c r="B6" i="18"/>
  <c r="C6" i="18"/>
  <c r="F6" i="18"/>
  <c r="D6" i="18"/>
  <c r="D4" i="18"/>
  <c r="B4" i="18"/>
  <c r="F4" i="18"/>
  <c r="C4" i="18"/>
  <c r="C7" i="18"/>
  <c r="F7" i="18"/>
  <c r="D7" i="18"/>
  <c r="B7" i="18"/>
  <c r="D3" i="18"/>
  <c r="C3" i="18"/>
  <c r="F3" i="18"/>
  <c r="B3" i="18"/>
  <c r="F2" i="18"/>
  <c r="D2" i="18"/>
  <c r="B2" i="18"/>
  <c r="B24" i="18" s="1"/>
  <c r="C2" i="18"/>
  <c r="N48" i="78"/>
  <c r="L101" i="78"/>
  <c r="L100" i="72"/>
  <c r="N100" i="72" s="1"/>
  <c r="R46" i="72"/>
  <c r="R87" i="72" s="1"/>
  <c r="W29" i="72" s="1"/>
  <c r="P46" i="72"/>
  <c r="S46" i="72"/>
  <c r="T46" i="72" s="1"/>
  <c r="S47" i="72"/>
  <c r="T47" i="72" s="1"/>
  <c r="A19" i="18"/>
  <c r="A18" i="18"/>
  <c r="E6" i="18"/>
  <c r="E5" i="18"/>
  <c r="E4" i="18"/>
  <c r="E3" i="18"/>
  <c r="E8" i="18"/>
  <c r="E2" i="18"/>
  <c r="E7" i="18"/>
  <c r="A17" i="18"/>
  <c r="A16" i="18"/>
  <c r="A15" i="18"/>
  <c r="A14" i="18"/>
  <c r="A13" i="18"/>
  <c r="T87" i="72" l="1"/>
  <c r="W28" i="72" s="1"/>
  <c r="W31" i="72" s="1"/>
  <c r="H29" i="11"/>
  <c r="C19" i="18"/>
  <c r="C34" i="11"/>
  <c r="D14" i="18"/>
  <c r="D34" i="11"/>
  <c r="D15" i="18"/>
  <c r="B29" i="11"/>
  <c r="N169" i="73"/>
  <c r="N170" i="73" s="1"/>
  <c r="C13" i="18"/>
  <c r="F34" i="11"/>
  <c r="D17" i="18"/>
  <c r="K169" i="73"/>
  <c r="K170" i="73" s="1"/>
  <c r="G34" i="11"/>
  <c r="D18" i="18"/>
  <c r="E29" i="11"/>
  <c r="C16" i="18"/>
  <c r="C29" i="11"/>
  <c r="C14" i="18"/>
  <c r="Q169" i="73"/>
  <c r="Q170" i="73" s="1"/>
  <c r="B34" i="11"/>
  <c r="D13" i="18"/>
  <c r="F29" i="11"/>
  <c r="C17" i="18"/>
  <c r="D29" i="11"/>
  <c r="C15" i="18"/>
  <c r="H34" i="11"/>
  <c r="D19" i="18"/>
  <c r="Z169" i="73"/>
  <c r="Z170" i="73" s="1"/>
  <c r="G29" i="11"/>
  <c r="C18" i="18"/>
  <c r="E34" i="11"/>
  <c r="D16" i="18"/>
  <c r="N49" i="78"/>
  <c r="W169" i="73"/>
  <c r="W170" i="73" s="1"/>
  <c r="L102" i="78"/>
  <c r="L101" i="72"/>
  <c r="N101" i="72" s="1"/>
  <c r="G8" i="18"/>
  <c r="G6" i="18"/>
  <c r="G2" i="18"/>
  <c r="G7" i="18"/>
  <c r="G3" i="18"/>
  <c r="G4" i="18"/>
  <c r="G5" i="18"/>
  <c r="C22" i="18" l="1"/>
  <c r="D22" i="18"/>
  <c r="N50" i="78"/>
  <c r="L103" i="78"/>
  <c r="L102" i="72"/>
  <c r="N102" i="72" s="1"/>
  <c r="N119" i="78" l="1"/>
  <c r="N51" i="78"/>
  <c r="L104" i="78"/>
  <c r="L103" i="72"/>
  <c r="N103" i="72" s="1"/>
  <c r="N52" i="78" l="1"/>
  <c r="Q119" i="78"/>
  <c r="S119" i="72" s="1"/>
  <c r="R18" i="17"/>
  <c r="L104" i="72"/>
  <c r="N104" i="72" s="1"/>
  <c r="L105" i="78" l="1"/>
  <c r="N53" i="78"/>
  <c r="R19" i="17"/>
  <c r="L105" i="72"/>
  <c r="N105" i="72" s="1"/>
  <c r="L106" i="78" l="1"/>
  <c r="N54" i="78"/>
  <c r="R20" i="17"/>
  <c r="L106" i="72"/>
  <c r="N106" i="72" s="1"/>
  <c r="H43" i="11"/>
  <c r="G57" i="11"/>
  <c r="G24" i="11"/>
  <c r="H48" i="11"/>
  <c r="G43" i="11"/>
  <c r="H24" i="11"/>
  <c r="H57" i="11"/>
  <c r="G48" i="11"/>
  <c r="L107" i="78" l="1"/>
  <c r="G53" i="11"/>
  <c r="G70" i="11" s="1"/>
  <c r="H53" i="11"/>
  <c r="H70" i="11" s="1"/>
  <c r="N55" i="78"/>
  <c r="R21" i="17"/>
  <c r="L107" i="72"/>
  <c r="N107" i="72" s="1"/>
  <c r="L108" i="78" l="1"/>
  <c r="N56" i="78"/>
  <c r="R22" i="17"/>
  <c r="L108" i="72"/>
  <c r="N108" i="72" s="1"/>
  <c r="G14" i="11"/>
  <c r="F14" i="11"/>
  <c r="E14" i="11"/>
  <c r="D14" i="11"/>
  <c r="C14" i="11"/>
  <c r="B14" i="11"/>
  <c r="L109" i="78" l="1"/>
  <c r="N57" i="78"/>
  <c r="R23" i="17"/>
  <c r="L109" i="72"/>
  <c r="N109" i="72" s="1"/>
  <c r="H14" i="11"/>
  <c r="L110" i="78" l="1"/>
  <c r="N58" i="78"/>
  <c r="L110" i="72"/>
  <c r="N110" i="72" s="1"/>
  <c r="R24" i="17"/>
  <c r="B29" i="17"/>
  <c r="A23" i="17"/>
  <c r="A24" i="17"/>
  <c r="A25" i="17"/>
  <c r="A26" i="17"/>
  <c r="A27" i="17"/>
  <c r="A28" i="17"/>
  <c r="A29" i="17"/>
  <c r="N59" i="78" l="1"/>
  <c r="Q58" i="72"/>
  <c r="Q26" i="72"/>
  <c r="Q57" i="72"/>
  <c r="Q55" i="72"/>
  <c r="N60" i="78" l="1"/>
  <c r="Q25" i="72"/>
  <c r="Q7" i="72"/>
  <c r="Q49" i="72"/>
  <c r="Q23" i="72"/>
  <c r="Q80" i="72"/>
  <c r="Q17" i="72"/>
  <c r="Q73" i="72"/>
  <c r="Q33" i="72"/>
  <c r="Q71" i="72"/>
  <c r="Q81" i="72"/>
  <c r="Q65" i="72"/>
  <c r="Q16" i="72"/>
  <c r="Q32" i="72"/>
  <c r="Q48" i="72"/>
  <c r="Q64" i="72"/>
  <c r="Q74" i="72"/>
  <c r="Q29" i="72"/>
  <c r="Q78" i="72"/>
  <c r="Q5" i="72"/>
  <c r="Q47" i="72"/>
  <c r="Q54" i="72"/>
  <c r="Q45" i="72"/>
  <c r="Q12" i="72"/>
  <c r="Q28" i="72"/>
  <c r="Q76" i="72"/>
  <c r="Q8" i="72"/>
  <c r="Q72" i="72"/>
  <c r="Q69" i="72"/>
  <c r="Q20" i="72"/>
  <c r="Q84" i="72"/>
  <c r="Q67" i="72"/>
  <c r="Q82" i="72"/>
  <c r="Q30" i="72"/>
  <c r="Q85" i="72"/>
  <c r="Q11" i="72"/>
  <c r="Q39" i="72"/>
  <c r="Q6" i="72"/>
  <c r="Q70" i="72"/>
  <c r="Q66" i="72"/>
  <c r="Q24" i="72"/>
  <c r="Q46" i="72"/>
  <c r="Q21" i="72"/>
  <c r="Q36" i="72"/>
  <c r="Q61" i="72"/>
  <c r="Q44" i="72"/>
  <c r="Q19" i="72"/>
  <c r="Q83" i="72"/>
  <c r="Q9" i="72"/>
  <c r="Q40" i="72"/>
  <c r="Q79" i="72"/>
  <c r="Q43" i="72"/>
  <c r="Q22" i="72"/>
  <c r="Q86" i="72"/>
  <c r="Q13" i="72"/>
  <c r="Q18" i="72"/>
  <c r="Q37" i="72"/>
  <c r="Q52" i="72"/>
  <c r="Q59" i="72"/>
  <c r="Q38" i="72"/>
  <c r="Q77" i="72"/>
  <c r="Q35" i="72"/>
  <c r="Q41" i="72"/>
  <c r="Q31" i="72"/>
  <c r="Q62" i="72"/>
  <c r="Q51" i="72"/>
  <c r="Q60" i="72"/>
  <c r="Q34" i="72"/>
  <c r="Q50" i="72"/>
  <c r="Q56" i="72"/>
  <c r="Q14" i="72"/>
  <c r="Q53" i="72"/>
  <c r="Q68" i="72"/>
  <c r="Q10" i="72"/>
  <c r="Q42" i="72"/>
  <c r="N61" i="78" l="1"/>
  <c r="F4" i="11"/>
  <c r="B4" i="11"/>
  <c r="H4" i="11"/>
  <c r="E4" i="11"/>
  <c r="D4" i="11"/>
  <c r="G4" i="11"/>
  <c r="C4" i="11"/>
  <c r="B126" i="72"/>
  <c r="Q75" i="72"/>
  <c r="N122" i="72"/>
  <c r="Q122" i="72" s="1"/>
  <c r="Q15" i="72"/>
  <c r="N117" i="72"/>
  <c r="N118" i="72"/>
  <c r="Q118" i="72" s="1"/>
  <c r="D5" i="11" s="1"/>
  <c r="Q27" i="72"/>
  <c r="N120" i="72"/>
  <c r="Q120" i="72" s="1"/>
  <c r="Q63" i="72"/>
  <c r="N121" i="72"/>
  <c r="Q121" i="72" s="1"/>
  <c r="C8" i="9" l="1"/>
  <c r="G5" i="11"/>
  <c r="G6" i="11" s="1"/>
  <c r="C7" i="9"/>
  <c r="F5" i="11"/>
  <c r="C9" i="9"/>
  <c r="H5" i="11"/>
  <c r="H6" i="11" s="1"/>
  <c r="Q117" i="72"/>
  <c r="C5" i="9"/>
  <c r="S118" i="72"/>
  <c r="N62" i="78"/>
  <c r="Q87" i="72"/>
  <c r="S117" i="72" l="1"/>
  <c r="C5" i="11"/>
  <c r="Q126" i="72"/>
  <c r="Q127" i="72" s="1"/>
  <c r="C4" i="9"/>
  <c r="N120" i="78"/>
  <c r="N63" i="78"/>
  <c r="E61" i="11"/>
  <c r="E62" i="11"/>
  <c r="E63" i="11"/>
  <c r="E64" i="11"/>
  <c r="E65" i="11"/>
  <c r="E66" i="11"/>
  <c r="B55" i="11"/>
  <c r="C55" i="11"/>
  <c r="D55" i="11"/>
  <c r="E55" i="11"/>
  <c r="F55" i="11"/>
  <c r="G55" i="11"/>
  <c r="Q120" i="78" l="1"/>
  <c r="S120" i="72" s="1"/>
  <c r="N64" i="78"/>
  <c r="H55" i="11"/>
  <c r="B57" i="11"/>
  <c r="C57" i="11"/>
  <c r="D57" i="11"/>
  <c r="E57" i="11"/>
  <c r="F57" i="11"/>
  <c r="N65" i="78" l="1"/>
  <c r="A19" i="9"/>
  <c r="N66" i="78" l="1"/>
  <c r="H10" i="17"/>
  <c r="N67" i="78" l="1"/>
  <c r="B43" i="11"/>
  <c r="E43" i="11"/>
  <c r="C43" i="11"/>
  <c r="D43" i="11"/>
  <c r="N68" i="78" l="1"/>
  <c r="C2" i="17"/>
  <c r="D2" i="17"/>
  <c r="G2" i="17"/>
  <c r="H2" i="17"/>
  <c r="I2" i="17"/>
  <c r="N69" i="78" l="1"/>
  <c r="G37" i="11"/>
  <c r="N70" i="78" l="1"/>
  <c r="F37" i="11"/>
  <c r="C37" i="11"/>
  <c r="N71" i="78" l="1"/>
  <c r="E37" i="11"/>
  <c r="B37" i="11"/>
  <c r="D37" i="11"/>
  <c r="N72" i="78" l="1"/>
  <c r="C10" i="17"/>
  <c r="D10" i="17"/>
  <c r="B10" i="17"/>
  <c r="H9" i="17"/>
  <c r="G9" i="17"/>
  <c r="D9" i="17"/>
  <c r="C9" i="17"/>
  <c r="B9" i="17"/>
  <c r="H8" i="17"/>
  <c r="G8" i="17"/>
  <c r="D8" i="17"/>
  <c r="C8" i="17"/>
  <c r="B8" i="17"/>
  <c r="H7" i="17"/>
  <c r="G7" i="17"/>
  <c r="D7" i="17"/>
  <c r="C7" i="17"/>
  <c r="B7" i="17"/>
  <c r="G6" i="17"/>
  <c r="D6" i="17"/>
  <c r="C6" i="17"/>
  <c r="B6" i="17"/>
  <c r="H5" i="17"/>
  <c r="G5" i="17"/>
  <c r="D5" i="17"/>
  <c r="C5" i="17"/>
  <c r="B5" i="17"/>
  <c r="B1" i="18"/>
  <c r="B2" i="17"/>
  <c r="A45" i="11"/>
  <c r="A40" i="11"/>
  <c r="A36" i="11"/>
  <c r="A21" i="11"/>
  <c r="A17" i="11"/>
  <c r="A13" i="11"/>
  <c r="N73" i="78" l="1"/>
  <c r="O5" i="9"/>
  <c r="D19" i="11"/>
  <c r="M5" i="9"/>
  <c r="D38" i="11" s="1"/>
  <c r="O6" i="9"/>
  <c r="E19" i="11"/>
  <c r="M6" i="9"/>
  <c r="E38" i="11" s="1"/>
  <c r="E15" i="11"/>
  <c r="M9" i="9"/>
  <c r="O9" i="9"/>
  <c r="O3" i="9"/>
  <c r="F13" i="18" s="1"/>
  <c r="B19" i="11"/>
  <c r="B38" i="11"/>
  <c r="B15" i="11"/>
  <c r="B42" i="11"/>
  <c r="C23" i="11"/>
  <c r="O4" i="9"/>
  <c r="C19" i="11"/>
  <c r="C38" i="11"/>
  <c r="C15" i="11"/>
  <c r="M7" i="9"/>
  <c r="F38" i="11" s="1"/>
  <c r="O7" i="9"/>
  <c r="F19" i="11"/>
  <c r="M8" i="9"/>
  <c r="G38" i="11" s="1"/>
  <c r="O8" i="9"/>
  <c r="G19" i="11"/>
  <c r="I28" i="9"/>
  <c r="E46" i="11"/>
  <c r="C48" i="11"/>
  <c r="F22" i="11"/>
  <c r="D41" i="11"/>
  <c r="C41" i="11"/>
  <c r="B22" i="11"/>
  <c r="B41" i="11"/>
  <c r="F41" i="11"/>
  <c r="F18" i="11"/>
  <c r="E24" i="11"/>
  <c r="E14" i="18" l="1"/>
  <c r="C42" i="11"/>
  <c r="E16" i="18"/>
  <c r="E42" i="11"/>
  <c r="E18" i="18"/>
  <c r="G42" i="11"/>
  <c r="N19" i="9"/>
  <c r="H42" i="11"/>
  <c r="M19" i="9"/>
  <c r="M23" i="9" s="1"/>
  <c r="M29" i="9" s="1"/>
  <c r="H38" i="11"/>
  <c r="E15" i="18"/>
  <c r="D42" i="11"/>
  <c r="E17" i="18"/>
  <c r="F42" i="11"/>
  <c r="F19" i="18"/>
  <c r="D47" i="11"/>
  <c r="F15" i="18"/>
  <c r="C47" i="11"/>
  <c r="F14" i="18"/>
  <c r="G47" i="11"/>
  <c r="F18" i="18"/>
  <c r="E47" i="11"/>
  <c r="F16" i="18"/>
  <c r="F47" i="11"/>
  <c r="F17" i="18"/>
  <c r="N74" i="78"/>
  <c r="B47" i="11"/>
  <c r="Y169" i="73"/>
  <c r="Y170" i="73" s="1"/>
  <c r="S169" i="73"/>
  <c r="S170" i="73" s="1"/>
  <c r="E13" i="18"/>
  <c r="V169" i="73"/>
  <c r="V170" i="73" s="1"/>
  <c r="G9" i="9"/>
  <c r="G5" i="9"/>
  <c r="G6" i="9"/>
  <c r="G7" i="9"/>
  <c r="G3" i="9"/>
  <c r="F3" i="9" s="1"/>
  <c r="G15" i="11"/>
  <c r="G8" i="9"/>
  <c r="G4" i="9"/>
  <c r="E19" i="18"/>
  <c r="G23" i="11"/>
  <c r="D23" i="11"/>
  <c r="F23" i="11"/>
  <c r="B23" i="11"/>
  <c r="H23" i="11"/>
  <c r="H19" i="11"/>
  <c r="H47" i="11"/>
  <c r="F15" i="11"/>
  <c r="H15" i="11"/>
  <c r="E23" i="11"/>
  <c r="D15" i="11"/>
  <c r="H19" i="9"/>
  <c r="H23" i="9" s="1"/>
  <c r="B24" i="17"/>
  <c r="H37" i="11"/>
  <c r="I37" i="11"/>
  <c r="G41" i="11"/>
  <c r="E48" i="11"/>
  <c r="E53" i="11" s="1"/>
  <c r="B48" i="11"/>
  <c r="C24" i="11"/>
  <c r="C53" i="11" s="1"/>
  <c r="D48" i="11"/>
  <c r="D24" i="11"/>
  <c r="E22" i="11"/>
  <c r="B26" i="17"/>
  <c r="B24" i="11"/>
  <c r="C22" i="11"/>
  <c r="B18" i="11"/>
  <c r="B46" i="11"/>
  <c r="E18" i="11"/>
  <c r="D46" i="11"/>
  <c r="G46" i="11"/>
  <c r="C18" i="11"/>
  <c r="C46" i="11"/>
  <c r="F46" i="11"/>
  <c r="F51" i="11" s="1"/>
  <c r="D53" i="11" l="1"/>
  <c r="D70" i="11" s="1"/>
  <c r="B53" i="11"/>
  <c r="B70" i="11" s="1"/>
  <c r="B52" i="11"/>
  <c r="I19" i="9"/>
  <c r="N121" i="78"/>
  <c r="N75" i="78"/>
  <c r="B51" i="11"/>
  <c r="C52" i="11"/>
  <c r="E52" i="11"/>
  <c r="D52" i="11"/>
  <c r="H52" i="11"/>
  <c r="G52" i="11"/>
  <c r="C51" i="11"/>
  <c r="F52" i="11"/>
  <c r="F22" i="18"/>
  <c r="B22" i="18"/>
  <c r="I18" i="17"/>
  <c r="O18" i="9" s="1"/>
  <c r="O19" i="9" s="1"/>
  <c r="C56" i="11"/>
  <c r="C10" i="11"/>
  <c r="B10" i="11"/>
  <c r="B56" i="11"/>
  <c r="G10" i="11"/>
  <c r="G56" i="11"/>
  <c r="E56" i="11"/>
  <c r="E10" i="11"/>
  <c r="H56" i="11"/>
  <c r="H10" i="11"/>
  <c r="D10" i="11"/>
  <c r="D56" i="11"/>
  <c r="F56" i="11"/>
  <c r="F10" i="11"/>
  <c r="E70" i="11"/>
  <c r="F9" i="9"/>
  <c r="C36" i="17"/>
  <c r="C70" i="11"/>
  <c r="B28" i="17"/>
  <c r="B25" i="17"/>
  <c r="B36" i="17" s="1"/>
  <c r="B27" i="17"/>
  <c r="F4" i="9"/>
  <c r="J37" i="11"/>
  <c r="D22" i="11"/>
  <c r="F5" i="9"/>
  <c r="F7" i="9"/>
  <c r="G22" i="11"/>
  <c r="F8" i="9"/>
  <c r="F6" i="9"/>
  <c r="E41" i="11"/>
  <c r="E51" i="11" s="1"/>
  <c r="G18" i="11"/>
  <c r="H46" i="11"/>
  <c r="D18" i="11"/>
  <c r="F13" i="9" l="1"/>
  <c r="I30" i="17"/>
  <c r="G51" i="11"/>
  <c r="G68" i="11" s="1"/>
  <c r="O23" i="9"/>
  <c r="O29" i="9" s="1"/>
  <c r="Q121" i="78"/>
  <c r="S121" i="72" s="1"/>
  <c r="N76" i="78"/>
  <c r="D51" i="11"/>
  <c r="D68" i="11" s="1"/>
  <c r="E69" i="11"/>
  <c r="C69" i="11"/>
  <c r="G69" i="11"/>
  <c r="H69" i="11"/>
  <c r="D69" i="11"/>
  <c r="C68" i="11"/>
  <c r="B69" i="11"/>
  <c r="F69" i="11"/>
  <c r="D36" i="17"/>
  <c r="E68" i="11"/>
  <c r="B68" i="11"/>
  <c r="J46" i="11"/>
  <c r="I46" i="11"/>
  <c r="N23" i="9" l="1"/>
  <c r="N29" i="9" s="1"/>
  <c r="N77" i="78"/>
  <c r="D34" i="17"/>
  <c r="C34" i="17"/>
  <c r="B34" i="17"/>
  <c r="J23" i="9" l="1"/>
  <c r="J29" i="9" s="1"/>
  <c r="J36" i="9" s="1"/>
  <c r="L36" i="9" s="1"/>
  <c r="I23" i="9"/>
  <c r="I29" i="9" s="1"/>
  <c r="N78" i="78"/>
  <c r="I14" i="11"/>
  <c r="I22" i="11"/>
  <c r="I18" i="11"/>
  <c r="H22" i="11"/>
  <c r="J22" i="11" l="1"/>
  <c r="N79" i="78"/>
  <c r="L18" i="17"/>
  <c r="I41" i="11"/>
  <c r="I51" i="11" s="1"/>
  <c r="H41" i="11"/>
  <c r="H18" i="11"/>
  <c r="H51" i="11" s="1"/>
  <c r="Q25" i="17" l="1"/>
  <c r="Q26" i="17" s="1"/>
  <c r="N80" i="78"/>
  <c r="H68" i="11"/>
  <c r="L19" i="17"/>
  <c r="R25" i="17" s="1"/>
  <c r="R26" i="17" s="1"/>
  <c r="J18" i="17"/>
  <c r="I55" i="11" s="1"/>
  <c r="J14" i="11"/>
  <c r="F68" i="11"/>
  <c r="J18" i="11"/>
  <c r="N81" i="78" l="1"/>
  <c r="J19" i="17"/>
  <c r="J55" i="11" s="1"/>
  <c r="I68" i="11"/>
  <c r="H29" i="9"/>
  <c r="J41" i="11"/>
  <c r="J51" i="11" s="1"/>
  <c r="N82" i="78" l="1"/>
  <c r="J68" i="11"/>
  <c r="G23" i="9"/>
  <c r="N83" i="78" l="1"/>
  <c r="P29" i="9"/>
  <c r="N84" i="78" l="1"/>
  <c r="F43" i="11"/>
  <c r="N85" i="78" l="1"/>
  <c r="F48" i="11"/>
  <c r="F24" i="11"/>
  <c r="F53" i="11" s="1"/>
  <c r="N86" i="78" l="1"/>
  <c r="F70" i="11"/>
  <c r="N122" i="78" l="1"/>
  <c r="N87" i="78"/>
  <c r="F59" i="11"/>
  <c r="F63" i="11" s="1"/>
  <c r="N88" i="78" l="1"/>
  <c r="Q122" i="78"/>
  <c r="N126" i="78"/>
  <c r="N127" i="78" s="1"/>
  <c r="W28" i="78"/>
  <c r="W29" i="78"/>
  <c r="W26" i="78"/>
  <c r="N123" i="72"/>
  <c r="I59" i="11"/>
  <c r="I63" i="11" s="1"/>
  <c r="Q123" i="72" l="1"/>
  <c r="N126" i="72"/>
  <c r="N127" i="72" s="1"/>
  <c r="Q126" i="78"/>
  <c r="Q127" i="78" s="1"/>
  <c r="S122" i="72"/>
  <c r="W31" i="78"/>
  <c r="N89" i="78"/>
  <c r="J59" i="11"/>
  <c r="J63" i="11" s="1"/>
  <c r="C10" i="9" l="1"/>
  <c r="I5" i="11"/>
  <c r="I6" i="11" s="1"/>
  <c r="G14" i="9"/>
  <c r="N90" i="78"/>
  <c r="F61" i="11"/>
  <c r="F65" i="11" s="1"/>
  <c r="C14" i="9" l="1"/>
  <c r="D10" i="9"/>
  <c r="E10" i="9" s="1"/>
  <c r="N91" i="78"/>
  <c r="F60" i="11"/>
  <c r="F64" i="11" s="1"/>
  <c r="I61" i="11"/>
  <c r="I65" i="11" s="1"/>
  <c r="N92" i="78" l="1"/>
  <c r="J61" i="11"/>
  <c r="J65" i="11" s="1"/>
  <c r="I60" i="11"/>
  <c r="I64" i="11" s="1"/>
  <c r="N93" i="78" l="1"/>
  <c r="J60" i="11"/>
  <c r="J64" i="11" s="1"/>
  <c r="N94" i="78" l="1"/>
  <c r="D8" i="9"/>
  <c r="E8" i="9" s="1"/>
  <c r="D3" i="9"/>
  <c r="E3" i="9" s="1"/>
  <c r="D6" i="11"/>
  <c r="D6" i="9"/>
  <c r="E6" i="9" s="1"/>
  <c r="F6" i="11"/>
  <c r="D5" i="9"/>
  <c r="E5" i="9" s="1"/>
  <c r="N95" i="78" l="1"/>
  <c r="E6" i="11"/>
  <c r="C6" i="11"/>
  <c r="D7" i="9"/>
  <c r="E7" i="9" s="1"/>
  <c r="D4" i="9"/>
  <c r="E4" i="9" s="1"/>
  <c r="D9" i="9"/>
  <c r="E9" i="9" s="1"/>
  <c r="B6" i="11"/>
  <c r="N96" i="78" l="1"/>
  <c r="N114" i="72"/>
  <c r="Q124" i="72"/>
  <c r="C11" i="9" l="1"/>
  <c r="C15" i="9" s="1"/>
  <c r="J5" i="11"/>
  <c r="N97" i="78"/>
  <c r="N130" i="72"/>
  <c r="N131" i="72" s="1"/>
  <c r="I10" i="11"/>
  <c r="N98" i="78" l="1"/>
  <c r="N123" i="78" s="1"/>
  <c r="Q123" i="78" s="1"/>
  <c r="S123" i="72" s="1"/>
  <c r="G11" i="9"/>
  <c r="G26" i="9" l="1"/>
  <c r="G29" i="9" s="1"/>
  <c r="O32" i="9" s="1"/>
  <c r="O26" i="9" s="1"/>
  <c r="F10" i="18" s="1"/>
  <c r="G15" i="9"/>
  <c r="I48" i="11"/>
  <c r="N99" i="78"/>
  <c r="I34" i="11"/>
  <c r="I29" i="11"/>
  <c r="J10" i="11"/>
  <c r="H32" i="9" l="1"/>
  <c r="H26" i="9" s="1"/>
  <c r="J15" i="11" s="1"/>
  <c r="N32" i="9"/>
  <c r="N26" i="9" s="1"/>
  <c r="L32" i="9"/>
  <c r="L26" i="9" s="1"/>
  <c r="J33" i="11" s="1"/>
  <c r="K32" i="9"/>
  <c r="K26" i="9" s="1"/>
  <c r="K35" i="9" s="1"/>
  <c r="J32" i="9"/>
  <c r="J26" i="9" s="1"/>
  <c r="J23" i="11" s="1"/>
  <c r="I32" i="9"/>
  <c r="I26" i="9" s="1"/>
  <c r="J19" i="11" s="1"/>
  <c r="M32" i="9"/>
  <c r="M26" i="9" s="1"/>
  <c r="J48" i="11"/>
  <c r="N100" i="78"/>
  <c r="I52" i="11"/>
  <c r="J47" i="11"/>
  <c r="I24" i="11"/>
  <c r="J42" i="11" l="1"/>
  <c r="D10" i="18"/>
  <c r="J34" i="11" s="1"/>
  <c r="J28" i="11"/>
  <c r="P26" i="9"/>
  <c r="J56" i="11" s="1"/>
  <c r="C10" i="18"/>
  <c r="J29" i="11" s="1"/>
  <c r="J38" i="11"/>
  <c r="B10" i="18"/>
  <c r="J24" i="11" s="1"/>
  <c r="J35" i="9"/>
  <c r="L35" i="9" s="1"/>
  <c r="L37" i="9" s="1"/>
  <c r="G32" i="9"/>
  <c r="N101" i="78"/>
  <c r="I69" i="11"/>
  <c r="J52" i="11" l="1"/>
  <c r="J69" i="11" s="1"/>
  <c r="Q26" i="9"/>
  <c r="R26" i="9" s="1"/>
  <c r="N102" i="78"/>
  <c r="N103" i="78" l="1"/>
  <c r="N104" i="78" l="1"/>
  <c r="N105" i="78" l="1"/>
  <c r="N106" i="78" l="1"/>
  <c r="N107" i="78" l="1"/>
  <c r="N108" i="78" l="1"/>
  <c r="N110" i="78" l="1"/>
  <c r="N109" i="78"/>
  <c r="N114" i="78" l="1"/>
  <c r="N124" i="78"/>
  <c r="Q124" i="78" l="1"/>
  <c r="S124" i="72" s="1"/>
  <c r="W115" i="72" s="1" a="1"/>
  <c r="N130" i="78"/>
  <c r="N131" i="78" s="1"/>
  <c r="Y115" i="72" l="1"/>
  <c r="Z115" i="72"/>
  <c r="X115" i="72"/>
  <c r="AA115" i="72"/>
  <c r="AB115" i="72"/>
  <c r="W115" i="72"/>
  <c r="AD115" i="72"/>
  <c r="AC115" i="72"/>
  <c r="AE115" i="72"/>
  <c r="E22" i="18"/>
  <c r="E10" i="18" s="1"/>
  <c r="J43" i="11" s="1"/>
  <c r="I43" i="11"/>
  <c r="G9" i="18"/>
  <c r="I57" i="11" s="1"/>
  <c r="J53" i="11" l="1"/>
  <c r="I53" i="11"/>
  <c r="I70" i="11" s="1"/>
  <c r="G10" i="18"/>
  <c r="E59" i="11"/>
  <c r="J57" i="11" l="1"/>
  <c r="J70" i="11" s="1"/>
  <c r="E60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<sst xmlns="http://schemas.openxmlformats.org/spreadsheetml/2006/main" count="519" uniqueCount="153">
  <si>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</si>
  <si>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</si>
  <si>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</si>
  <si>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</si>
  <si>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</si>
  <si>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</si>
  <si>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</si>
  <si>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</si>
  <si>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</si>
  <si>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</si>
  <si>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</si>
  <si>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</si>
  <si>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</si>
  <si>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</si>
  <si>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</si>
  <si>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</si>
  <si>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</si>
  <si>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</si>
  <si>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</si>
  <si>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</si>
  <si>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</si>
  <si>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</si>
  <si>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</si>
  <si>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</si>
  <si>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</si>
  <si>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</si>
  <si>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</si>
  <si>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</si>
  <si>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</si>
  <si>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</si>
  <si>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</si>
  <si>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</si>
  <si>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</si>
  <si>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</si>
  <si>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</si>
  <si>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</si>
  <si>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</si>
  <si>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</si>
  <si>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</si>
  <si>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</si>
  <si>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</si>
  <si>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</si>
  <si>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</si>
  <si>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</si>
  <si>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</si>
  <si>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</si>
  <si>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</si>
  <si>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</si>
  <si>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</si>
  <si>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</si>
  <si>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</si>
  <si>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</si>
  <si>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</si>
  <si>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</si>
  <si>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</si>
  <si>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</si>
  <si>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</si>
  <si>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</si>
  <si>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</si>
  <si>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</si>
  <si>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</si>
  <si>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</si>
  <si>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</si>
  <si>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</si>
  <si>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2020 Actual</t>
  </si>
  <si>
    <t>2021 Actual</t>
  </si>
  <si>
    <t>2022 Actual</t>
  </si>
  <si>
    <t>2023 Bridge</t>
  </si>
  <si>
    <t>2024 Test</t>
  </si>
  <si>
    <t>Date</t>
  </si>
  <si>
    <t>General Service &lt; 50 kW</t>
  </si>
  <si>
    <t xml:space="preserve">Street Lighting 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</si>
  <si>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</si>
  <si>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</si>
  <si>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</si>
  <si>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</si>
  <si>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</si>
  <si>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</si>
  <si>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</si>
  <si>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</si>
  <si>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</si>
  <si>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</si>
  <si>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</si>
  <si>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</si>
  <si>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</si>
  <si>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</si>
  <si>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</si>
  <si>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</si>
  <si>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</si>
  <si>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Geomean Monthly Escalation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</si>
  <si>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</si>
  <si>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</si>
  <si>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</si>
  <si>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</si>
  <si>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</si>
  <si>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</si>
  <si>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</si>
  <si>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</si>
  <si>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</si>
  <si>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</si>
  <si>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</si>
  <si>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</si>
  <si>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</si>
  <si>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</si>
  <si>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</si>
  <si>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Total Customers</t>
  </si>
  <si>
    <t>Weather Normal</t>
  </si>
  <si>
    <t>Embedded Generation</t>
  </si>
  <si>
    <t>General Service 50 to 499 kW</t>
  </si>
  <si>
    <t>General Service 500 to 1499 kW</t>
  </si>
  <si>
    <t>General Service 1500-4999 kW</t>
  </si>
  <si>
    <t>Unmetered Scattered Load</t>
  </si>
  <si>
    <t>Sentinel Lighting</t>
  </si>
  <si>
    <t>Power Purchases</t>
  </si>
  <si>
    <t>Covid Flag</t>
  </si>
  <si>
    <t>Shut Down Adjustment</t>
  </si>
  <si>
    <t>Reduced Load Adjustment</t>
  </si>
  <si>
    <t>Adjusted Power Purchases</t>
  </si>
  <si>
    <t>Residual (kWh)</t>
  </si>
  <si>
    <t xml:space="preserve">% Residual </t>
  </si>
  <si>
    <t>% Residual (Abs)</t>
  </si>
  <si>
    <t>Residual Squared</t>
  </si>
  <si>
    <t>Difference of Residuals</t>
  </si>
  <si>
    <t>Difference of Residuals Squared</t>
  </si>
  <si>
    <t>7-year average</t>
  </si>
  <si>
    <t>2022 Dec</t>
  </si>
  <si>
    <t>Checks - must be zero</t>
  </si>
  <si>
    <t>Customers</t>
  </si>
  <si>
    <t>Summary of Degree Day Information</t>
  </si>
  <si>
    <t>Summary of All Heating Degree Days</t>
  </si>
  <si>
    <t>10 Year Avg</t>
  </si>
  <si>
    <t>Summary of All Cooling Degree Days</t>
  </si>
  <si>
    <t>7 Year Avg</t>
  </si>
  <si>
    <t>Shut Downs</t>
  </si>
  <si>
    <t>Reduced Load</t>
  </si>
  <si>
    <t>Mean Absolute Percentage Error (MAPE)</t>
  </si>
  <si>
    <t>Sum of Squared Difference of Residuals</t>
  </si>
  <si>
    <t>Sum of Squared Residuals</t>
  </si>
  <si>
    <t>Durbin-Watson Calculation</t>
  </si>
  <si>
    <t>Weather Actual</t>
  </si>
  <si>
    <t>Weather Normal Adjustment Factor</t>
  </si>
  <si>
    <t>THI Weather Normal Load Forecast for 2024 Rate Application</t>
  </si>
  <si>
    <t>General Service 50-499 kW _Shut Down</t>
  </si>
  <si>
    <t>Avg. Monthly Growth YTD</t>
  </si>
  <si>
    <t>Average 2024 Customers</t>
  </si>
  <si>
    <t>Lower 95.0%</t>
  </si>
  <si>
    <t>Upper 95.0%</t>
  </si>
  <si>
    <t>8-year average</t>
  </si>
  <si>
    <t>Last 8 years</t>
  </si>
  <si>
    <t>Actual</t>
  </si>
  <si>
    <t>Reduced Consumption Customers</t>
  </si>
  <si>
    <t>Jul - Dec Reduced Consumption</t>
  </si>
  <si>
    <t>Trend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</si>
</sst>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00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34">
    <xf numFmtId="0" fontId="0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5" borderId="1" applyNumberFormat="0" applyProtection="0">
      <alignment horizontal="left" vertical="center"/>
    </xf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8" fillId="0" borderId="0"/>
    <xf numFmtId="17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5" fontId="8" fillId="0" borderId="0"/>
    <xf numFmtId="176" fontId="8" fillId="0" borderId="0"/>
    <xf numFmtId="175" fontId="8" fillId="0" borderId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23" fillId="7" borderId="0" applyNumberFormat="0" applyBorder="0" applyAlignment="0" applyProtection="0"/>
    <xf numFmtId="0" fontId="27" fillId="10" borderId="10" applyNumberFormat="0" applyAlignment="0" applyProtection="0"/>
    <xf numFmtId="0" fontId="29" fillId="11" borderId="13" applyNumberFormat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2" fillId="6" borderId="0" applyNumberFormat="0" applyBorder="0" applyAlignment="0" applyProtection="0"/>
    <xf numFmtId="38" fontId="14" fillId="37" borderId="0" applyNumberFormat="0" applyBorder="0" applyAlignment="0" applyProtection="0"/>
    <xf numFmtId="38" fontId="14" fillId="37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10" fontId="14" fillId="38" borderId="1" applyNumberFormat="0" applyBorder="0" applyAlignment="0" applyProtection="0"/>
    <xf numFmtId="10" fontId="14" fillId="38" borderId="1" applyNumberFormat="0" applyBorder="0" applyAlignment="0" applyProtection="0"/>
    <xf numFmtId="0" fontId="25" fillId="9" borderId="10" applyNumberFormat="0" applyAlignment="0" applyProtection="0"/>
    <xf numFmtId="0" fontId="28" fillId="0" borderId="12" applyNumberFormat="0" applyFill="0" applyAlignment="0" applyProtection="0"/>
    <xf numFmtId="177" fontId="8" fillId="0" borderId="0"/>
    <xf numFmtId="172" fontId="8" fillId="0" borderId="0"/>
    <xf numFmtId="177" fontId="8" fillId="0" borderId="0"/>
    <xf numFmtId="177" fontId="8" fillId="0" borderId="0"/>
    <xf numFmtId="177" fontId="8" fillId="0" borderId="0"/>
    <xf numFmtId="177" fontId="8" fillId="0" borderId="0"/>
    <xf numFmtId="0" fontId="24" fillId="8" borderId="0" applyNumberFormat="0" applyBorder="0" applyAlignment="0" applyProtection="0"/>
    <xf numFmtId="178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12" borderId="14" applyNumberFormat="0" applyFont="0" applyAlignment="0" applyProtection="0"/>
    <xf numFmtId="0" fontId="26" fillId="10" borderId="11" applyNumberFormat="0" applyAlignment="0" applyProtection="0"/>
    <xf numFmtId="10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16">
      <alignment horizontal="center" vertical="center"/>
    </xf>
    <xf numFmtId="0" fontId="18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7" fillId="0" borderId="0"/>
    <xf numFmtId="166" fontId="37" fillId="0" borderId="0" applyFont="0" applyFill="0" applyBorder="0" applyAlignment="0" applyProtection="0"/>
    <xf numFmtId="0" fontId="37" fillId="0" borderId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43" fontId="37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33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5" borderId="1" applyNumberFormat="0" applyProtection="0">
      <alignment horizontal="left" vertical="center"/>
    </xf>
    <xf numFmtId="0" fontId="8" fillId="5" borderId="1" applyNumberFormat="0" applyProtection="0">
      <alignment horizontal="left" vertical="center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7" fillId="0" borderId="0"/>
    <xf numFmtId="166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60" fillId="58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0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8" fillId="0" borderId="0"/>
    <xf numFmtId="0" fontId="20" fillId="0" borderId="8" applyNumberFormat="0" applyFill="0" applyAlignment="0" applyProtection="0"/>
    <xf numFmtId="0" fontId="19" fillId="0" borderId="7" applyNumberFormat="0" applyFill="0" applyAlignment="0" applyProtection="0"/>
    <xf numFmtId="0" fontId="3" fillId="0" borderId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0" applyNumberFormat="0" applyAlignment="0" applyProtection="0"/>
    <xf numFmtId="0" fontId="26" fillId="10" borderId="11" applyNumberFormat="0" applyAlignment="0" applyProtection="0"/>
    <xf numFmtId="0" fontId="27" fillId="10" borderId="10" applyNumberFormat="0" applyAlignment="0" applyProtection="0"/>
    <xf numFmtId="0" fontId="28" fillId="0" borderId="12" applyNumberFormat="0" applyFill="0" applyAlignment="0" applyProtection="0"/>
    <xf numFmtId="0" fontId="29" fillId="11" borderId="13" applyNumberFormat="0" applyAlignment="0" applyProtection="0"/>
    <xf numFmtId="0" fontId="30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1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3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3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70" fillId="58" borderId="24" applyNumberFormat="0" applyAlignment="0" applyProtection="0"/>
    <xf numFmtId="0" fontId="61" fillId="59" borderId="18" applyNumberFormat="0" applyAlignment="0" applyProtection="0"/>
    <xf numFmtId="0" fontId="67" fillId="45" borderId="17" applyNumberFormat="0" applyAlignment="0" applyProtection="0"/>
    <xf numFmtId="0" fontId="8" fillId="61" borderId="23" applyNumberFormat="0" applyFont="0" applyAlignment="0" applyProtection="0"/>
    <xf numFmtId="0" fontId="63" fillId="42" borderId="0" applyNumberFormat="0" applyBorder="0" applyAlignment="0" applyProtection="0"/>
    <xf numFmtId="0" fontId="59" fillId="41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8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8" fillId="57" borderId="0" applyNumberFormat="0" applyBorder="0" applyAlignment="0" applyProtection="0"/>
    <xf numFmtId="0" fontId="58" fillId="51" borderId="0" applyNumberFormat="0" applyBorder="0" applyAlignment="0" applyProtection="0"/>
    <xf numFmtId="43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7" fillId="0" borderId="0"/>
    <xf numFmtId="0" fontId="68" fillId="0" borderId="22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66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0" fontId="67" fillId="45" borderId="17" applyNumberFormat="0" applyAlignment="0" applyProtection="0"/>
    <xf numFmtId="0" fontId="67" fillId="45" borderId="17" applyNumberFormat="0" applyAlignment="0" applyProtection="0"/>
    <xf numFmtId="0" fontId="67" fillId="45" borderId="17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7" fillId="45" borderId="17" applyNumberFormat="0" applyAlignment="0" applyProtection="0"/>
    <xf numFmtId="0" fontId="8" fillId="0" borderId="0"/>
    <xf numFmtId="0" fontId="37" fillId="0" borderId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" fillId="0" borderId="0"/>
    <xf numFmtId="0" fontId="8" fillId="0" borderId="0"/>
    <xf numFmtId="9" fontId="37" fillId="0" borderId="0" applyFont="0" applyFill="0" applyBorder="0" applyAlignment="0" applyProtection="0"/>
    <xf numFmtId="0" fontId="37" fillId="0" borderId="0"/>
    <xf numFmtId="9" fontId="8" fillId="0" borderId="0" applyFont="0" applyFill="0" applyBorder="0" applyAlignment="0" applyProtection="0"/>
    <xf numFmtId="0" fontId="8" fillId="0" borderId="0"/>
    <xf numFmtId="9" fontId="37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3" fillId="0" borderId="0"/>
    <xf numFmtId="44" fontId="3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7" fillId="0" borderId="0"/>
    <xf numFmtId="43" fontId="37" fillId="0" borderId="0" applyFont="0" applyFill="0" applyBorder="0" applyAlignment="0" applyProtection="0"/>
    <xf numFmtId="0" fontId="3" fillId="0" borderId="0"/>
    <xf numFmtId="0" fontId="3" fillId="0" borderId="0"/>
    <xf numFmtId="9" fontId="3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56" fillId="0" borderId="0" applyNumberFormat="0" applyFill="0" applyBorder="0" applyAlignment="0" applyProtection="0"/>
    <xf numFmtId="0" fontId="74" fillId="0" borderId="0"/>
    <xf numFmtId="0" fontId="2" fillId="0" borderId="0"/>
    <xf numFmtId="0" fontId="76" fillId="0" borderId="0"/>
    <xf numFmtId="179" fontId="78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37" fontId="9" fillId="0" borderId="0" xfId="0" applyNumberFormat="1" applyFont="1" applyAlignment="1">
      <alignment horizontal="center"/>
    </xf>
    <xf numFmtId="3" fontId="8" fillId="0" borderId="0" xfId="1" applyNumberFormat="1" applyAlignment="1">
      <alignment horizontal="center"/>
    </xf>
    <xf numFmtId="167" fontId="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1" fillId="0" borderId="0" xfId="0" applyFont="1"/>
    <xf numFmtId="3" fontId="0" fillId="2" borderId="0" xfId="0" applyNumberFormat="1" applyFill="1" applyAlignment="1">
      <alignment horizontal="center"/>
    </xf>
    <xf numFmtId="17" fontId="11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2" fillId="0" borderId="0" xfId="0" applyFont="1"/>
    <xf numFmtId="167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3" fontId="8" fillId="3" borderId="0" xfId="0" applyNumberFormat="1" applyFont="1" applyFill="1" applyAlignment="1">
      <alignment horizontal="center" wrapText="1"/>
    </xf>
    <xf numFmtId="17" fontId="0" fillId="0" borderId="1" xfId="0" applyNumberFormat="1" applyBorder="1" applyAlignment="1">
      <alignment horizontal="left"/>
    </xf>
    <xf numFmtId="37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8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39" borderId="0" xfId="0" applyNumberFormat="1" applyFill="1" applyAlignment="1">
      <alignment horizontal="center"/>
    </xf>
    <xf numFmtId="37" fontId="9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9" fillId="0" borderId="0" xfId="0" applyNumberFormat="1" applyFont="1"/>
    <xf numFmtId="9" fontId="0" fillId="0" borderId="0" xfId="2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736" applyFont="1"/>
    <xf numFmtId="0" fontId="8" fillId="0" borderId="0" xfId="736" applyFont="1" applyAlignment="1">
      <alignment horizontal="center" vertical="center"/>
    </xf>
    <xf numFmtId="0" fontId="8" fillId="0" borderId="0" xfId="736" applyFont="1" applyAlignment="1">
      <alignment vertical="center"/>
    </xf>
    <xf numFmtId="0" fontId="8" fillId="0" borderId="0" xfId="736" applyFont="1" applyAlignment="1">
      <alignment horizontal="center"/>
    </xf>
    <xf numFmtId="0" fontId="8" fillId="0" borderId="0" xfId="1526" applyFont="1"/>
    <xf numFmtId="0" fontId="75" fillId="39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8" fillId="0" borderId="1" xfId="1526" applyFont="1" applyBorder="1" applyAlignment="1">
      <alignment horizontal="center"/>
    </xf>
    <xf numFmtId="0" fontId="8" fillId="0" borderId="30" xfId="1526" applyFont="1" applyBorder="1" applyAlignment="1">
      <alignment horizontal="center"/>
    </xf>
    <xf numFmtId="1" fontId="8" fillId="0" borderId="31" xfId="1526" applyNumberFormat="1" applyFont="1" applyBorder="1" applyAlignment="1">
      <alignment horizontal="center"/>
    </xf>
    <xf numFmtId="0" fontId="8" fillId="0" borderId="32" xfId="1526" applyFont="1" applyBorder="1" applyAlignment="1">
      <alignment horizontal="left"/>
    </xf>
    <xf numFmtId="2" fontId="15" fillId="0" borderId="31" xfId="1526" applyNumberFormat="1" applyFont="1" applyBorder="1" applyAlignment="1">
      <alignment horizontal="center"/>
    </xf>
    <xf numFmtId="0" fontId="8" fillId="0" borderId="30" xfId="1526" applyFont="1" applyBorder="1" applyAlignment="1">
      <alignment horizontal="left"/>
    </xf>
    <xf numFmtId="0" fontId="8" fillId="0" borderId="33" xfId="1526" applyFont="1" applyBorder="1" applyAlignment="1">
      <alignment horizontal="center"/>
    </xf>
    <xf numFmtId="2" fontId="15" fillId="0" borderId="34" xfId="1526" applyNumberFormat="1" applyFont="1" applyBorder="1" applyAlignment="1">
      <alignment horizontal="center"/>
    </xf>
    <xf numFmtId="0" fontId="8" fillId="0" borderId="31" xfId="1526" applyFont="1" applyBorder="1" applyAlignment="1">
      <alignment horizontal="center"/>
    </xf>
    <xf numFmtId="2" fontId="15" fillId="0" borderId="30" xfId="1526" applyNumberFormat="1" applyFont="1" applyBorder="1" applyAlignment="1">
      <alignment horizontal="center"/>
    </xf>
    <xf numFmtId="0" fontId="8" fillId="0" borderId="6" xfId="1526" applyFont="1" applyBorder="1" applyAlignment="1">
      <alignment horizontal="left"/>
    </xf>
    <xf numFmtId="2" fontId="15" fillId="0" borderId="35" xfId="1526" applyNumberFormat="1" applyFont="1" applyBorder="1" applyAlignment="1">
      <alignment horizontal="center"/>
    </xf>
    <xf numFmtId="0" fontId="8" fillId="0" borderId="31" xfId="1526" applyFont="1" applyBorder="1" applyAlignment="1">
      <alignment horizontal="left"/>
    </xf>
    <xf numFmtId="0" fontId="11" fillId="0" borderId="1" xfId="1526" applyFont="1" applyBorder="1" applyAlignment="1">
      <alignment horizontal="center"/>
    </xf>
    <xf numFmtId="17" fontId="8" fillId="0" borderId="1" xfId="1526" applyNumberFormat="1" applyFont="1" applyBorder="1" applyAlignment="1">
      <alignment horizontal="left"/>
    </xf>
    <xf numFmtId="0" fontId="8" fillId="0" borderId="0" xfId="1526" applyFont="1" applyAlignment="1">
      <alignment horizontal="center"/>
    </xf>
    <xf numFmtId="1" fontId="8" fillId="63" borderId="1" xfId="1527" applyNumberFormat="1" applyFont="1" applyFill="1" applyBorder="1" applyAlignment="1">
      <alignment horizontal="center"/>
    </xf>
    <xf numFmtId="17" fontId="8" fillId="0" borderId="0" xfId="1526" applyNumberFormat="1" applyFont="1" applyAlignment="1">
      <alignment horizontal="left"/>
    </xf>
    <xf numFmtId="1" fontId="8" fillId="64" borderId="1" xfId="1527" applyNumberFormat="1" applyFont="1" applyFill="1" applyBorder="1" applyAlignment="1">
      <alignment horizontal="center"/>
    </xf>
    <xf numFmtId="1" fontId="8" fillId="64" borderId="29" xfId="1527" applyNumberFormat="1" applyFont="1" applyFill="1" applyBorder="1" applyAlignment="1">
      <alignment horizontal="center"/>
    </xf>
    <xf numFmtId="1" fontId="8" fillId="0" borderId="0" xfId="1526" applyNumberFormat="1" applyFont="1" applyAlignment="1">
      <alignment horizontal="center"/>
    </xf>
    <xf numFmtId="0" fontId="74" fillId="0" borderId="0" xfId="1524"/>
    <xf numFmtId="0" fontId="40" fillId="0" borderId="0" xfId="1526" applyFont="1" applyAlignment="1">
      <alignment horizontal="center"/>
    </xf>
    <xf numFmtId="1" fontId="40" fillId="0" borderId="0" xfId="1526" applyNumberFormat="1" applyFont="1" applyAlignment="1">
      <alignment horizontal="center"/>
    </xf>
    <xf numFmtId="37" fontId="9" fillId="6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/>
    </xf>
    <xf numFmtId="37" fontId="9" fillId="65" borderId="1" xfId="0" applyNumberFormat="1" applyFont="1" applyFill="1" applyBorder="1" applyAlignment="1">
      <alignment horizontal="center"/>
    </xf>
    <xf numFmtId="0" fontId="8" fillId="65" borderId="0" xfId="0" quotePrefix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65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0" fillId="0" borderId="0" xfId="0" applyFon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12" fontId="9" fillId="0" borderId="1" xfId="0" applyNumberFormat="1" applyFont="1" applyBorder="1" applyAlignment="1">
      <alignment horizontal="center" vertical="center"/>
    </xf>
    <xf numFmtId="12" fontId="9" fillId="62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Continuous"/>
    </xf>
    <xf numFmtId="0" fontId="75" fillId="67" borderId="6" xfId="1524" applyFont="1" applyFill="1" applyBorder="1" applyAlignment="1">
      <alignment horizontal="center" vertical="center" wrapText="1"/>
    </xf>
    <xf numFmtId="1" fontId="8" fillId="62" borderId="1" xfId="736" applyNumberFormat="1" applyFont="1" applyFill="1" applyBorder="1" applyAlignment="1">
      <alignment horizontal="center"/>
    </xf>
    <xf numFmtId="1" fontId="8" fillId="62" borderId="1" xfId="736" applyNumberFormat="1" applyFont="1" applyFill="1" applyBorder="1" applyAlignment="1">
      <alignment horizontal="center" wrapText="1"/>
    </xf>
    <xf numFmtId="0" fontId="11" fillId="68" borderId="1" xfId="736" applyFont="1" applyFill="1" applyBorder="1" applyAlignment="1">
      <alignment horizontal="center"/>
    </xf>
    <xf numFmtId="0" fontId="75" fillId="39" borderId="6" xfId="1524" applyFont="1" applyFill="1" applyBorder="1" applyAlignment="1">
      <alignment horizontal="center" vertical="center" wrapText="1"/>
    </xf>
    <xf numFmtId="0" fontId="75" fillId="67" borderId="30" xfId="1524" applyFont="1" applyFill="1" applyBorder="1" applyAlignment="1">
      <alignment horizontal="center" vertical="center" wrapText="1"/>
    </xf>
    <xf numFmtId="1" fontId="75" fillId="67" borderId="31" xfId="1524" applyNumberFormat="1" applyFont="1" applyFill="1" applyBorder="1" applyAlignment="1">
      <alignment horizontal="center" vertical="center" wrapText="1"/>
    </xf>
    <xf numFmtId="0" fontId="75" fillId="67" borderId="26" xfId="1524" applyFont="1" applyFill="1" applyBorder="1" applyAlignment="1">
      <alignment horizontal="center" vertical="center" wrapText="1"/>
    </xf>
    <xf numFmtId="1" fontId="75" fillId="67" borderId="27" xfId="1524" applyNumberFormat="1" applyFont="1" applyFill="1" applyBorder="1" applyAlignment="1">
      <alignment horizontal="center" vertical="center" wrapText="1"/>
    </xf>
    <xf numFmtId="0" fontId="75" fillId="67" borderId="28" xfId="1524" applyFont="1" applyFill="1" applyBorder="1" applyAlignment="1">
      <alignment horizontal="center" vertical="center" wrapText="1"/>
    </xf>
    <xf numFmtId="0" fontId="75" fillId="67" borderId="27" xfId="1524" applyFont="1" applyFill="1" applyBorder="1" applyAlignment="1">
      <alignment horizontal="center" vertical="center" wrapText="1"/>
    </xf>
    <xf numFmtId="0" fontId="75" fillId="67" borderId="29" xfId="1524" applyFont="1" applyFill="1" applyBorder="1" applyAlignment="1">
      <alignment horizontal="center" vertical="center" wrapText="1"/>
    </xf>
    <xf numFmtId="168" fontId="8" fillId="63" borderId="36" xfId="1" applyNumberFormat="1" applyFont="1" applyFill="1" applyBorder="1" applyAlignment="1">
      <alignment horizontal="center"/>
    </xf>
    <xf numFmtId="168" fontId="8" fillId="64" borderId="36" xfId="1" applyNumberFormat="1" applyFont="1" applyFill="1" applyBorder="1" applyAlignment="1">
      <alignment horizontal="center"/>
    </xf>
    <xf numFmtId="168" fontId="8" fillId="0" borderId="0" xfId="1526" applyNumberFormat="1" applyFont="1" applyAlignment="1">
      <alignment horizontal="center"/>
    </xf>
    <xf numFmtId="168" fontId="0" fillId="0" borderId="0" xfId="0" applyNumberFormat="1"/>
    <xf numFmtId="0" fontId="10" fillId="0" borderId="4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10" fontId="0" fillId="0" borderId="0" xfId="2" applyNumberFormat="1" applyFont="1" applyFill="1" applyBorder="1" applyAlignment="1"/>
    <xf numFmtId="172" fontId="0" fillId="0" borderId="0" xfId="1" applyNumberFormat="1" applyFont="1" applyFill="1" applyBorder="1" applyAlignment="1"/>
    <xf numFmtId="166" fontId="0" fillId="0" borderId="0" xfId="1" applyFont="1" applyFill="1" applyBorder="1" applyAlignment="1"/>
    <xf numFmtId="166" fontId="0" fillId="0" borderId="2" xfId="1" applyFont="1" applyFill="1" applyBorder="1" applyAlignment="1"/>
    <xf numFmtId="172" fontId="0" fillId="0" borderId="2" xfId="1" applyNumberFormat="1" applyFont="1" applyFill="1" applyBorder="1" applyAlignment="1"/>
    <xf numFmtId="168" fontId="8" fillId="0" borderId="0" xfId="1526" applyNumberFormat="1" applyFont="1"/>
    <xf numFmtId="168" fontId="8" fillId="0" borderId="0" xfId="736" applyNumberFormat="1" applyFont="1" applyAlignment="1">
      <alignment horizontal="center"/>
    </xf>
    <xf numFmtId="3" fontId="8" fillId="3" borderId="0" xfId="0" applyNumberFormat="1" applyFont="1" applyFill="1" applyAlignment="1">
      <alignment horizontal="center"/>
    </xf>
    <xf numFmtId="37" fontId="0" fillId="0" borderId="0" xfId="0" applyNumberFormat="1"/>
    <xf numFmtId="3" fontId="8" fillId="0" borderId="41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right"/>
    </xf>
    <xf numFmtId="0" fontId="82" fillId="0" borderId="0" xfId="0" applyFont="1"/>
    <xf numFmtId="0" fontId="83" fillId="0" borderId="0" xfId="0" applyFont="1"/>
    <xf numFmtId="0" fontId="14" fillId="0" borderId="0" xfId="0" applyFont="1"/>
    <xf numFmtId="0" fontId="75" fillId="0" borderId="35" xfId="0" applyFont="1" applyBorder="1" applyAlignment="1">
      <alignment horizontal="right"/>
    </xf>
    <xf numFmtId="0" fontId="75" fillId="2" borderId="0" xfId="0" applyFont="1" applyFill="1"/>
    <xf numFmtId="0" fontId="14" fillId="0" borderId="0" xfId="0" applyFont="1" applyAlignment="1">
      <alignment horizontal="right"/>
    </xf>
    <xf numFmtId="166" fontId="14" fillId="0" borderId="0" xfId="0" applyNumberFormat="1" applyFont="1" applyAlignment="1">
      <alignment horizontal="right"/>
    </xf>
    <xf numFmtId="2" fontId="14" fillId="2" borderId="0" xfId="0" applyNumberFormat="1" applyFont="1" applyFill="1"/>
    <xf numFmtId="0" fontId="0" fillId="2" borderId="0" xfId="0" applyFill="1"/>
    <xf numFmtId="167" fontId="0" fillId="0" borderId="0" xfId="0" applyNumberFormat="1"/>
    <xf numFmtId="169" fontId="0" fillId="0" borderId="0" xfId="0" applyNumberFormat="1"/>
    <xf numFmtId="174" fontId="0" fillId="0" borderId="0" xfId="0" applyNumberFormat="1" applyAlignment="1">
      <alignment horizontal="center"/>
    </xf>
    <xf numFmtId="180" fontId="0" fillId="0" borderId="0" xfId="0" applyNumberFormat="1"/>
    <xf numFmtId="3" fontId="0" fillId="4" borderId="1" xfId="0" applyNumberFormat="1" applyFill="1" applyBorder="1" applyAlignment="1">
      <alignment horizontal="center"/>
    </xf>
    <xf numFmtId="17" fontId="0" fillId="0" borderId="0" xfId="0" applyNumberFormat="1" applyAlignment="1">
      <alignment horizontal="right"/>
    </xf>
    <xf numFmtId="0" fontId="0" fillId="39" borderId="0" xfId="0" applyFill="1"/>
    <xf numFmtId="37" fontId="8" fillId="4" borderId="1" xfId="0" applyNumberFormat="1" applyFont="1" applyFill="1" applyBorder="1" applyAlignment="1">
      <alignment horizontal="center"/>
    </xf>
    <xf numFmtId="0" fontId="75" fillId="67" borderId="38" xfId="1524" applyFont="1" applyFill="1" applyBorder="1" applyAlignment="1">
      <alignment horizontal="center" vertical="center" wrapText="1"/>
    </xf>
    <xf numFmtId="0" fontId="75" fillId="67" borderId="35" xfId="1524" applyFont="1" applyFill="1" applyBorder="1" applyAlignment="1">
      <alignment horizontal="center" vertical="center" wrapText="1"/>
    </xf>
    <xf numFmtId="0" fontId="75" fillId="67" borderId="37" xfId="1524" applyFont="1" applyFill="1" applyBorder="1" applyAlignment="1">
      <alignment horizontal="center" vertical="center" wrapText="1"/>
    </xf>
    <xf numFmtId="0" fontId="81" fillId="66" borderId="39" xfId="1524" applyFont="1" applyFill="1" applyBorder="1" applyAlignment="1">
      <alignment horizontal="center" vertical="center"/>
    </xf>
    <xf numFmtId="0" fontId="81" fillId="66" borderId="0" xfId="1524" applyFont="1" applyFill="1" applyAlignment="1">
      <alignment horizontal="center" vertical="center"/>
    </xf>
    <xf numFmtId="0" fontId="81" fillId="66" borderId="40" xfId="1524" applyFont="1" applyFill="1" applyBorder="1" applyAlignment="1">
      <alignment horizontal="center" vertical="center" wrapText="1"/>
    </xf>
    <xf numFmtId="0" fontId="81" fillId="66" borderId="4" xfId="1524" applyFont="1" applyFill="1" applyBorder="1" applyAlignment="1">
      <alignment horizontal="center" vertical="center" wrapText="1"/>
    </xf>
    <xf numFmtId="0" fontId="81" fillId="66" borderId="5" xfId="1524" applyFont="1" applyFill="1" applyBorder="1" applyAlignment="1">
      <alignment horizontal="center" vertical="center" wrapText="1"/>
    </xf>
    <xf numFmtId="0" fontId="81" fillId="66" borderId="1" xfId="152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8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534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00000000-0005-0000-0000-000009000000}"/>
    <cellStyle name="20% - Accent1 11" xfId="105" xr:uid="{00000000-0005-0000-0000-00000A000000}"/>
    <cellStyle name="20% - Accent1 12" xfId="106" xr:uid="{00000000-0005-0000-0000-00000B000000}"/>
    <cellStyle name="20% - Accent1 13" xfId="107" xr:uid="{00000000-0005-0000-0000-00000C000000}"/>
    <cellStyle name="20% - Accent1 14" xfId="108" xr:uid="{00000000-0005-0000-0000-00000D000000}"/>
    <cellStyle name="20% - Accent1 15" xfId="109" xr:uid="{00000000-0005-0000-0000-00000E000000}"/>
    <cellStyle name="20% - Accent1 16" xfId="769" xr:uid="{00000000-0005-0000-0000-00000F000000}"/>
    <cellStyle name="20% - Accent1 2" xfId="23" xr:uid="{00000000-0005-0000-0000-000010000000}"/>
    <cellStyle name="20% - Accent1 2 2" xfId="815" xr:uid="{00000000-0005-0000-0000-000011000000}"/>
    <cellStyle name="20% - Accent1 2 3" xfId="110" xr:uid="{00000000-0005-0000-0000-000012000000}"/>
    <cellStyle name="20% - Accent1 3" xfId="111" xr:uid="{00000000-0005-0000-0000-000013000000}"/>
    <cellStyle name="20% - Accent1 4" xfId="112" xr:uid="{00000000-0005-0000-0000-000014000000}"/>
    <cellStyle name="20% - Accent1 5" xfId="113" xr:uid="{00000000-0005-0000-0000-000015000000}"/>
    <cellStyle name="20% - Accent1 6" xfId="114" xr:uid="{00000000-0005-0000-0000-000016000000}"/>
    <cellStyle name="20% - Accent1 7" xfId="115" xr:uid="{00000000-0005-0000-0000-000017000000}"/>
    <cellStyle name="20% - Accent1 8" xfId="116" xr:uid="{00000000-0005-0000-0000-000018000000}"/>
    <cellStyle name="20% - Accent1 9" xfId="117" xr:uid="{00000000-0005-0000-0000-000019000000}"/>
    <cellStyle name="20% - Accent2 10" xfId="118" xr:uid="{00000000-0005-0000-0000-00001A000000}"/>
    <cellStyle name="20% - Accent2 11" xfId="119" xr:uid="{00000000-0005-0000-0000-00001B000000}"/>
    <cellStyle name="20% - Accent2 12" xfId="120" xr:uid="{00000000-0005-0000-0000-00001C000000}"/>
    <cellStyle name="20% - Accent2 13" xfId="121" xr:uid="{00000000-0005-0000-0000-00001D000000}"/>
    <cellStyle name="20% - Accent2 14" xfId="122" xr:uid="{00000000-0005-0000-0000-00001E000000}"/>
    <cellStyle name="20% - Accent2 15" xfId="123" xr:uid="{00000000-0005-0000-0000-00001F000000}"/>
    <cellStyle name="20% - Accent2 16" xfId="770" xr:uid="{00000000-0005-0000-0000-000020000000}"/>
    <cellStyle name="20% - Accent2 2" xfId="24" xr:uid="{00000000-0005-0000-0000-000021000000}"/>
    <cellStyle name="20% - Accent2 2 2" xfId="819" xr:uid="{00000000-0005-0000-0000-000022000000}"/>
    <cellStyle name="20% - Accent2 2 3" xfId="124" xr:uid="{00000000-0005-0000-0000-000023000000}"/>
    <cellStyle name="20% - Accent2 3" xfId="125" xr:uid="{00000000-0005-0000-0000-000024000000}"/>
    <cellStyle name="20% - Accent2 4" xfId="126" xr:uid="{00000000-0005-0000-0000-000025000000}"/>
    <cellStyle name="20% - Accent2 5" xfId="127" xr:uid="{00000000-0005-0000-0000-000026000000}"/>
    <cellStyle name="20% - Accent2 6" xfId="128" xr:uid="{00000000-0005-0000-0000-000027000000}"/>
    <cellStyle name="20% - Accent2 7" xfId="129" xr:uid="{00000000-0005-0000-0000-000028000000}"/>
    <cellStyle name="20% - Accent2 8" xfId="130" xr:uid="{00000000-0005-0000-0000-000029000000}"/>
    <cellStyle name="20% - Accent2 9" xfId="131" xr:uid="{00000000-0005-0000-0000-00002A000000}"/>
    <cellStyle name="20% - Accent3 10" xfId="132" xr:uid="{00000000-0005-0000-0000-00002B000000}"/>
    <cellStyle name="20% - Accent3 11" xfId="133" xr:uid="{00000000-0005-0000-0000-00002C000000}"/>
    <cellStyle name="20% - Accent3 12" xfId="134" xr:uid="{00000000-0005-0000-0000-00002D000000}"/>
    <cellStyle name="20% - Accent3 13" xfId="135" xr:uid="{00000000-0005-0000-0000-00002E000000}"/>
    <cellStyle name="20% - Accent3 14" xfId="136" xr:uid="{00000000-0005-0000-0000-00002F000000}"/>
    <cellStyle name="20% - Accent3 15" xfId="137" xr:uid="{00000000-0005-0000-0000-000030000000}"/>
    <cellStyle name="20% - Accent3 16" xfId="771" xr:uid="{00000000-0005-0000-0000-000031000000}"/>
    <cellStyle name="20% - Accent3 2" xfId="25" xr:uid="{00000000-0005-0000-0000-000032000000}"/>
    <cellStyle name="20% - Accent3 2 2" xfId="823" xr:uid="{00000000-0005-0000-0000-000033000000}"/>
    <cellStyle name="20% - Accent3 2 3" xfId="138" xr:uid="{00000000-0005-0000-0000-000034000000}"/>
    <cellStyle name="20% - Accent3 3" xfId="139" xr:uid="{00000000-0005-0000-0000-000035000000}"/>
    <cellStyle name="20% - Accent3 4" xfId="140" xr:uid="{00000000-0005-0000-0000-000036000000}"/>
    <cellStyle name="20% - Accent3 5" xfId="141" xr:uid="{00000000-0005-0000-0000-000037000000}"/>
    <cellStyle name="20% - Accent3 6" xfId="142" xr:uid="{00000000-0005-0000-0000-000038000000}"/>
    <cellStyle name="20% - Accent3 7" xfId="143" xr:uid="{00000000-0005-0000-0000-000039000000}"/>
    <cellStyle name="20% - Accent3 8" xfId="144" xr:uid="{00000000-0005-0000-0000-00003A000000}"/>
    <cellStyle name="20% - Accent3 9" xfId="145" xr:uid="{00000000-0005-0000-0000-00003B000000}"/>
    <cellStyle name="20% - Accent4 10" xfId="146" xr:uid="{00000000-0005-0000-0000-00003C000000}"/>
    <cellStyle name="20% - Accent4 11" xfId="147" xr:uid="{00000000-0005-0000-0000-00003D000000}"/>
    <cellStyle name="20% - Accent4 12" xfId="148" xr:uid="{00000000-0005-0000-0000-00003E000000}"/>
    <cellStyle name="20% - Accent4 13" xfId="149" xr:uid="{00000000-0005-0000-0000-00003F000000}"/>
    <cellStyle name="20% - Accent4 14" xfId="150" xr:uid="{00000000-0005-0000-0000-000040000000}"/>
    <cellStyle name="20% - Accent4 15" xfId="151" xr:uid="{00000000-0005-0000-0000-000041000000}"/>
    <cellStyle name="20% - Accent4 16" xfId="772" xr:uid="{00000000-0005-0000-0000-000042000000}"/>
    <cellStyle name="20% - Accent4 2" xfId="26" xr:uid="{00000000-0005-0000-0000-000043000000}"/>
    <cellStyle name="20% - Accent4 2 2" xfId="827" xr:uid="{00000000-0005-0000-0000-000044000000}"/>
    <cellStyle name="20% - Accent4 2 3" xfId="152" xr:uid="{00000000-0005-0000-0000-000045000000}"/>
    <cellStyle name="20% - Accent4 3" xfId="153" xr:uid="{00000000-0005-0000-0000-000046000000}"/>
    <cellStyle name="20% - Accent4 4" xfId="154" xr:uid="{00000000-0005-0000-0000-000047000000}"/>
    <cellStyle name="20% - Accent4 5" xfId="155" xr:uid="{00000000-0005-0000-0000-000048000000}"/>
    <cellStyle name="20% - Accent4 6" xfId="156" xr:uid="{00000000-0005-0000-0000-000049000000}"/>
    <cellStyle name="20% - Accent4 7" xfId="157" xr:uid="{00000000-0005-0000-0000-00004A000000}"/>
    <cellStyle name="20% - Accent4 8" xfId="158" xr:uid="{00000000-0005-0000-0000-00004B000000}"/>
    <cellStyle name="20% - Accent4 9" xfId="159" xr:uid="{00000000-0005-0000-0000-00004C000000}"/>
    <cellStyle name="20% - Accent5 10" xfId="160" xr:uid="{00000000-0005-0000-0000-00004D000000}"/>
    <cellStyle name="20% - Accent5 11" xfId="161" xr:uid="{00000000-0005-0000-0000-00004E000000}"/>
    <cellStyle name="20% - Accent5 12" xfId="162" xr:uid="{00000000-0005-0000-0000-00004F000000}"/>
    <cellStyle name="20% - Accent5 13" xfId="163" xr:uid="{00000000-0005-0000-0000-000050000000}"/>
    <cellStyle name="20% - Accent5 14" xfId="164" xr:uid="{00000000-0005-0000-0000-000051000000}"/>
    <cellStyle name="20% - Accent5 15" xfId="165" xr:uid="{00000000-0005-0000-0000-000052000000}"/>
    <cellStyle name="20% - Accent5 16" xfId="773" xr:uid="{00000000-0005-0000-0000-000053000000}"/>
    <cellStyle name="20% - Accent5 2" xfId="27" xr:uid="{00000000-0005-0000-0000-000054000000}"/>
    <cellStyle name="20% - Accent5 2 2" xfId="831" xr:uid="{00000000-0005-0000-0000-000055000000}"/>
    <cellStyle name="20% - Accent5 2 3" xfId="166" xr:uid="{00000000-0005-0000-0000-000056000000}"/>
    <cellStyle name="20% - Accent5 3" xfId="167" xr:uid="{00000000-0005-0000-0000-000057000000}"/>
    <cellStyle name="20% - Accent5 4" xfId="168" xr:uid="{00000000-0005-0000-0000-000058000000}"/>
    <cellStyle name="20% - Accent5 5" xfId="169" xr:uid="{00000000-0005-0000-0000-000059000000}"/>
    <cellStyle name="20% - Accent5 6" xfId="170" xr:uid="{00000000-0005-0000-0000-00005A000000}"/>
    <cellStyle name="20% - Accent5 7" xfId="171" xr:uid="{00000000-0005-0000-0000-00005B000000}"/>
    <cellStyle name="20% - Accent5 8" xfId="172" xr:uid="{00000000-0005-0000-0000-00005C000000}"/>
    <cellStyle name="20% - Accent5 9" xfId="173" xr:uid="{00000000-0005-0000-0000-00005D000000}"/>
    <cellStyle name="20% - Accent6 10" xfId="174" xr:uid="{00000000-0005-0000-0000-00005E000000}"/>
    <cellStyle name="20% - Accent6 11" xfId="175" xr:uid="{00000000-0005-0000-0000-00005F000000}"/>
    <cellStyle name="20% - Accent6 12" xfId="176" xr:uid="{00000000-0005-0000-0000-000060000000}"/>
    <cellStyle name="20% - Accent6 13" xfId="177" xr:uid="{00000000-0005-0000-0000-000061000000}"/>
    <cellStyle name="20% - Accent6 14" xfId="178" xr:uid="{00000000-0005-0000-0000-000062000000}"/>
    <cellStyle name="20% - Accent6 15" xfId="179" xr:uid="{00000000-0005-0000-0000-000063000000}"/>
    <cellStyle name="20% - Accent6 16" xfId="774" xr:uid="{00000000-0005-0000-0000-000064000000}"/>
    <cellStyle name="20% - Accent6 2" xfId="28" xr:uid="{00000000-0005-0000-0000-000065000000}"/>
    <cellStyle name="20% - Accent6 2 2" xfId="835" xr:uid="{00000000-0005-0000-0000-000066000000}"/>
    <cellStyle name="20% - Accent6 2 3" xfId="180" xr:uid="{00000000-0005-0000-0000-000067000000}"/>
    <cellStyle name="20% - Accent6 3" xfId="181" xr:uid="{00000000-0005-0000-0000-000068000000}"/>
    <cellStyle name="20% - Accent6 4" xfId="182" xr:uid="{00000000-0005-0000-0000-000069000000}"/>
    <cellStyle name="20% - Accent6 5" xfId="183" xr:uid="{00000000-0005-0000-0000-00006A000000}"/>
    <cellStyle name="20% - Accent6 6" xfId="184" xr:uid="{00000000-0005-0000-0000-00006B000000}"/>
    <cellStyle name="20% - Accent6 7" xfId="185" xr:uid="{00000000-0005-0000-0000-00006C000000}"/>
    <cellStyle name="20% - Accent6 8" xfId="186" xr:uid="{00000000-0005-0000-0000-00006D000000}"/>
    <cellStyle name="20% - Accent6 9" xfId="187" xr:uid="{00000000-0005-0000-0000-00006E000000}"/>
    <cellStyle name="40% - Accent1 10" xfId="188" xr:uid="{00000000-0005-0000-0000-00006F000000}"/>
    <cellStyle name="40% - Accent1 11" xfId="189" xr:uid="{00000000-0005-0000-0000-000070000000}"/>
    <cellStyle name="40% - Accent1 12" xfId="190" xr:uid="{00000000-0005-0000-0000-000071000000}"/>
    <cellStyle name="40% - Accent1 13" xfId="191" xr:uid="{00000000-0005-0000-0000-000072000000}"/>
    <cellStyle name="40% - Accent1 14" xfId="192" xr:uid="{00000000-0005-0000-0000-000073000000}"/>
    <cellStyle name="40% - Accent1 15" xfId="193" xr:uid="{00000000-0005-0000-0000-000074000000}"/>
    <cellStyle name="40% - Accent1 16" xfId="775" xr:uid="{00000000-0005-0000-0000-000075000000}"/>
    <cellStyle name="40% - Accent1 2" xfId="29" xr:uid="{00000000-0005-0000-0000-000076000000}"/>
    <cellStyle name="40% - Accent1 2 2" xfId="816" xr:uid="{00000000-0005-0000-0000-000077000000}"/>
    <cellStyle name="40% - Accent1 2 3" xfId="194" xr:uid="{00000000-0005-0000-0000-000078000000}"/>
    <cellStyle name="40% - Accent1 3" xfId="195" xr:uid="{00000000-0005-0000-0000-000079000000}"/>
    <cellStyle name="40% - Accent1 4" xfId="196" xr:uid="{00000000-0005-0000-0000-00007A000000}"/>
    <cellStyle name="40% - Accent1 5" xfId="197" xr:uid="{00000000-0005-0000-0000-00007B000000}"/>
    <cellStyle name="40% - Accent1 6" xfId="198" xr:uid="{00000000-0005-0000-0000-00007C000000}"/>
    <cellStyle name="40% - Accent1 7" xfId="199" xr:uid="{00000000-0005-0000-0000-00007D000000}"/>
    <cellStyle name="40% - Accent1 8" xfId="200" xr:uid="{00000000-0005-0000-0000-00007E000000}"/>
    <cellStyle name="40% - Accent1 9" xfId="201" xr:uid="{00000000-0005-0000-0000-00007F000000}"/>
    <cellStyle name="40% - Accent2 10" xfId="202" xr:uid="{00000000-0005-0000-0000-000080000000}"/>
    <cellStyle name="40% - Accent2 11" xfId="203" xr:uid="{00000000-0005-0000-0000-000081000000}"/>
    <cellStyle name="40% - Accent2 12" xfId="204" xr:uid="{00000000-0005-0000-0000-000082000000}"/>
    <cellStyle name="40% - Accent2 13" xfId="205" xr:uid="{00000000-0005-0000-0000-000083000000}"/>
    <cellStyle name="40% - Accent2 14" xfId="206" xr:uid="{00000000-0005-0000-0000-000084000000}"/>
    <cellStyle name="40% - Accent2 15" xfId="207" xr:uid="{00000000-0005-0000-0000-000085000000}"/>
    <cellStyle name="40% - Accent2 16" xfId="776" xr:uid="{00000000-0005-0000-0000-000086000000}"/>
    <cellStyle name="40% - Accent2 2" xfId="30" xr:uid="{00000000-0005-0000-0000-000087000000}"/>
    <cellStyle name="40% - Accent2 2 2" xfId="820" xr:uid="{00000000-0005-0000-0000-000088000000}"/>
    <cellStyle name="40% - Accent2 2 3" xfId="208" xr:uid="{00000000-0005-0000-0000-000089000000}"/>
    <cellStyle name="40% - Accent2 3" xfId="209" xr:uid="{00000000-0005-0000-0000-00008A000000}"/>
    <cellStyle name="40% - Accent2 4" xfId="210" xr:uid="{00000000-0005-0000-0000-00008B000000}"/>
    <cellStyle name="40% - Accent2 5" xfId="211" xr:uid="{00000000-0005-0000-0000-00008C000000}"/>
    <cellStyle name="40% - Accent2 6" xfId="212" xr:uid="{00000000-0005-0000-0000-00008D000000}"/>
    <cellStyle name="40% - Accent2 7" xfId="213" xr:uid="{00000000-0005-0000-0000-00008E000000}"/>
    <cellStyle name="40% - Accent2 8" xfId="214" xr:uid="{00000000-0005-0000-0000-00008F000000}"/>
    <cellStyle name="40% - Accent2 9" xfId="215" xr:uid="{00000000-0005-0000-0000-000090000000}"/>
    <cellStyle name="40% - Accent3 10" xfId="216" xr:uid="{00000000-0005-0000-0000-000091000000}"/>
    <cellStyle name="40% - Accent3 11" xfId="217" xr:uid="{00000000-0005-0000-0000-000092000000}"/>
    <cellStyle name="40% - Accent3 12" xfId="218" xr:uid="{00000000-0005-0000-0000-000093000000}"/>
    <cellStyle name="40% - Accent3 13" xfId="219" xr:uid="{00000000-0005-0000-0000-000094000000}"/>
    <cellStyle name="40% - Accent3 14" xfId="220" xr:uid="{00000000-0005-0000-0000-000095000000}"/>
    <cellStyle name="40% - Accent3 15" xfId="221" xr:uid="{00000000-0005-0000-0000-000096000000}"/>
    <cellStyle name="40% - Accent3 16" xfId="777" xr:uid="{00000000-0005-0000-0000-000097000000}"/>
    <cellStyle name="40% - Accent3 2" xfId="31" xr:uid="{00000000-0005-0000-0000-000098000000}"/>
    <cellStyle name="40% - Accent3 2 2" xfId="824" xr:uid="{00000000-0005-0000-0000-000099000000}"/>
    <cellStyle name="40% - Accent3 2 3" xfId="222" xr:uid="{00000000-0005-0000-0000-00009A000000}"/>
    <cellStyle name="40% - Accent3 3" xfId="223" xr:uid="{00000000-0005-0000-0000-00009B000000}"/>
    <cellStyle name="40% - Accent3 4" xfId="224" xr:uid="{00000000-0005-0000-0000-00009C000000}"/>
    <cellStyle name="40% - Accent3 5" xfId="225" xr:uid="{00000000-0005-0000-0000-00009D000000}"/>
    <cellStyle name="40% - Accent3 6" xfId="226" xr:uid="{00000000-0005-0000-0000-00009E000000}"/>
    <cellStyle name="40% - Accent3 7" xfId="227" xr:uid="{00000000-0005-0000-0000-00009F000000}"/>
    <cellStyle name="40% - Accent3 8" xfId="228" xr:uid="{00000000-0005-0000-0000-0000A0000000}"/>
    <cellStyle name="40% - Accent3 9" xfId="229" xr:uid="{00000000-0005-0000-0000-0000A1000000}"/>
    <cellStyle name="40% - Accent4 10" xfId="230" xr:uid="{00000000-0005-0000-0000-0000A2000000}"/>
    <cellStyle name="40% - Accent4 11" xfId="231" xr:uid="{00000000-0005-0000-0000-0000A3000000}"/>
    <cellStyle name="40% - Accent4 12" xfId="232" xr:uid="{00000000-0005-0000-0000-0000A4000000}"/>
    <cellStyle name="40% - Accent4 13" xfId="233" xr:uid="{00000000-0005-0000-0000-0000A5000000}"/>
    <cellStyle name="40% - Accent4 14" xfId="234" xr:uid="{00000000-0005-0000-0000-0000A6000000}"/>
    <cellStyle name="40% - Accent4 15" xfId="235" xr:uid="{00000000-0005-0000-0000-0000A7000000}"/>
    <cellStyle name="40% - Accent4 16" xfId="778" xr:uid="{00000000-0005-0000-0000-0000A8000000}"/>
    <cellStyle name="40% - Accent4 2" xfId="32" xr:uid="{00000000-0005-0000-0000-0000A9000000}"/>
    <cellStyle name="40% - Accent4 2 2" xfId="828" xr:uid="{00000000-0005-0000-0000-0000AA000000}"/>
    <cellStyle name="40% - Accent4 2 3" xfId="236" xr:uid="{00000000-0005-0000-0000-0000AB000000}"/>
    <cellStyle name="40% - Accent4 3" xfId="237" xr:uid="{00000000-0005-0000-0000-0000AC000000}"/>
    <cellStyle name="40% - Accent4 4" xfId="238" xr:uid="{00000000-0005-0000-0000-0000AD000000}"/>
    <cellStyle name="40% - Accent4 5" xfId="239" xr:uid="{00000000-0005-0000-0000-0000AE000000}"/>
    <cellStyle name="40% - Accent4 6" xfId="240" xr:uid="{00000000-0005-0000-0000-0000AF000000}"/>
    <cellStyle name="40% - Accent4 7" xfId="241" xr:uid="{00000000-0005-0000-0000-0000B0000000}"/>
    <cellStyle name="40% - Accent4 8" xfId="242" xr:uid="{00000000-0005-0000-0000-0000B1000000}"/>
    <cellStyle name="40% - Accent4 9" xfId="243" xr:uid="{00000000-0005-0000-0000-0000B2000000}"/>
    <cellStyle name="40% - Accent5 10" xfId="244" xr:uid="{00000000-0005-0000-0000-0000B3000000}"/>
    <cellStyle name="40% - Accent5 11" xfId="245" xr:uid="{00000000-0005-0000-0000-0000B4000000}"/>
    <cellStyle name="40% - Accent5 12" xfId="246" xr:uid="{00000000-0005-0000-0000-0000B5000000}"/>
    <cellStyle name="40% - Accent5 13" xfId="247" xr:uid="{00000000-0005-0000-0000-0000B6000000}"/>
    <cellStyle name="40% - Accent5 14" xfId="248" xr:uid="{00000000-0005-0000-0000-0000B7000000}"/>
    <cellStyle name="40% - Accent5 15" xfId="249" xr:uid="{00000000-0005-0000-0000-0000B8000000}"/>
    <cellStyle name="40% - Accent5 16" xfId="779" xr:uid="{00000000-0005-0000-0000-0000B9000000}"/>
    <cellStyle name="40% - Accent5 2" xfId="33" xr:uid="{00000000-0005-0000-0000-0000BA000000}"/>
    <cellStyle name="40% - Accent5 2 2" xfId="832" xr:uid="{00000000-0005-0000-0000-0000BB000000}"/>
    <cellStyle name="40% - Accent5 2 3" xfId="250" xr:uid="{00000000-0005-0000-0000-0000BC000000}"/>
    <cellStyle name="40% - Accent5 3" xfId="251" xr:uid="{00000000-0005-0000-0000-0000BD000000}"/>
    <cellStyle name="40% - Accent5 4" xfId="252" xr:uid="{00000000-0005-0000-0000-0000BE000000}"/>
    <cellStyle name="40% - Accent5 5" xfId="253" xr:uid="{00000000-0005-0000-0000-0000BF000000}"/>
    <cellStyle name="40% - Accent5 6" xfId="254" xr:uid="{00000000-0005-0000-0000-0000C0000000}"/>
    <cellStyle name="40% - Accent5 7" xfId="255" xr:uid="{00000000-0005-0000-0000-0000C1000000}"/>
    <cellStyle name="40% - Accent5 8" xfId="256" xr:uid="{00000000-0005-0000-0000-0000C2000000}"/>
    <cellStyle name="40% - Accent5 9" xfId="257" xr:uid="{00000000-0005-0000-0000-0000C3000000}"/>
    <cellStyle name="40% - Accent6 10" xfId="258" xr:uid="{00000000-0005-0000-0000-0000C4000000}"/>
    <cellStyle name="40% - Accent6 11" xfId="259" xr:uid="{00000000-0005-0000-0000-0000C5000000}"/>
    <cellStyle name="40% - Accent6 12" xfId="260" xr:uid="{00000000-0005-0000-0000-0000C6000000}"/>
    <cellStyle name="40% - Accent6 13" xfId="261" xr:uid="{00000000-0005-0000-0000-0000C7000000}"/>
    <cellStyle name="40% - Accent6 14" xfId="262" xr:uid="{00000000-0005-0000-0000-0000C8000000}"/>
    <cellStyle name="40% - Accent6 15" xfId="263" xr:uid="{00000000-0005-0000-0000-0000C9000000}"/>
    <cellStyle name="40% - Accent6 16" xfId="780" xr:uid="{00000000-0005-0000-0000-0000CA000000}"/>
    <cellStyle name="40% - Accent6 2" xfId="34" xr:uid="{00000000-0005-0000-0000-0000CB000000}"/>
    <cellStyle name="40% - Accent6 2 2" xfId="836" xr:uid="{00000000-0005-0000-0000-0000CC000000}"/>
    <cellStyle name="40% - Accent6 2 3" xfId="264" xr:uid="{00000000-0005-0000-0000-0000CD000000}"/>
    <cellStyle name="40% - Accent6 3" xfId="265" xr:uid="{00000000-0005-0000-0000-0000CE000000}"/>
    <cellStyle name="40% - Accent6 4" xfId="266" xr:uid="{00000000-0005-0000-0000-0000CF000000}"/>
    <cellStyle name="40% - Accent6 5" xfId="267" xr:uid="{00000000-0005-0000-0000-0000D0000000}"/>
    <cellStyle name="40% - Accent6 6" xfId="268" xr:uid="{00000000-0005-0000-0000-0000D1000000}"/>
    <cellStyle name="40% - Accent6 7" xfId="269" xr:uid="{00000000-0005-0000-0000-0000D2000000}"/>
    <cellStyle name="40% - Accent6 8" xfId="270" xr:uid="{00000000-0005-0000-0000-0000D3000000}"/>
    <cellStyle name="40% - Accent6 9" xfId="271" xr:uid="{00000000-0005-0000-0000-0000D4000000}"/>
    <cellStyle name="60% - Accent1 10" xfId="272" xr:uid="{00000000-0005-0000-0000-0000D5000000}"/>
    <cellStyle name="60% - Accent1 11" xfId="273" xr:uid="{00000000-0005-0000-0000-0000D6000000}"/>
    <cellStyle name="60% - Accent1 12" xfId="274" xr:uid="{00000000-0005-0000-0000-0000D7000000}"/>
    <cellStyle name="60% - Accent1 13" xfId="275" xr:uid="{00000000-0005-0000-0000-0000D8000000}"/>
    <cellStyle name="60% - Accent1 14" xfId="276" xr:uid="{00000000-0005-0000-0000-0000D9000000}"/>
    <cellStyle name="60% - Accent1 15" xfId="277" xr:uid="{00000000-0005-0000-0000-0000DA000000}"/>
    <cellStyle name="60% - Accent1 16" xfId="781" xr:uid="{00000000-0005-0000-0000-0000DB000000}"/>
    <cellStyle name="60% - Accent1 2" xfId="35" xr:uid="{00000000-0005-0000-0000-0000DC000000}"/>
    <cellStyle name="60% - Accent1 2 2" xfId="817" xr:uid="{00000000-0005-0000-0000-0000DD000000}"/>
    <cellStyle name="60% - Accent1 2 3" xfId="278" xr:uid="{00000000-0005-0000-0000-0000DE000000}"/>
    <cellStyle name="60% - Accent1 3" xfId="279" xr:uid="{00000000-0005-0000-0000-0000DF000000}"/>
    <cellStyle name="60% - Accent1 4" xfId="280" xr:uid="{00000000-0005-0000-0000-0000E0000000}"/>
    <cellStyle name="60% - Accent1 5" xfId="281" xr:uid="{00000000-0005-0000-0000-0000E1000000}"/>
    <cellStyle name="60% - Accent1 6" xfId="282" xr:uid="{00000000-0005-0000-0000-0000E2000000}"/>
    <cellStyle name="60% - Accent1 7" xfId="283" xr:uid="{00000000-0005-0000-0000-0000E3000000}"/>
    <cellStyle name="60% - Accent1 8" xfId="284" xr:uid="{00000000-0005-0000-0000-0000E4000000}"/>
    <cellStyle name="60% - Accent1 9" xfId="285" xr:uid="{00000000-0005-0000-0000-0000E5000000}"/>
    <cellStyle name="60% - Accent2 10" xfId="286" xr:uid="{00000000-0005-0000-0000-0000E6000000}"/>
    <cellStyle name="60% - Accent2 11" xfId="287" xr:uid="{00000000-0005-0000-0000-0000E7000000}"/>
    <cellStyle name="60% - Accent2 12" xfId="288" xr:uid="{00000000-0005-0000-0000-0000E8000000}"/>
    <cellStyle name="60% - Accent2 13" xfId="289" xr:uid="{00000000-0005-0000-0000-0000E9000000}"/>
    <cellStyle name="60% - Accent2 14" xfId="290" xr:uid="{00000000-0005-0000-0000-0000EA000000}"/>
    <cellStyle name="60% - Accent2 15" xfId="291" xr:uid="{00000000-0005-0000-0000-0000EB000000}"/>
    <cellStyle name="60% - Accent2 16" xfId="782" xr:uid="{00000000-0005-0000-0000-0000EC000000}"/>
    <cellStyle name="60% - Accent2 2" xfId="36" xr:uid="{00000000-0005-0000-0000-0000ED000000}"/>
    <cellStyle name="60% - Accent2 2 2" xfId="821" xr:uid="{00000000-0005-0000-0000-0000EE000000}"/>
    <cellStyle name="60% - Accent2 2 3" xfId="292" xr:uid="{00000000-0005-0000-0000-0000EF000000}"/>
    <cellStyle name="60% - Accent2 3" xfId="293" xr:uid="{00000000-0005-0000-0000-0000F0000000}"/>
    <cellStyle name="60% - Accent2 4" xfId="294" xr:uid="{00000000-0005-0000-0000-0000F1000000}"/>
    <cellStyle name="60% - Accent2 5" xfId="295" xr:uid="{00000000-0005-0000-0000-0000F2000000}"/>
    <cellStyle name="60% - Accent2 6" xfId="296" xr:uid="{00000000-0005-0000-0000-0000F3000000}"/>
    <cellStyle name="60% - Accent2 7" xfId="297" xr:uid="{00000000-0005-0000-0000-0000F4000000}"/>
    <cellStyle name="60% - Accent2 8" xfId="298" xr:uid="{00000000-0005-0000-0000-0000F5000000}"/>
    <cellStyle name="60% - Accent2 9" xfId="299" xr:uid="{00000000-0005-0000-0000-0000F6000000}"/>
    <cellStyle name="60% - Accent3 10" xfId="300" xr:uid="{00000000-0005-0000-0000-0000F7000000}"/>
    <cellStyle name="60% - Accent3 11" xfId="301" xr:uid="{00000000-0005-0000-0000-0000F8000000}"/>
    <cellStyle name="60% - Accent3 12" xfId="302" xr:uid="{00000000-0005-0000-0000-0000F9000000}"/>
    <cellStyle name="60% - Accent3 13" xfId="303" xr:uid="{00000000-0005-0000-0000-0000FA000000}"/>
    <cellStyle name="60% - Accent3 14" xfId="304" xr:uid="{00000000-0005-0000-0000-0000FB000000}"/>
    <cellStyle name="60% - Accent3 15" xfId="305" xr:uid="{00000000-0005-0000-0000-0000FC000000}"/>
    <cellStyle name="60% - Accent3 16" xfId="783" xr:uid="{00000000-0005-0000-0000-0000FD000000}"/>
    <cellStyle name="60% - Accent3 2" xfId="37" xr:uid="{00000000-0005-0000-0000-0000FE000000}"/>
    <cellStyle name="60% - Accent3 2 2" xfId="825" xr:uid="{00000000-0005-0000-0000-0000FF000000}"/>
    <cellStyle name="60% - Accent3 2 3" xfId="306" xr:uid="{00000000-0005-0000-0000-000000010000}"/>
    <cellStyle name="60% - Accent3 3" xfId="307" xr:uid="{00000000-0005-0000-0000-000001010000}"/>
    <cellStyle name="60% - Accent3 4" xfId="308" xr:uid="{00000000-0005-0000-0000-000002010000}"/>
    <cellStyle name="60% - Accent3 5" xfId="309" xr:uid="{00000000-0005-0000-0000-000003010000}"/>
    <cellStyle name="60% - Accent3 6" xfId="310" xr:uid="{00000000-0005-0000-0000-000004010000}"/>
    <cellStyle name="60% - Accent3 7" xfId="311" xr:uid="{00000000-0005-0000-0000-000005010000}"/>
    <cellStyle name="60% - Accent3 8" xfId="312" xr:uid="{00000000-0005-0000-0000-000006010000}"/>
    <cellStyle name="60% - Accent3 9" xfId="313" xr:uid="{00000000-0005-0000-0000-000007010000}"/>
    <cellStyle name="60% - Accent4 10" xfId="314" xr:uid="{00000000-0005-0000-0000-000008010000}"/>
    <cellStyle name="60% - Accent4 11" xfId="315" xr:uid="{00000000-0005-0000-0000-000009010000}"/>
    <cellStyle name="60% - Accent4 12" xfId="316" xr:uid="{00000000-0005-0000-0000-00000A010000}"/>
    <cellStyle name="60% - Accent4 13" xfId="317" xr:uid="{00000000-0005-0000-0000-00000B010000}"/>
    <cellStyle name="60% - Accent4 14" xfId="318" xr:uid="{00000000-0005-0000-0000-00000C010000}"/>
    <cellStyle name="60% - Accent4 15" xfId="319" xr:uid="{00000000-0005-0000-0000-00000D010000}"/>
    <cellStyle name="60% - Accent4 16" xfId="784" xr:uid="{00000000-0005-0000-0000-00000E010000}"/>
    <cellStyle name="60% - Accent4 2" xfId="38" xr:uid="{00000000-0005-0000-0000-00000F010000}"/>
    <cellStyle name="60% - Accent4 2 2" xfId="829" xr:uid="{00000000-0005-0000-0000-000010010000}"/>
    <cellStyle name="60% - Accent4 2 3" xfId="320" xr:uid="{00000000-0005-0000-0000-000011010000}"/>
    <cellStyle name="60% - Accent4 3" xfId="321" xr:uid="{00000000-0005-0000-0000-000012010000}"/>
    <cellStyle name="60% - Accent4 4" xfId="322" xr:uid="{00000000-0005-0000-0000-000013010000}"/>
    <cellStyle name="60% - Accent4 5" xfId="323" xr:uid="{00000000-0005-0000-0000-000014010000}"/>
    <cellStyle name="60% - Accent4 6" xfId="324" xr:uid="{00000000-0005-0000-0000-000015010000}"/>
    <cellStyle name="60% - Accent4 7" xfId="325" xr:uid="{00000000-0005-0000-0000-000016010000}"/>
    <cellStyle name="60% - Accent4 8" xfId="326" xr:uid="{00000000-0005-0000-0000-000017010000}"/>
    <cellStyle name="60% - Accent4 9" xfId="327" xr:uid="{00000000-0005-0000-0000-000018010000}"/>
    <cellStyle name="60% - Accent5 10" xfId="328" xr:uid="{00000000-0005-0000-0000-000019010000}"/>
    <cellStyle name="60% - Accent5 11" xfId="329" xr:uid="{00000000-0005-0000-0000-00001A010000}"/>
    <cellStyle name="60% - Accent5 12" xfId="330" xr:uid="{00000000-0005-0000-0000-00001B010000}"/>
    <cellStyle name="60% - Accent5 13" xfId="331" xr:uid="{00000000-0005-0000-0000-00001C010000}"/>
    <cellStyle name="60% - Accent5 14" xfId="332" xr:uid="{00000000-0005-0000-0000-00001D010000}"/>
    <cellStyle name="60% - Accent5 15" xfId="333" xr:uid="{00000000-0005-0000-0000-00001E010000}"/>
    <cellStyle name="60% - Accent5 16" xfId="785" xr:uid="{00000000-0005-0000-0000-00001F010000}"/>
    <cellStyle name="60% - Accent5 2" xfId="39" xr:uid="{00000000-0005-0000-0000-000020010000}"/>
    <cellStyle name="60% - Accent5 2 2" xfId="833" xr:uid="{00000000-0005-0000-0000-000021010000}"/>
    <cellStyle name="60% - Accent5 2 3" xfId="334" xr:uid="{00000000-0005-0000-0000-000022010000}"/>
    <cellStyle name="60% - Accent5 3" xfId="335" xr:uid="{00000000-0005-0000-0000-000023010000}"/>
    <cellStyle name="60% - Accent5 4" xfId="336" xr:uid="{00000000-0005-0000-0000-000024010000}"/>
    <cellStyle name="60% - Accent5 5" xfId="337" xr:uid="{00000000-0005-0000-0000-000025010000}"/>
    <cellStyle name="60% - Accent5 6" xfId="338" xr:uid="{00000000-0005-0000-0000-000026010000}"/>
    <cellStyle name="60% - Accent5 7" xfId="339" xr:uid="{00000000-0005-0000-0000-000027010000}"/>
    <cellStyle name="60% - Accent5 8" xfId="340" xr:uid="{00000000-0005-0000-0000-000028010000}"/>
    <cellStyle name="60% - Accent5 9" xfId="341" xr:uid="{00000000-0005-0000-0000-000029010000}"/>
    <cellStyle name="60% - Accent6 10" xfId="342" xr:uid="{00000000-0005-0000-0000-00002A010000}"/>
    <cellStyle name="60% - Accent6 11" xfId="343" xr:uid="{00000000-0005-0000-0000-00002B010000}"/>
    <cellStyle name="60% - Accent6 12" xfId="344" xr:uid="{00000000-0005-0000-0000-00002C010000}"/>
    <cellStyle name="60% - Accent6 13" xfId="345" xr:uid="{00000000-0005-0000-0000-00002D010000}"/>
    <cellStyle name="60% - Accent6 14" xfId="346" xr:uid="{00000000-0005-0000-0000-00002E010000}"/>
    <cellStyle name="60% - Accent6 15" xfId="347" xr:uid="{00000000-0005-0000-0000-00002F010000}"/>
    <cellStyle name="60% - Accent6 16" xfId="786" xr:uid="{00000000-0005-0000-0000-000030010000}"/>
    <cellStyle name="60% - Accent6 2" xfId="40" xr:uid="{00000000-0005-0000-0000-000031010000}"/>
    <cellStyle name="60% - Accent6 2 2" xfId="837" xr:uid="{00000000-0005-0000-0000-000032010000}"/>
    <cellStyle name="60% - Accent6 2 3" xfId="348" xr:uid="{00000000-0005-0000-0000-000033010000}"/>
    <cellStyle name="60% - Accent6 3" xfId="349" xr:uid="{00000000-0005-0000-0000-000034010000}"/>
    <cellStyle name="60% - Accent6 4" xfId="350" xr:uid="{00000000-0005-0000-0000-000035010000}"/>
    <cellStyle name="60% - Accent6 5" xfId="351" xr:uid="{00000000-0005-0000-0000-000036010000}"/>
    <cellStyle name="60% - Accent6 6" xfId="352" xr:uid="{00000000-0005-0000-0000-000037010000}"/>
    <cellStyle name="60% - Accent6 7" xfId="353" xr:uid="{00000000-0005-0000-0000-000038010000}"/>
    <cellStyle name="60% - Accent6 8" xfId="354" xr:uid="{00000000-0005-0000-0000-000039010000}"/>
    <cellStyle name="60% - Accent6 9" xfId="355" xr:uid="{00000000-0005-0000-0000-00003A010000}"/>
    <cellStyle name="Accent1 10" xfId="356" xr:uid="{00000000-0005-0000-0000-00003B010000}"/>
    <cellStyle name="Accent1 11" xfId="357" xr:uid="{00000000-0005-0000-0000-00003C010000}"/>
    <cellStyle name="Accent1 12" xfId="358" xr:uid="{00000000-0005-0000-0000-00003D010000}"/>
    <cellStyle name="Accent1 13" xfId="359" xr:uid="{00000000-0005-0000-0000-00003E010000}"/>
    <cellStyle name="Accent1 14" xfId="360" xr:uid="{00000000-0005-0000-0000-00003F010000}"/>
    <cellStyle name="Accent1 15" xfId="361" xr:uid="{00000000-0005-0000-0000-000040010000}"/>
    <cellStyle name="Accent1 16" xfId="787" xr:uid="{00000000-0005-0000-0000-000041010000}"/>
    <cellStyle name="Accent1 2" xfId="41" xr:uid="{00000000-0005-0000-0000-000042010000}"/>
    <cellStyle name="Accent1 2 2" xfId="814" xr:uid="{00000000-0005-0000-0000-000043010000}"/>
    <cellStyle name="Accent1 2 3" xfId="362" xr:uid="{00000000-0005-0000-0000-000044010000}"/>
    <cellStyle name="Accent1 3" xfId="363" xr:uid="{00000000-0005-0000-0000-000045010000}"/>
    <cellStyle name="Accent1 4" xfId="364" xr:uid="{00000000-0005-0000-0000-000046010000}"/>
    <cellStyle name="Accent1 5" xfId="365" xr:uid="{00000000-0005-0000-0000-000047010000}"/>
    <cellStyle name="Accent1 6" xfId="366" xr:uid="{00000000-0005-0000-0000-000048010000}"/>
    <cellStyle name="Accent1 7" xfId="367" xr:uid="{00000000-0005-0000-0000-000049010000}"/>
    <cellStyle name="Accent1 8" xfId="368" xr:uid="{00000000-0005-0000-0000-00004A010000}"/>
    <cellStyle name="Accent1 9" xfId="369" xr:uid="{00000000-0005-0000-0000-00004B010000}"/>
    <cellStyle name="Accent2 10" xfId="370" xr:uid="{00000000-0005-0000-0000-00004C010000}"/>
    <cellStyle name="Accent2 11" xfId="371" xr:uid="{00000000-0005-0000-0000-00004D010000}"/>
    <cellStyle name="Accent2 12" xfId="372" xr:uid="{00000000-0005-0000-0000-00004E010000}"/>
    <cellStyle name="Accent2 13" xfId="373" xr:uid="{00000000-0005-0000-0000-00004F010000}"/>
    <cellStyle name="Accent2 14" xfId="374" xr:uid="{00000000-0005-0000-0000-000050010000}"/>
    <cellStyle name="Accent2 15" xfId="375" xr:uid="{00000000-0005-0000-0000-000051010000}"/>
    <cellStyle name="Accent2 16" xfId="788" xr:uid="{00000000-0005-0000-0000-000052010000}"/>
    <cellStyle name="Accent2 2" xfId="42" xr:uid="{00000000-0005-0000-0000-000053010000}"/>
    <cellStyle name="Accent2 2 2" xfId="818" xr:uid="{00000000-0005-0000-0000-000054010000}"/>
    <cellStyle name="Accent2 2 3" xfId="376" xr:uid="{00000000-0005-0000-0000-000055010000}"/>
    <cellStyle name="Accent2 3" xfId="377" xr:uid="{00000000-0005-0000-0000-000056010000}"/>
    <cellStyle name="Accent2 4" xfId="378" xr:uid="{00000000-0005-0000-0000-000057010000}"/>
    <cellStyle name="Accent2 5" xfId="379" xr:uid="{00000000-0005-0000-0000-000058010000}"/>
    <cellStyle name="Accent2 6" xfId="380" xr:uid="{00000000-0005-0000-0000-000059010000}"/>
    <cellStyle name="Accent2 7" xfId="381" xr:uid="{00000000-0005-0000-0000-00005A010000}"/>
    <cellStyle name="Accent2 8" xfId="382" xr:uid="{00000000-0005-0000-0000-00005B010000}"/>
    <cellStyle name="Accent2 9" xfId="383" xr:uid="{00000000-0005-0000-0000-00005C010000}"/>
    <cellStyle name="Accent3 10" xfId="384" xr:uid="{00000000-0005-0000-0000-00005D010000}"/>
    <cellStyle name="Accent3 11" xfId="385" xr:uid="{00000000-0005-0000-0000-00005E010000}"/>
    <cellStyle name="Accent3 12" xfId="386" xr:uid="{00000000-0005-0000-0000-00005F010000}"/>
    <cellStyle name="Accent3 13" xfId="387" xr:uid="{00000000-0005-0000-0000-000060010000}"/>
    <cellStyle name="Accent3 14" xfId="388" xr:uid="{00000000-0005-0000-0000-000061010000}"/>
    <cellStyle name="Accent3 15" xfId="389" xr:uid="{00000000-0005-0000-0000-000062010000}"/>
    <cellStyle name="Accent3 16" xfId="789" xr:uid="{00000000-0005-0000-0000-000063010000}"/>
    <cellStyle name="Accent3 2" xfId="43" xr:uid="{00000000-0005-0000-0000-000064010000}"/>
    <cellStyle name="Accent3 2 2" xfId="822" xr:uid="{00000000-0005-0000-0000-000065010000}"/>
    <cellStyle name="Accent3 2 3" xfId="390" xr:uid="{00000000-0005-0000-0000-000066010000}"/>
    <cellStyle name="Accent3 3" xfId="391" xr:uid="{00000000-0005-0000-0000-000067010000}"/>
    <cellStyle name="Accent3 4" xfId="392" xr:uid="{00000000-0005-0000-0000-000068010000}"/>
    <cellStyle name="Accent3 5" xfId="393" xr:uid="{00000000-0005-0000-0000-000069010000}"/>
    <cellStyle name="Accent3 6" xfId="394" xr:uid="{00000000-0005-0000-0000-00006A010000}"/>
    <cellStyle name="Accent3 7" xfId="395" xr:uid="{00000000-0005-0000-0000-00006B010000}"/>
    <cellStyle name="Accent3 8" xfId="396" xr:uid="{00000000-0005-0000-0000-00006C010000}"/>
    <cellStyle name="Accent3 9" xfId="397" xr:uid="{00000000-0005-0000-0000-00006D010000}"/>
    <cellStyle name="Accent4 10" xfId="398" xr:uid="{00000000-0005-0000-0000-00006E010000}"/>
    <cellStyle name="Accent4 11" xfId="399" xr:uid="{00000000-0005-0000-0000-00006F010000}"/>
    <cellStyle name="Accent4 12" xfId="400" xr:uid="{00000000-0005-0000-0000-000070010000}"/>
    <cellStyle name="Accent4 13" xfId="401" xr:uid="{00000000-0005-0000-0000-000071010000}"/>
    <cellStyle name="Accent4 14" xfId="402" xr:uid="{00000000-0005-0000-0000-000072010000}"/>
    <cellStyle name="Accent4 15" xfId="403" xr:uid="{00000000-0005-0000-0000-000073010000}"/>
    <cellStyle name="Accent4 16" xfId="871" xr:uid="{00000000-0005-0000-0000-000074010000}"/>
    <cellStyle name="Accent4 2" xfId="44" xr:uid="{00000000-0005-0000-0000-000075010000}"/>
    <cellStyle name="Accent4 2 2" xfId="826" xr:uid="{00000000-0005-0000-0000-000076010000}"/>
    <cellStyle name="Accent4 2 3" xfId="404" xr:uid="{00000000-0005-0000-0000-000077010000}"/>
    <cellStyle name="Accent4 3" xfId="405" xr:uid="{00000000-0005-0000-0000-000078010000}"/>
    <cellStyle name="Accent4 4" xfId="406" xr:uid="{00000000-0005-0000-0000-000079010000}"/>
    <cellStyle name="Accent4 5" xfId="407" xr:uid="{00000000-0005-0000-0000-00007A010000}"/>
    <cellStyle name="Accent4 6" xfId="408" xr:uid="{00000000-0005-0000-0000-00007B010000}"/>
    <cellStyle name="Accent4 7" xfId="409" xr:uid="{00000000-0005-0000-0000-00007C010000}"/>
    <cellStyle name="Accent4 8" xfId="410" xr:uid="{00000000-0005-0000-0000-00007D010000}"/>
    <cellStyle name="Accent4 9" xfId="411" xr:uid="{00000000-0005-0000-0000-00007E010000}"/>
    <cellStyle name="Accent5 10" xfId="412" xr:uid="{00000000-0005-0000-0000-00007F010000}"/>
    <cellStyle name="Accent5 11" xfId="413" xr:uid="{00000000-0005-0000-0000-000080010000}"/>
    <cellStyle name="Accent5 12" xfId="414" xr:uid="{00000000-0005-0000-0000-000081010000}"/>
    <cellStyle name="Accent5 13" xfId="415" xr:uid="{00000000-0005-0000-0000-000082010000}"/>
    <cellStyle name="Accent5 14" xfId="416" xr:uid="{00000000-0005-0000-0000-000083010000}"/>
    <cellStyle name="Accent5 15" xfId="417" xr:uid="{00000000-0005-0000-0000-000084010000}"/>
    <cellStyle name="Accent5 16" xfId="866" xr:uid="{00000000-0005-0000-0000-000085010000}"/>
    <cellStyle name="Accent5 2" xfId="45" xr:uid="{00000000-0005-0000-0000-000086010000}"/>
    <cellStyle name="Accent5 2 2" xfId="830" xr:uid="{00000000-0005-0000-0000-000087010000}"/>
    <cellStyle name="Accent5 2 3" xfId="418" xr:uid="{00000000-0005-0000-0000-000088010000}"/>
    <cellStyle name="Accent5 3" xfId="419" xr:uid="{00000000-0005-0000-0000-000089010000}"/>
    <cellStyle name="Accent5 4" xfId="420" xr:uid="{00000000-0005-0000-0000-00008A010000}"/>
    <cellStyle name="Accent5 5" xfId="421" xr:uid="{00000000-0005-0000-0000-00008B010000}"/>
    <cellStyle name="Accent5 6" xfId="422" xr:uid="{00000000-0005-0000-0000-00008C010000}"/>
    <cellStyle name="Accent5 7" xfId="423" xr:uid="{00000000-0005-0000-0000-00008D010000}"/>
    <cellStyle name="Accent5 8" xfId="424" xr:uid="{00000000-0005-0000-0000-00008E010000}"/>
    <cellStyle name="Accent5 9" xfId="425" xr:uid="{00000000-0005-0000-0000-00008F010000}"/>
    <cellStyle name="Accent6 10" xfId="426" xr:uid="{00000000-0005-0000-0000-000090010000}"/>
    <cellStyle name="Accent6 11" xfId="427" xr:uid="{00000000-0005-0000-0000-000091010000}"/>
    <cellStyle name="Accent6 12" xfId="428" xr:uid="{00000000-0005-0000-0000-000092010000}"/>
    <cellStyle name="Accent6 13" xfId="429" xr:uid="{00000000-0005-0000-0000-000093010000}"/>
    <cellStyle name="Accent6 14" xfId="430" xr:uid="{00000000-0005-0000-0000-000094010000}"/>
    <cellStyle name="Accent6 15" xfId="431" xr:uid="{00000000-0005-0000-0000-000095010000}"/>
    <cellStyle name="Accent6 16" xfId="870" xr:uid="{00000000-0005-0000-0000-000096010000}"/>
    <cellStyle name="Accent6 2" xfId="46" xr:uid="{00000000-0005-0000-0000-000097010000}"/>
    <cellStyle name="Accent6 2 2" xfId="834" xr:uid="{00000000-0005-0000-0000-000098010000}"/>
    <cellStyle name="Accent6 2 3" xfId="432" xr:uid="{00000000-0005-0000-0000-000099010000}"/>
    <cellStyle name="Accent6 3" xfId="433" xr:uid="{00000000-0005-0000-0000-00009A010000}"/>
    <cellStyle name="Accent6 4" xfId="434" xr:uid="{00000000-0005-0000-0000-00009B010000}"/>
    <cellStyle name="Accent6 5" xfId="435" xr:uid="{00000000-0005-0000-0000-00009C010000}"/>
    <cellStyle name="Accent6 6" xfId="436" xr:uid="{00000000-0005-0000-0000-00009D010000}"/>
    <cellStyle name="Accent6 7" xfId="437" xr:uid="{00000000-0005-0000-0000-00009E010000}"/>
    <cellStyle name="Accent6 8" xfId="438" xr:uid="{00000000-0005-0000-0000-00009F010000}"/>
    <cellStyle name="Accent6 9" xfId="439" xr:uid="{00000000-0005-0000-0000-0000A0010000}"/>
    <cellStyle name="Bad 10" xfId="440" xr:uid="{00000000-0005-0000-0000-0000A1010000}"/>
    <cellStyle name="Bad 11" xfId="441" xr:uid="{00000000-0005-0000-0000-0000A2010000}"/>
    <cellStyle name="Bad 12" xfId="442" xr:uid="{00000000-0005-0000-0000-0000A3010000}"/>
    <cellStyle name="Bad 13" xfId="443" xr:uid="{00000000-0005-0000-0000-0000A4010000}"/>
    <cellStyle name="Bad 14" xfId="444" xr:uid="{00000000-0005-0000-0000-0000A5010000}"/>
    <cellStyle name="Bad 15" xfId="445" xr:uid="{00000000-0005-0000-0000-0000A6010000}"/>
    <cellStyle name="Bad 16" xfId="855" xr:uid="{00000000-0005-0000-0000-0000A7010000}"/>
    <cellStyle name="Bad 2" xfId="47" xr:uid="{00000000-0005-0000-0000-0000A8010000}"/>
    <cellStyle name="Bad 2 2" xfId="803" xr:uid="{00000000-0005-0000-0000-0000A9010000}"/>
    <cellStyle name="Bad 2 3" xfId="446" xr:uid="{00000000-0005-0000-0000-0000AA010000}"/>
    <cellStyle name="Bad 3" xfId="447" xr:uid="{00000000-0005-0000-0000-0000AB010000}"/>
    <cellStyle name="Bad 4" xfId="448" xr:uid="{00000000-0005-0000-0000-0000AC010000}"/>
    <cellStyle name="Bad 5" xfId="449" xr:uid="{00000000-0005-0000-0000-0000AD010000}"/>
    <cellStyle name="Bad 6" xfId="450" xr:uid="{00000000-0005-0000-0000-0000AE010000}"/>
    <cellStyle name="Bad 7" xfId="451" xr:uid="{00000000-0005-0000-0000-0000AF010000}"/>
    <cellStyle name="Bad 8" xfId="452" xr:uid="{00000000-0005-0000-0000-0000B0010000}"/>
    <cellStyle name="Bad 9" xfId="453" xr:uid="{00000000-0005-0000-0000-0000B1010000}"/>
    <cellStyle name="Calculation 10" xfId="454" xr:uid="{00000000-0005-0000-0000-0000B2010000}"/>
    <cellStyle name="Calculation 11" xfId="455" xr:uid="{00000000-0005-0000-0000-0000B3010000}"/>
    <cellStyle name="Calculation 12" xfId="456" xr:uid="{00000000-0005-0000-0000-0000B4010000}"/>
    <cellStyle name="Calculation 13" xfId="457" xr:uid="{00000000-0005-0000-0000-0000B5010000}"/>
    <cellStyle name="Calculation 14" xfId="458" xr:uid="{00000000-0005-0000-0000-0000B6010000}"/>
    <cellStyle name="Calculation 15" xfId="459" xr:uid="{00000000-0005-0000-0000-0000B7010000}"/>
    <cellStyle name="Calculation 16" xfId="790" xr:uid="{00000000-0005-0000-0000-0000B8010000}"/>
    <cellStyle name="Calculation 2" xfId="48" xr:uid="{00000000-0005-0000-0000-0000B9010000}"/>
    <cellStyle name="Calculation 2 2" xfId="807" xr:uid="{00000000-0005-0000-0000-0000BA010000}"/>
    <cellStyle name="Calculation 2 3" xfId="460" xr:uid="{00000000-0005-0000-0000-0000BB010000}"/>
    <cellStyle name="Calculation 3" xfId="461" xr:uid="{00000000-0005-0000-0000-0000BC010000}"/>
    <cellStyle name="Calculation 4" xfId="462" xr:uid="{00000000-0005-0000-0000-0000BD010000}"/>
    <cellStyle name="Calculation 5" xfId="463" xr:uid="{00000000-0005-0000-0000-0000BE010000}"/>
    <cellStyle name="Calculation 6" xfId="464" xr:uid="{00000000-0005-0000-0000-0000BF010000}"/>
    <cellStyle name="Calculation 7" xfId="465" xr:uid="{00000000-0005-0000-0000-0000C0010000}"/>
    <cellStyle name="Calculation 8" xfId="466" xr:uid="{00000000-0005-0000-0000-0000C1010000}"/>
    <cellStyle name="Calculation 9" xfId="467" xr:uid="{00000000-0005-0000-0000-0000C2010000}"/>
    <cellStyle name="Check Cell 10" xfId="468" xr:uid="{00000000-0005-0000-0000-0000C3010000}"/>
    <cellStyle name="Check Cell 11" xfId="469" xr:uid="{00000000-0005-0000-0000-0000C4010000}"/>
    <cellStyle name="Check Cell 12" xfId="470" xr:uid="{00000000-0005-0000-0000-0000C5010000}"/>
    <cellStyle name="Check Cell 13" xfId="471" xr:uid="{00000000-0005-0000-0000-0000C6010000}"/>
    <cellStyle name="Check Cell 14" xfId="472" xr:uid="{00000000-0005-0000-0000-0000C7010000}"/>
    <cellStyle name="Check Cell 15" xfId="473" xr:uid="{00000000-0005-0000-0000-0000C8010000}"/>
    <cellStyle name="Check Cell 16" xfId="851" xr:uid="{00000000-0005-0000-0000-0000C9010000}"/>
    <cellStyle name="Check Cell 2" xfId="49" xr:uid="{00000000-0005-0000-0000-0000CA010000}"/>
    <cellStyle name="Check Cell 2 2" xfId="809" xr:uid="{00000000-0005-0000-0000-0000CB010000}"/>
    <cellStyle name="Check Cell 2 3" xfId="474" xr:uid="{00000000-0005-0000-0000-0000CC010000}"/>
    <cellStyle name="Check Cell 3" xfId="475" xr:uid="{00000000-0005-0000-0000-0000CD010000}"/>
    <cellStyle name="Check Cell 4" xfId="476" xr:uid="{00000000-0005-0000-0000-0000CE010000}"/>
    <cellStyle name="Check Cell 5" xfId="477" xr:uid="{00000000-0005-0000-0000-0000CF010000}"/>
    <cellStyle name="Check Cell 6" xfId="478" xr:uid="{00000000-0005-0000-0000-0000D0010000}"/>
    <cellStyle name="Check Cell 7" xfId="479" xr:uid="{00000000-0005-0000-0000-0000D1010000}"/>
    <cellStyle name="Check Cell 8" xfId="480" xr:uid="{00000000-0005-0000-0000-0000D2010000}"/>
    <cellStyle name="Check Cell 9" xfId="481" xr:uid="{00000000-0005-0000-0000-0000D3010000}"/>
    <cellStyle name="Comma" xfId="1" builtinId="3"/>
    <cellStyle name="Comma 10" xfId="482" xr:uid="{00000000-0005-0000-0000-0000D5010000}"/>
    <cellStyle name="Comma 11" xfId="1533" xr:uid="{8EF4B4E4-7C46-4EC0-B90E-71438A2E3C83}"/>
    <cellStyle name="Comma 2" xfId="5" xr:uid="{00000000-0005-0000-0000-0000D6010000}"/>
    <cellStyle name="Comma 2 10" xfId="1527" xr:uid="{00000000-0005-0000-0000-0000D7010000}"/>
    <cellStyle name="Comma 2 2" xfId="696" xr:uid="{00000000-0005-0000-0000-0000D8010000}"/>
    <cellStyle name="Comma 2 2 2" xfId="695" xr:uid="{00000000-0005-0000-0000-0000D9010000}"/>
    <cellStyle name="Comma 2 3" xfId="734" xr:uid="{00000000-0005-0000-0000-0000DA010000}"/>
    <cellStyle name="Comma 2 4" xfId="839" xr:uid="{00000000-0005-0000-0000-0000DB010000}"/>
    <cellStyle name="Comma 2 5" xfId="1529" xr:uid="{00000000-0005-0000-0000-0000DC010000}"/>
    <cellStyle name="Comma 3" xfId="6" xr:uid="{00000000-0005-0000-0000-0000DD010000}"/>
    <cellStyle name="Comma 3 2" xfId="50" xr:uid="{00000000-0005-0000-0000-0000DE010000}"/>
    <cellStyle name="Comma 3 2 2" xfId="845" xr:uid="{00000000-0005-0000-0000-0000DF010000}"/>
    <cellStyle name="Comma 3 2 3" xfId="697" xr:uid="{00000000-0005-0000-0000-0000E0010000}"/>
    <cellStyle name="Comma 3 2 5" xfId="98" xr:uid="{00000000-0005-0000-0000-0000E1010000}"/>
    <cellStyle name="Comma 3 3" xfId="841" xr:uid="{00000000-0005-0000-0000-0000E2010000}"/>
    <cellStyle name="Comma 3 4" xfId="1013" xr:uid="{00000000-0005-0000-0000-0000E3010000}"/>
    <cellStyle name="Comma 3 5" xfId="483" xr:uid="{00000000-0005-0000-0000-0000E4010000}"/>
    <cellStyle name="Comma 4" xfId="13" xr:uid="{00000000-0005-0000-0000-0000E5010000}"/>
    <cellStyle name="Comma 4 2" xfId="718" xr:uid="{00000000-0005-0000-0000-0000E6010000}"/>
    <cellStyle name="Comma 4 2 2" xfId="755" xr:uid="{00000000-0005-0000-0000-0000E7010000}"/>
    <cellStyle name="Comma 4 2 2 2" xfId="910" xr:uid="{00000000-0005-0000-0000-0000E8010000}"/>
    <cellStyle name="Comma 4 2 2 2 2" xfId="1241" xr:uid="{00000000-0005-0000-0000-0000E9010000}"/>
    <cellStyle name="Comma 4 2 2 2 2 2" xfId="1474" xr:uid="{00000000-0005-0000-0000-0000EA010000}"/>
    <cellStyle name="Comma 4 2 2 2 3" xfId="1358" xr:uid="{00000000-0005-0000-0000-0000EB010000}"/>
    <cellStyle name="Comma 4 2 2 2 4" xfId="1122" xr:uid="{00000000-0005-0000-0000-0000EC010000}"/>
    <cellStyle name="Comma 4 2 2 3" xfId="980" xr:uid="{00000000-0005-0000-0000-0000ED010000}"/>
    <cellStyle name="Comma 4 2 2 3 2" xfId="1418" xr:uid="{00000000-0005-0000-0000-0000EE010000}"/>
    <cellStyle name="Comma 4 2 2 3 3" xfId="1185" xr:uid="{00000000-0005-0000-0000-0000EF010000}"/>
    <cellStyle name="Comma 4 2 2 4" xfId="1302" xr:uid="{00000000-0005-0000-0000-0000F0010000}"/>
    <cellStyle name="Comma 4 2 2 5" xfId="1065" xr:uid="{00000000-0005-0000-0000-0000F1010000}"/>
    <cellStyle name="Comma 4 2 3" xfId="877" xr:uid="{00000000-0005-0000-0000-0000F2010000}"/>
    <cellStyle name="Comma 4 2 3 2" xfId="1211" xr:uid="{00000000-0005-0000-0000-0000F3010000}"/>
    <cellStyle name="Comma 4 2 3 2 2" xfId="1444" xr:uid="{00000000-0005-0000-0000-0000F4010000}"/>
    <cellStyle name="Comma 4 2 3 3" xfId="1328" xr:uid="{00000000-0005-0000-0000-0000F5010000}"/>
    <cellStyle name="Comma 4 2 3 4" xfId="1092" xr:uid="{00000000-0005-0000-0000-0000F6010000}"/>
    <cellStyle name="Comma 4 2 4" xfId="950" xr:uid="{00000000-0005-0000-0000-0000F7010000}"/>
    <cellStyle name="Comma 4 2 4 2" xfId="1392" xr:uid="{00000000-0005-0000-0000-0000F8010000}"/>
    <cellStyle name="Comma 4 2 4 3" xfId="1159" xr:uid="{00000000-0005-0000-0000-0000F9010000}"/>
    <cellStyle name="Comma 4 2 5" xfId="1276" xr:uid="{00000000-0005-0000-0000-0000FA010000}"/>
    <cellStyle name="Comma 4 2 6" xfId="1039" xr:uid="{00000000-0005-0000-0000-0000FB010000}"/>
    <cellStyle name="Comma 4 3" xfId="726" xr:uid="{00000000-0005-0000-0000-0000FC010000}"/>
    <cellStyle name="Comma 4 3 2" xfId="763" xr:uid="{00000000-0005-0000-0000-0000FD010000}"/>
    <cellStyle name="Comma 4 3 2 2" xfId="918" xr:uid="{00000000-0005-0000-0000-0000FE010000}"/>
    <cellStyle name="Comma 4 3 2 2 2" xfId="1249" xr:uid="{00000000-0005-0000-0000-0000FF010000}"/>
    <cellStyle name="Comma 4 3 2 2 2 2" xfId="1482" xr:uid="{00000000-0005-0000-0000-000000020000}"/>
    <cellStyle name="Comma 4 3 2 2 3" xfId="1366" xr:uid="{00000000-0005-0000-0000-000001020000}"/>
    <cellStyle name="Comma 4 3 2 2 4" xfId="1130" xr:uid="{00000000-0005-0000-0000-000002020000}"/>
    <cellStyle name="Comma 4 3 2 3" xfId="988" xr:uid="{00000000-0005-0000-0000-000003020000}"/>
    <cellStyle name="Comma 4 3 2 3 2" xfId="1426" xr:uid="{00000000-0005-0000-0000-000004020000}"/>
    <cellStyle name="Comma 4 3 2 3 3" xfId="1193" xr:uid="{00000000-0005-0000-0000-000005020000}"/>
    <cellStyle name="Comma 4 3 2 4" xfId="1310" xr:uid="{00000000-0005-0000-0000-000006020000}"/>
    <cellStyle name="Comma 4 3 2 5" xfId="1073" xr:uid="{00000000-0005-0000-0000-000007020000}"/>
    <cellStyle name="Comma 4 3 3" xfId="885" xr:uid="{00000000-0005-0000-0000-000008020000}"/>
    <cellStyle name="Comma 4 3 3 2" xfId="1219" xr:uid="{00000000-0005-0000-0000-000009020000}"/>
    <cellStyle name="Comma 4 3 3 2 2" xfId="1452" xr:uid="{00000000-0005-0000-0000-00000A020000}"/>
    <cellStyle name="Comma 4 3 3 3" xfId="1336" xr:uid="{00000000-0005-0000-0000-00000B020000}"/>
    <cellStyle name="Comma 4 3 3 4" xfId="1100" xr:uid="{00000000-0005-0000-0000-00000C020000}"/>
    <cellStyle name="Comma 4 3 4" xfId="958" xr:uid="{00000000-0005-0000-0000-00000D020000}"/>
    <cellStyle name="Comma 4 3 4 2" xfId="1400" xr:uid="{00000000-0005-0000-0000-00000E020000}"/>
    <cellStyle name="Comma 4 3 4 3" xfId="1167" xr:uid="{00000000-0005-0000-0000-00000F020000}"/>
    <cellStyle name="Comma 4 3 5" xfId="1284" xr:uid="{00000000-0005-0000-0000-000010020000}"/>
    <cellStyle name="Comma 4 3 6" xfId="1047" xr:uid="{00000000-0005-0000-0000-000011020000}"/>
    <cellStyle name="Comma 4 4" xfId="747" xr:uid="{00000000-0005-0000-0000-000012020000}"/>
    <cellStyle name="Comma 4 4 2" xfId="902" xr:uid="{00000000-0005-0000-0000-000013020000}"/>
    <cellStyle name="Comma 4 4 2 2" xfId="1233" xr:uid="{00000000-0005-0000-0000-000014020000}"/>
    <cellStyle name="Comma 4 4 2 2 2" xfId="1466" xr:uid="{00000000-0005-0000-0000-000015020000}"/>
    <cellStyle name="Comma 4 4 2 3" xfId="1350" xr:uid="{00000000-0005-0000-0000-000016020000}"/>
    <cellStyle name="Comma 4 4 2 4" xfId="1114" xr:uid="{00000000-0005-0000-0000-000017020000}"/>
    <cellStyle name="Comma 4 4 3" xfId="972" xr:uid="{00000000-0005-0000-0000-000018020000}"/>
    <cellStyle name="Comma 4 4 3 2" xfId="1410" xr:uid="{00000000-0005-0000-0000-000019020000}"/>
    <cellStyle name="Comma 4 4 3 3" xfId="1177" xr:uid="{00000000-0005-0000-0000-00001A020000}"/>
    <cellStyle name="Comma 4 4 4" xfId="1294" xr:uid="{00000000-0005-0000-0000-00001B020000}"/>
    <cellStyle name="Comma 4 4 5" xfId="1057" xr:uid="{00000000-0005-0000-0000-00001C020000}"/>
    <cellStyle name="Comma 4 5" xfId="863" xr:uid="{00000000-0005-0000-0000-00001D020000}"/>
    <cellStyle name="Comma 4 5 2" xfId="1203" xr:uid="{00000000-0005-0000-0000-00001E020000}"/>
    <cellStyle name="Comma 4 5 2 2" xfId="1436" xr:uid="{00000000-0005-0000-0000-00001F020000}"/>
    <cellStyle name="Comma 4 5 3" xfId="1320" xr:uid="{00000000-0005-0000-0000-000020020000}"/>
    <cellStyle name="Comma 4 5 4" xfId="1084" xr:uid="{00000000-0005-0000-0000-000021020000}"/>
    <cellStyle name="Comma 4 6" xfId="942" xr:uid="{00000000-0005-0000-0000-000022020000}"/>
    <cellStyle name="Comma 4 6 2" xfId="1384" xr:uid="{00000000-0005-0000-0000-000023020000}"/>
    <cellStyle name="Comma 4 6 3" xfId="1151" xr:uid="{00000000-0005-0000-0000-000024020000}"/>
    <cellStyle name="Comma 4 7" xfId="1268" xr:uid="{00000000-0005-0000-0000-000025020000}"/>
    <cellStyle name="Comma 4 8" xfId="1031" xr:uid="{00000000-0005-0000-0000-000026020000}"/>
    <cellStyle name="Comma 4 9" xfId="698" xr:uid="{00000000-0005-0000-0000-000027020000}"/>
    <cellStyle name="Comma 5" xfId="51" xr:uid="{00000000-0005-0000-0000-000028020000}"/>
    <cellStyle name="Comma 5 2" xfId="741" xr:uid="{00000000-0005-0000-0000-000029020000}"/>
    <cellStyle name="Comma 6" xfId="52" xr:uid="{00000000-0005-0000-0000-00002A020000}"/>
    <cellStyle name="Comma 6 2" xfId="895" xr:uid="{00000000-0005-0000-0000-00002B020000}"/>
    <cellStyle name="Comma 6 2 2" xfId="1255" xr:uid="{00000000-0005-0000-0000-00002C020000}"/>
    <cellStyle name="Comma 6 2 2 2" xfId="1488" xr:uid="{00000000-0005-0000-0000-00002D020000}"/>
    <cellStyle name="Comma 6 2 3" xfId="1372" xr:uid="{00000000-0005-0000-0000-00002E020000}"/>
    <cellStyle name="Comma 6 2 4" xfId="1136" xr:uid="{00000000-0005-0000-0000-00002F020000}"/>
    <cellStyle name="Comma 6 3" xfId="966" xr:uid="{00000000-0005-0000-0000-000030020000}"/>
    <cellStyle name="Comma 6 3 2" xfId="1460" xr:uid="{00000000-0005-0000-0000-000031020000}"/>
    <cellStyle name="Comma 6 3 3" xfId="1227" xr:uid="{00000000-0005-0000-0000-000032020000}"/>
    <cellStyle name="Comma 6 4" xfId="1344" xr:uid="{00000000-0005-0000-0000-000033020000}"/>
    <cellStyle name="Comma 6 5" xfId="1108" xr:uid="{00000000-0005-0000-0000-000034020000}"/>
    <cellStyle name="Comma 6 6" xfId="738" xr:uid="{00000000-0005-0000-0000-000035020000}"/>
    <cellStyle name="Comma 7" xfId="102" xr:uid="{00000000-0005-0000-0000-000036020000}"/>
    <cellStyle name="Comma 7 2" xfId="1139" xr:uid="{00000000-0005-0000-0000-000037020000}"/>
    <cellStyle name="Comma 7 3" xfId="872" xr:uid="{00000000-0005-0000-0000-000038020000}"/>
    <cellStyle name="Comma 7 4" xfId="1528" xr:uid="{00000000-0005-0000-0000-000039020000}"/>
    <cellStyle name="Comma 8" xfId="1143" xr:uid="{00000000-0005-0000-0000-00003A020000}"/>
    <cellStyle name="Comma 8 2" xfId="1373" xr:uid="{00000000-0005-0000-0000-00003B020000}"/>
    <cellStyle name="Comma 9" xfId="1257" xr:uid="{00000000-0005-0000-0000-00003C020000}"/>
    <cellStyle name="Comma0" xfId="7" xr:uid="{00000000-0005-0000-0000-00003D020000}"/>
    <cellStyle name="Currency 2" xfId="12" xr:uid="{00000000-0005-0000-0000-00003E020000}"/>
    <cellStyle name="Currency 2 2" xfId="699" xr:uid="{00000000-0005-0000-0000-00003F020000}"/>
    <cellStyle name="Currency 2 3" xfId="690" xr:uid="{00000000-0005-0000-0000-000040020000}"/>
    <cellStyle name="Currency 2 4" xfId="865" xr:uid="{00000000-0005-0000-0000-000041020000}"/>
    <cellStyle name="Currency 2 5" xfId="1012" xr:uid="{00000000-0005-0000-0000-000042020000}"/>
    <cellStyle name="Currency 2 6" xfId="484" xr:uid="{00000000-0005-0000-0000-000043020000}"/>
    <cellStyle name="Currency 3" xfId="53" xr:uid="{00000000-0005-0000-0000-000044020000}"/>
    <cellStyle name="Currency 3 2" xfId="700" xr:uid="{00000000-0005-0000-0000-000045020000}"/>
    <cellStyle name="Currency 3 3" xfId="691" xr:uid="{00000000-0005-0000-0000-000046020000}"/>
    <cellStyle name="Currency 3 4" xfId="847" xr:uid="{00000000-0005-0000-0000-000047020000}"/>
    <cellStyle name="Currency 4" xfId="54" xr:uid="{00000000-0005-0000-0000-000048020000}"/>
    <cellStyle name="Currency 4 2" xfId="1024" xr:uid="{00000000-0005-0000-0000-000049020000}"/>
    <cellStyle name="Currency 5" xfId="485" xr:uid="{00000000-0005-0000-0000-00004A020000}"/>
    <cellStyle name="Currency0" xfId="8" xr:uid="{00000000-0005-0000-0000-00004B020000}"/>
    <cellStyle name="Date" xfId="9" xr:uid="{00000000-0005-0000-0000-00004C020000}"/>
    <cellStyle name="Explanatory Text 10" xfId="486" xr:uid="{00000000-0005-0000-0000-00004D020000}"/>
    <cellStyle name="Explanatory Text 11" xfId="487" xr:uid="{00000000-0005-0000-0000-00004E020000}"/>
    <cellStyle name="Explanatory Text 12" xfId="488" xr:uid="{00000000-0005-0000-0000-00004F020000}"/>
    <cellStyle name="Explanatory Text 13" xfId="489" xr:uid="{00000000-0005-0000-0000-000050020000}"/>
    <cellStyle name="Explanatory Text 14" xfId="490" xr:uid="{00000000-0005-0000-0000-000051020000}"/>
    <cellStyle name="Explanatory Text 15" xfId="491" xr:uid="{00000000-0005-0000-0000-000052020000}"/>
    <cellStyle name="Explanatory Text 16" xfId="858" xr:uid="{00000000-0005-0000-0000-000053020000}"/>
    <cellStyle name="Explanatory Text 2" xfId="55" xr:uid="{00000000-0005-0000-0000-000054020000}"/>
    <cellStyle name="Explanatory Text 2 2" xfId="812" xr:uid="{00000000-0005-0000-0000-000055020000}"/>
    <cellStyle name="Explanatory Text 2 3" xfId="492" xr:uid="{00000000-0005-0000-0000-000056020000}"/>
    <cellStyle name="Explanatory Text 3" xfId="493" xr:uid="{00000000-0005-0000-0000-000057020000}"/>
    <cellStyle name="Explanatory Text 4" xfId="494" xr:uid="{00000000-0005-0000-0000-000058020000}"/>
    <cellStyle name="Explanatory Text 5" xfId="495" xr:uid="{00000000-0005-0000-0000-000059020000}"/>
    <cellStyle name="Explanatory Text 6" xfId="496" xr:uid="{00000000-0005-0000-0000-00005A020000}"/>
    <cellStyle name="Explanatory Text 7" xfId="497" xr:uid="{00000000-0005-0000-0000-00005B020000}"/>
    <cellStyle name="Explanatory Text 8" xfId="498" xr:uid="{00000000-0005-0000-0000-00005C020000}"/>
    <cellStyle name="Explanatory Text 9" xfId="499" xr:uid="{00000000-0005-0000-0000-00005D020000}"/>
    <cellStyle name="Fixed" xfId="10" xr:uid="{00000000-0005-0000-0000-00005E020000}"/>
    <cellStyle name="Good 10" xfId="500" xr:uid="{00000000-0005-0000-0000-00005F020000}"/>
    <cellStyle name="Good 11" xfId="501" xr:uid="{00000000-0005-0000-0000-000060020000}"/>
    <cellStyle name="Good 12" xfId="502" xr:uid="{00000000-0005-0000-0000-000061020000}"/>
    <cellStyle name="Good 13" xfId="503" xr:uid="{00000000-0005-0000-0000-000062020000}"/>
    <cellStyle name="Good 14" xfId="504" xr:uid="{00000000-0005-0000-0000-000063020000}"/>
    <cellStyle name="Good 15" xfId="505" xr:uid="{00000000-0005-0000-0000-000064020000}"/>
    <cellStyle name="Good 16" xfId="854" xr:uid="{00000000-0005-0000-0000-000065020000}"/>
    <cellStyle name="Good 2" xfId="56" xr:uid="{00000000-0005-0000-0000-000066020000}"/>
    <cellStyle name="Good 2 2" xfId="802" xr:uid="{00000000-0005-0000-0000-000067020000}"/>
    <cellStyle name="Good 2 3" xfId="506" xr:uid="{00000000-0005-0000-0000-000068020000}"/>
    <cellStyle name="Good 3" xfId="507" xr:uid="{00000000-0005-0000-0000-000069020000}"/>
    <cellStyle name="Good 4" xfId="508" xr:uid="{00000000-0005-0000-0000-00006A020000}"/>
    <cellStyle name="Good 5" xfId="509" xr:uid="{00000000-0005-0000-0000-00006B020000}"/>
    <cellStyle name="Good 6" xfId="510" xr:uid="{00000000-0005-0000-0000-00006C020000}"/>
    <cellStyle name="Good 7" xfId="511" xr:uid="{00000000-0005-0000-0000-00006D020000}"/>
    <cellStyle name="Good 8" xfId="512" xr:uid="{00000000-0005-0000-0000-00006E020000}"/>
    <cellStyle name="Good 9" xfId="513" xr:uid="{00000000-0005-0000-0000-00006F020000}"/>
    <cellStyle name="Grey" xfId="57" xr:uid="{00000000-0005-0000-0000-000070020000}"/>
    <cellStyle name="Grey 2" xfId="58" xr:uid="{00000000-0005-0000-0000-000071020000}"/>
    <cellStyle name="Heading 1 10" xfId="514" xr:uid="{00000000-0005-0000-0000-000072020000}"/>
    <cellStyle name="Heading 1 11" xfId="515" xr:uid="{00000000-0005-0000-0000-000073020000}"/>
    <cellStyle name="Heading 1 12" xfId="516" xr:uid="{00000000-0005-0000-0000-000074020000}"/>
    <cellStyle name="Heading 1 13" xfId="517" xr:uid="{00000000-0005-0000-0000-000075020000}"/>
    <cellStyle name="Heading 1 14" xfId="518" xr:uid="{00000000-0005-0000-0000-000076020000}"/>
    <cellStyle name="Heading 1 15" xfId="519" xr:uid="{00000000-0005-0000-0000-000077020000}"/>
    <cellStyle name="Heading 1 16" xfId="859" xr:uid="{00000000-0005-0000-0000-000078020000}"/>
    <cellStyle name="Heading 1 2" xfId="59" xr:uid="{00000000-0005-0000-0000-000079020000}"/>
    <cellStyle name="Heading 1 2 2" xfId="798" xr:uid="{00000000-0005-0000-0000-00007A020000}"/>
    <cellStyle name="Heading 1 2 3" xfId="520" xr:uid="{00000000-0005-0000-0000-00007B020000}"/>
    <cellStyle name="Heading 1 3" xfId="521" xr:uid="{00000000-0005-0000-0000-00007C020000}"/>
    <cellStyle name="Heading 1 4" xfId="522" xr:uid="{00000000-0005-0000-0000-00007D020000}"/>
    <cellStyle name="Heading 1 5" xfId="523" xr:uid="{00000000-0005-0000-0000-00007E020000}"/>
    <cellStyle name="Heading 1 6" xfId="524" xr:uid="{00000000-0005-0000-0000-00007F020000}"/>
    <cellStyle name="Heading 1 7" xfId="525" xr:uid="{00000000-0005-0000-0000-000080020000}"/>
    <cellStyle name="Heading 1 8" xfId="526" xr:uid="{00000000-0005-0000-0000-000081020000}"/>
    <cellStyle name="Heading 1 9" xfId="527" xr:uid="{00000000-0005-0000-0000-000082020000}"/>
    <cellStyle name="Heading 2 10" xfId="528" xr:uid="{00000000-0005-0000-0000-000083020000}"/>
    <cellStyle name="Heading 2 11" xfId="529" xr:uid="{00000000-0005-0000-0000-000084020000}"/>
    <cellStyle name="Heading 2 12" xfId="530" xr:uid="{00000000-0005-0000-0000-000085020000}"/>
    <cellStyle name="Heading 2 13" xfId="531" xr:uid="{00000000-0005-0000-0000-000086020000}"/>
    <cellStyle name="Heading 2 14" xfId="532" xr:uid="{00000000-0005-0000-0000-000087020000}"/>
    <cellStyle name="Heading 2 15" xfId="533" xr:uid="{00000000-0005-0000-0000-000088020000}"/>
    <cellStyle name="Heading 2 16" xfId="857" xr:uid="{00000000-0005-0000-0000-000089020000}"/>
    <cellStyle name="Heading 2 2" xfId="60" xr:uid="{00000000-0005-0000-0000-00008A020000}"/>
    <cellStyle name="Heading 2 2 2" xfId="797" xr:uid="{00000000-0005-0000-0000-00008B020000}"/>
    <cellStyle name="Heading 2 2 3" xfId="534" xr:uid="{00000000-0005-0000-0000-00008C020000}"/>
    <cellStyle name="Heading 2 3" xfId="535" xr:uid="{00000000-0005-0000-0000-00008D020000}"/>
    <cellStyle name="Heading 2 4" xfId="536" xr:uid="{00000000-0005-0000-0000-00008E020000}"/>
    <cellStyle name="Heading 2 5" xfId="537" xr:uid="{00000000-0005-0000-0000-00008F020000}"/>
    <cellStyle name="Heading 2 6" xfId="538" xr:uid="{00000000-0005-0000-0000-000090020000}"/>
    <cellStyle name="Heading 2 7" xfId="539" xr:uid="{00000000-0005-0000-0000-000091020000}"/>
    <cellStyle name="Heading 2 8" xfId="540" xr:uid="{00000000-0005-0000-0000-000092020000}"/>
    <cellStyle name="Heading 2 9" xfId="541" xr:uid="{00000000-0005-0000-0000-000093020000}"/>
    <cellStyle name="Heading 3 10" xfId="542" xr:uid="{00000000-0005-0000-0000-000094020000}"/>
    <cellStyle name="Heading 3 11" xfId="543" xr:uid="{00000000-0005-0000-0000-000095020000}"/>
    <cellStyle name="Heading 3 12" xfId="544" xr:uid="{00000000-0005-0000-0000-000096020000}"/>
    <cellStyle name="Heading 3 13" xfId="545" xr:uid="{00000000-0005-0000-0000-000097020000}"/>
    <cellStyle name="Heading 3 14" xfId="546" xr:uid="{00000000-0005-0000-0000-000098020000}"/>
    <cellStyle name="Heading 3 15" xfId="547" xr:uid="{00000000-0005-0000-0000-000099020000}"/>
    <cellStyle name="Heading 3 16" xfId="856" xr:uid="{00000000-0005-0000-0000-00009A020000}"/>
    <cellStyle name="Heading 3 2" xfId="61" xr:uid="{00000000-0005-0000-0000-00009B020000}"/>
    <cellStyle name="Heading 3 2 2" xfId="800" xr:uid="{00000000-0005-0000-0000-00009C020000}"/>
    <cellStyle name="Heading 3 2 3" xfId="548" xr:uid="{00000000-0005-0000-0000-00009D020000}"/>
    <cellStyle name="Heading 3 3" xfId="549" xr:uid="{00000000-0005-0000-0000-00009E020000}"/>
    <cellStyle name="Heading 3 4" xfId="550" xr:uid="{00000000-0005-0000-0000-00009F020000}"/>
    <cellStyle name="Heading 3 5" xfId="551" xr:uid="{00000000-0005-0000-0000-0000A0020000}"/>
    <cellStyle name="Heading 3 6" xfId="552" xr:uid="{00000000-0005-0000-0000-0000A1020000}"/>
    <cellStyle name="Heading 3 7" xfId="553" xr:uid="{00000000-0005-0000-0000-0000A2020000}"/>
    <cellStyle name="Heading 3 8" xfId="554" xr:uid="{00000000-0005-0000-0000-0000A3020000}"/>
    <cellStyle name="Heading 3 9" xfId="555" xr:uid="{00000000-0005-0000-0000-0000A4020000}"/>
    <cellStyle name="Heading 4 10" xfId="556" xr:uid="{00000000-0005-0000-0000-0000A5020000}"/>
    <cellStyle name="Heading 4 11" xfId="557" xr:uid="{00000000-0005-0000-0000-0000A6020000}"/>
    <cellStyle name="Heading 4 12" xfId="558" xr:uid="{00000000-0005-0000-0000-0000A7020000}"/>
    <cellStyle name="Heading 4 13" xfId="559" xr:uid="{00000000-0005-0000-0000-0000A8020000}"/>
    <cellStyle name="Heading 4 14" xfId="560" xr:uid="{00000000-0005-0000-0000-0000A9020000}"/>
    <cellStyle name="Heading 4 15" xfId="561" xr:uid="{00000000-0005-0000-0000-0000AA020000}"/>
    <cellStyle name="Heading 4 16" xfId="899" xr:uid="{00000000-0005-0000-0000-0000AB020000}"/>
    <cellStyle name="Heading 4 2" xfId="62" xr:uid="{00000000-0005-0000-0000-0000AC020000}"/>
    <cellStyle name="Heading 4 2 2" xfId="801" xr:uid="{00000000-0005-0000-0000-0000AD020000}"/>
    <cellStyle name="Heading 4 2 3" xfId="562" xr:uid="{00000000-0005-0000-0000-0000AE020000}"/>
    <cellStyle name="Heading 4 3" xfId="563" xr:uid="{00000000-0005-0000-0000-0000AF020000}"/>
    <cellStyle name="Heading 4 4" xfId="564" xr:uid="{00000000-0005-0000-0000-0000B0020000}"/>
    <cellStyle name="Heading 4 5" xfId="565" xr:uid="{00000000-0005-0000-0000-0000B1020000}"/>
    <cellStyle name="Heading 4 6" xfId="566" xr:uid="{00000000-0005-0000-0000-0000B2020000}"/>
    <cellStyle name="Heading 4 7" xfId="567" xr:uid="{00000000-0005-0000-0000-0000B3020000}"/>
    <cellStyle name="Heading 4 8" xfId="568" xr:uid="{00000000-0005-0000-0000-0000B4020000}"/>
    <cellStyle name="Heading 4 9" xfId="569" xr:uid="{00000000-0005-0000-0000-0000B5020000}"/>
    <cellStyle name="Hyperlink 2" xfId="860" xr:uid="{00000000-0005-0000-0000-0000B6020000}"/>
    <cellStyle name="Hyperlink 2 2" xfId="1079" xr:uid="{00000000-0005-0000-0000-0000B7020000}"/>
    <cellStyle name="Hyperlink 3" xfId="791" xr:uid="{00000000-0005-0000-0000-0000B8020000}"/>
    <cellStyle name="Hyperlink 4" xfId="1523" xr:uid="{00000000-0005-0000-0000-0000B9020000}"/>
    <cellStyle name="Hyperlink 5" xfId="1530" xr:uid="{00000000-0005-0000-0000-0000BA020000}"/>
    <cellStyle name="Input [yellow]" xfId="63" xr:uid="{00000000-0005-0000-0000-0000BB020000}"/>
    <cellStyle name="Input [yellow] 2" xfId="64" xr:uid="{00000000-0005-0000-0000-0000BC020000}"/>
    <cellStyle name="Input 10" xfId="570" xr:uid="{00000000-0005-0000-0000-0000BD020000}"/>
    <cellStyle name="Input 11" xfId="571" xr:uid="{00000000-0005-0000-0000-0000BE020000}"/>
    <cellStyle name="Input 12" xfId="572" xr:uid="{00000000-0005-0000-0000-0000BF020000}"/>
    <cellStyle name="Input 13" xfId="573" xr:uid="{00000000-0005-0000-0000-0000C0020000}"/>
    <cellStyle name="Input 14" xfId="574" xr:uid="{00000000-0005-0000-0000-0000C1020000}"/>
    <cellStyle name="Input 15" xfId="575" xr:uid="{00000000-0005-0000-0000-0000C2020000}"/>
    <cellStyle name="Input 16" xfId="852" xr:uid="{00000000-0005-0000-0000-0000C3020000}"/>
    <cellStyle name="Input 17" xfId="928" xr:uid="{00000000-0005-0000-0000-0000C4020000}"/>
    <cellStyle name="Input 18" xfId="927" xr:uid="{00000000-0005-0000-0000-0000C5020000}"/>
    <cellStyle name="Input 19" xfId="926" xr:uid="{00000000-0005-0000-0000-0000C6020000}"/>
    <cellStyle name="Input 2" xfId="65" xr:uid="{00000000-0005-0000-0000-0000C7020000}"/>
    <cellStyle name="Input 2 2" xfId="805" xr:uid="{00000000-0005-0000-0000-0000C8020000}"/>
    <cellStyle name="Input 2 3" xfId="576" xr:uid="{00000000-0005-0000-0000-0000C9020000}"/>
    <cellStyle name="Input 20" xfId="934" xr:uid="{00000000-0005-0000-0000-0000CA020000}"/>
    <cellStyle name="Input 3" xfId="577" xr:uid="{00000000-0005-0000-0000-0000CB020000}"/>
    <cellStyle name="Input 4" xfId="578" xr:uid="{00000000-0005-0000-0000-0000CC020000}"/>
    <cellStyle name="Input 5" xfId="579" xr:uid="{00000000-0005-0000-0000-0000CD020000}"/>
    <cellStyle name="Input 6" xfId="580" xr:uid="{00000000-0005-0000-0000-0000CE020000}"/>
    <cellStyle name="Input 7" xfId="581" xr:uid="{00000000-0005-0000-0000-0000CF020000}"/>
    <cellStyle name="Input 8" xfId="582" xr:uid="{00000000-0005-0000-0000-0000D0020000}"/>
    <cellStyle name="Input 9" xfId="583" xr:uid="{00000000-0005-0000-0000-0000D1020000}"/>
    <cellStyle name="Linked Cell 10" xfId="584" xr:uid="{00000000-0005-0000-0000-0000D2020000}"/>
    <cellStyle name="Linked Cell 11" xfId="585" xr:uid="{00000000-0005-0000-0000-0000D3020000}"/>
    <cellStyle name="Linked Cell 12" xfId="586" xr:uid="{00000000-0005-0000-0000-0000D4020000}"/>
    <cellStyle name="Linked Cell 13" xfId="587" xr:uid="{00000000-0005-0000-0000-0000D5020000}"/>
    <cellStyle name="Linked Cell 14" xfId="588" xr:uid="{00000000-0005-0000-0000-0000D6020000}"/>
    <cellStyle name="Linked Cell 15" xfId="589" xr:uid="{00000000-0005-0000-0000-0000D7020000}"/>
    <cellStyle name="Linked Cell 16" xfId="893" xr:uid="{00000000-0005-0000-0000-0000D8020000}"/>
    <cellStyle name="Linked Cell 2" xfId="66" xr:uid="{00000000-0005-0000-0000-0000D9020000}"/>
    <cellStyle name="Linked Cell 2 2" xfId="808" xr:uid="{00000000-0005-0000-0000-0000DA020000}"/>
    <cellStyle name="Linked Cell 2 3" xfId="590" xr:uid="{00000000-0005-0000-0000-0000DB020000}"/>
    <cellStyle name="Linked Cell 3" xfId="591" xr:uid="{00000000-0005-0000-0000-0000DC020000}"/>
    <cellStyle name="Linked Cell 4" xfId="592" xr:uid="{00000000-0005-0000-0000-0000DD020000}"/>
    <cellStyle name="Linked Cell 5" xfId="593" xr:uid="{00000000-0005-0000-0000-0000DE020000}"/>
    <cellStyle name="Linked Cell 6" xfId="594" xr:uid="{00000000-0005-0000-0000-0000DF020000}"/>
    <cellStyle name="Linked Cell 7" xfId="595" xr:uid="{00000000-0005-0000-0000-0000E0020000}"/>
    <cellStyle name="Linked Cell 8" xfId="596" xr:uid="{00000000-0005-0000-0000-0000E1020000}"/>
    <cellStyle name="Linked Cell 9" xfId="597" xr:uid="{00000000-0005-0000-0000-0000E2020000}"/>
    <cellStyle name="M" xfId="67" xr:uid="{00000000-0005-0000-0000-0000E3020000}"/>
    <cellStyle name="M.00" xfId="68" xr:uid="{00000000-0005-0000-0000-0000E4020000}"/>
    <cellStyle name="M_9. Rev2Cost_GDPIPI" xfId="69" xr:uid="{00000000-0005-0000-0000-0000E5020000}"/>
    <cellStyle name="M_lists" xfId="70" xr:uid="{00000000-0005-0000-0000-0000E6020000}"/>
    <cellStyle name="M_lists_4. Current Monthly Fixed Charge" xfId="71" xr:uid="{00000000-0005-0000-0000-0000E7020000}"/>
    <cellStyle name="M_Sheet4" xfId="72" xr:uid="{00000000-0005-0000-0000-0000E8020000}"/>
    <cellStyle name="Neutral 10" xfId="598" xr:uid="{00000000-0005-0000-0000-0000E9020000}"/>
    <cellStyle name="Neutral 11" xfId="599" xr:uid="{00000000-0005-0000-0000-0000EA020000}"/>
    <cellStyle name="Neutral 12" xfId="600" xr:uid="{00000000-0005-0000-0000-0000EB020000}"/>
    <cellStyle name="Neutral 13" xfId="601" xr:uid="{00000000-0005-0000-0000-0000EC020000}"/>
    <cellStyle name="Neutral 14" xfId="602" xr:uid="{00000000-0005-0000-0000-0000ED020000}"/>
    <cellStyle name="Neutral 15" xfId="603" xr:uid="{00000000-0005-0000-0000-0000EE020000}"/>
    <cellStyle name="Neutral 16" xfId="792" xr:uid="{00000000-0005-0000-0000-0000EF020000}"/>
    <cellStyle name="Neutral 2" xfId="73" xr:uid="{00000000-0005-0000-0000-0000F0020000}"/>
    <cellStyle name="Neutral 2 2" xfId="804" xr:uid="{00000000-0005-0000-0000-0000F1020000}"/>
    <cellStyle name="Neutral 2 3" xfId="604" xr:uid="{00000000-0005-0000-0000-0000F2020000}"/>
    <cellStyle name="Neutral 3" xfId="605" xr:uid="{00000000-0005-0000-0000-0000F3020000}"/>
    <cellStyle name="Neutral 4" xfId="606" xr:uid="{00000000-0005-0000-0000-0000F4020000}"/>
    <cellStyle name="Neutral 5" xfId="607" xr:uid="{00000000-0005-0000-0000-0000F5020000}"/>
    <cellStyle name="Neutral 6" xfId="608" xr:uid="{00000000-0005-0000-0000-0000F6020000}"/>
    <cellStyle name="Neutral 7" xfId="609" xr:uid="{00000000-0005-0000-0000-0000F7020000}"/>
    <cellStyle name="Neutral 8" xfId="610" xr:uid="{00000000-0005-0000-0000-0000F8020000}"/>
    <cellStyle name="Neutral 9" xfId="611" xr:uid="{00000000-0005-0000-0000-0000F9020000}"/>
    <cellStyle name="Normal" xfId="0" builtinId="0"/>
    <cellStyle name="Normal - Style1" xfId="74" xr:uid="{00000000-0005-0000-0000-0000FB020000}"/>
    <cellStyle name="Normal 10" xfId="612" xr:uid="{00000000-0005-0000-0000-0000FC020000}"/>
    <cellStyle name="Normal 11" xfId="613" xr:uid="{00000000-0005-0000-0000-0000FD020000}"/>
    <cellStyle name="Normal 12" xfId="614" xr:uid="{00000000-0005-0000-0000-0000FE020000}"/>
    <cellStyle name="Normal 13" xfId="615" xr:uid="{00000000-0005-0000-0000-0000FF020000}"/>
    <cellStyle name="Normal 14" xfId="616" xr:uid="{00000000-0005-0000-0000-000000030000}"/>
    <cellStyle name="Normal 15" xfId="617" xr:uid="{00000000-0005-0000-0000-000001030000}"/>
    <cellStyle name="Normal 16" xfId="618" xr:uid="{00000000-0005-0000-0000-000002030000}"/>
    <cellStyle name="Normal 16 10" xfId="1259" xr:uid="{00000000-0005-0000-0000-000003030000}"/>
    <cellStyle name="Normal 16 11" xfId="1015" xr:uid="{00000000-0005-0000-0000-000004030000}"/>
    <cellStyle name="Normal 16 12" xfId="1525" xr:uid="{00000000-0005-0000-0000-000005030000}"/>
    <cellStyle name="Normal 16 2" xfId="702" xr:uid="{00000000-0005-0000-0000-000006030000}"/>
    <cellStyle name="Normal 16 2 2" xfId="719" xr:uid="{00000000-0005-0000-0000-000007030000}"/>
    <cellStyle name="Normal 16 2 2 2" xfId="756" xr:uid="{00000000-0005-0000-0000-000008030000}"/>
    <cellStyle name="Normal 16 2 2 2 2" xfId="911" xr:uid="{00000000-0005-0000-0000-000009030000}"/>
    <cellStyle name="Normal 16 2 2 2 2 2" xfId="1242" xr:uid="{00000000-0005-0000-0000-00000A030000}"/>
    <cellStyle name="Normal 16 2 2 2 2 2 2" xfId="1475" xr:uid="{00000000-0005-0000-0000-00000B030000}"/>
    <cellStyle name="Normal 16 2 2 2 2 3" xfId="1359" xr:uid="{00000000-0005-0000-0000-00000C030000}"/>
    <cellStyle name="Normal 16 2 2 2 2 4" xfId="1123" xr:uid="{00000000-0005-0000-0000-00000D030000}"/>
    <cellStyle name="Normal 16 2 2 2 3" xfId="981" xr:uid="{00000000-0005-0000-0000-00000E030000}"/>
    <cellStyle name="Normal 16 2 2 2 3 2" xfId="1419" xr:uid="{00000000-0005-0000-0000-00000F030000}"/>
    <cellStyle name="Normal 16 2 2 2 3 3" xfId="1186" xr:uid="{00000000-0005-0000-0000-000010030000}"/>
    <cellStyle name="Normal 16 2 2 2 4" xfId="1303" xr:uid="{00000000-0005-0000-0000-000011030000}"/>
    <cellStyle name="Normal 16 2 2 2 5" xfId="1066" xr:uid="{00000000-0005-0000-0000-000012030000}"/>
    <cellStyle name="Normal 16 2 2 3" xfId="878" xr:uid="{00000000-0005-0000-0000-000013030000}"/>
    <cellStyle name="Normal 16 2 2 3 2" xfId="1212" xr:uid="{00000000-0005-0000-0000-000014030000}"/>
    <cellStyle name="Normal 16 2 2 3 2 2" xfId="1445" xr:uid="{00000000-0005-0000-0000-000015030000}"/>
    <cellStyle name="Normal 16 2 2 3 3" xfId="1329" xr:uid="{00000000-0005-0000-0000-000016030000}"/>
    <cellStyle name="Normal 16 2 2 3 4" xfId="1093" xr:uid="{00000000-0005-0000-0000-000017030000}"/>
    <cellStyle name="Normal 16 2 2 4" xfId="951" xr:uid="{00000000-0005-0000-0000-000018030000}"/>
    <cellStyle name="Normal 16 2 2 4 2" xfId="1393" xr:uid="{00000000-0005-0000-0000-000019030000}"/>
    <cellStyle name="Normal 16 2 2 4 3" xfId="1160" xr:uid="{00000000-0005-0000-0000-00001A030000}"/>
    <cellStyle name="Normal 16 2 2 5" xfId="1277" xr:uid="{00000000-0005-0000-0000-00001B030000}"/>
    <cellStyle name="Normal 16 2 2 6" xfId="1040" xr:uid="{00000000-0005-0000-0000-00001C030000}"/>
    <cellStyle name="Normal 16 2 3" xfId="727" xr:uid="{00000000-0005-0000-0000-00001D030000}"/>
    <cellStyle name="Normal 16 2 3 2" xfId="764" xr:uid="{00000000-0005-0000-0000-00001E030000}"/>
    <cellStyle name="Normal 16 2 3 2 2" xfId="919" xr:uid="{00000000-0005-0000-0000-00001F030000}"/>
    <cellStyle name="Normal 16 2 3 2 2 2" xfId="1250" xr:uid="{00000000-0005-0000-0000-000020030000}"/>
    <cellStyle name="Normal 16 2 3 2 2 2 2" xfId="1483" xr:uid="{00000000-0005-0000-0000-000021030000}"/>
    <cellStyle name="Normal 16 2 3 2 2 3" xfId="1367" xr:uid="{00000000-0005-0000-0000-000022030000}"/>
    <cellStyle name="Normal 16 2 3 2 2 4" xfId="1131" xr:uid="{00000000-0005-0000-0000-000023030000}"/>
    <cellStyle name="Normal 16 2 3 2 3" xfId="989" xr:uid="{00000000-0005-0000-0000-000024030000}"/>
    <cellStyle name="Normal 16 2 3 2 3 2" xfId="1427" xr:uid="{00000000-0005-0000-0000-000025030000}"/>
    <cellStyle name="Normal 16 2 3 2 3 3" xfId="1194" xr:uid="{00000000-0005-0000-0000-000026030000}"/>
    <cellStyle name="Normal 16 2 3 2 4" xfId="1311" xr:uid="{00000000-0005-0000-0000-000027030000}"/>
    <cellStyle name="Normal 16 2 3 2 5" xfId="1074" xr:uid="{00000000-0005-0000-0000-000028030000}"/>
    <cellStyle name="Normal 16 2 3 3" xfId="886" xr:uid="{00000000-0005-0000-0000-000029030000}"/>
    <cellStyle name="Normal 16 2 3 3 2" xfId="1220" xr:uid="{00000000-0005-0000-0000-00002A030000}"/>
    <cellStyle name="Normal 16 2 3 3 2 2" xfId="1453" xr:uid="{00000000-0005-0000-0000-00002B030000}"/>
    <cellStyle name="Normal 16 2 3 3 3" xfId="1337" xr:uid="{00000000-0005-0000-0000-00002C030000}"/>
    <cellStyle name="Normal 16 2 3 3 4" xfId="1101" xr:uid="{00000000-0005-0000-0000-00002D030000}"/>
    <cellStyle name="Normal 16 2 3 4" xfId="959" xr:uid="{00000000-0005-0000-0000-00002E030000}"/>
    <cellStyle name="Normal 16 2 3 4 2" xfId="1401" xr:uid="{00000000-0005-0000-0000-00002F030000}"/>
    <cellStyle name="Normal 16 2 3 4 3" xfId="1168" xr:uid="{00000000-0005-0000-0000-000030030000}"/>
    <cellStyle name="Normal 16 2 3 5" xfId="1285" xr:uid="{00000000-0005-0000-0000-000031030000}"/>
    <cellStyle name="Normal 16 2 3 6" xfId="1048" xr:uid="{00000000-0005-0000-0000-000032030000}"/>
    <cellStyle name="Normal 16 2 4" xfId="748" xr:uid="{00000000-0005-0000-0000-000033030000}"/>
    <cellStyle name="Normal 16 2 4 2" xfId="903" xr:uid="{00000000-0005-0000-0000-000034030000}"/>
    <cellStyle name="Normal 16 2 4 2 2" xfId="1234" xr:uid="{00000000-0005-0000-0000-000035030000}"/>
    <cellStyle name="Normal 16 2 4 2 2 2" xfId="1467" xr:uid="{00000000-0005-0000-0000-000036030000}"/>
    <cellStyle name="Normal 16 2 4 2 3" xfId="1351" xr:uid="{00000000-0005-0000-0000-000037030000}"/>
    <cellStyle name="Normal 16 2 4 2 4" xfId="1115" xr:uid="{00000000-0005-0000-0000-000038030000}"/>
    <cellStyle name="Normal 16 2 4 3" xfId="973" xr:uid="{00000000-0005-0000-0000-000039030000}"/>
    <cellStyle name="Normal 16 2 4 3 2" xfId="1385" xr:uid="{00000000-0005-0000-0000-00003A030000}"/>
    <cellStyle name="Normal 16 2 4 3 3" xfId="1152" xr:uid="{00000000-0005-0000-0000-00003B030000}"/>
    <cellStyle name="Normal 16 2 4 4" xfId="1269" xr:uid="{00000000-0005-0000-0000-00003C030000}"/>
    <cellStyle name="Normal 16 2 4 5" xfId="1032" xr:uid="{00000000-0005-0000-0000-00003D030000}"/>
    <cellStyle name="Normal 16 2 5" xfId="867" xr:uid="{00000000-0005-0000-0000-00003E030000}"/>
    <cellStyle name="Normal 16 2 5 2" xfId="1178" xr:uid="{00000000-0005-0000-0000-00003F030000}"/>
    <cellStyle name="Normal 16 2 5 2 2" xfId="1411" xr:uid="{00000000-0005-0000-0000-000040030000}"/>
    <cellStyle name="Normal 16 2 5 3" xfId="1295" xr:uid="{00000000-0005-0000-0000-000041030000}"/>
    <cellStyle name="Normal 16 2 5 4" xfId="1058" xr:uid="{00000000-0005-0000-0000-000042030000}"/>
    <cellStyle name="Normal 16 2 6" xfId="943" xr:uid="{00000000-0005-0000-0000-000043030000}"/>
    <cellStyle name="Normal 16 2 6 2" xfId="1204" xr:uid="{00000000-0005-0000-0000-000044030000}"/>
    <cellStyle name="Normal 16 2 6 2 2" xfId="1437" xr:uid="{00000000-0005-0000-0000-000045030000}"/>
    <cellStyle name="Normal 16 2 6 3" xfId="1321" xr:uid="{00000000-0005-0000-0000-000046030000}"/>
    <cellStyle name="Normal 16 2 6 4" xfId="1085" xr:uid="{00000000-0005-0000-0000-000047030000}"/>
    <cellStyle name="Normal 16 2 7" xfId="1145" xr:uid="{00000000-0005-0000-0000-000048030000}"/>
    <cellStyle name="Normal 16 2 7 2" xfId="1378" xr:uid="{00000000-0005-0000-0000-000049030000}"/>
    <cellStyle name="Normal 16 2 8" xfId="1262" xr:uid="{00000000-0005-0000-0000-00004A030000}"/>
    <cellStyle name="Normal 16 2 9" xfId="1025" xr:uid="{00000000-0005-0000-0000-00004B030000}"/>
    <cellStyle name="Normal 16 3" xfId="692" xr:uid="{00000000-0005-0000-0000-00004C030000}"/>
    <cellStyle name="Normal 16 3 2" xfId="745" xr:uid="{00000000-0005-0000-0000-00004D030000}"/>
    <cellStyle name="Normal 16 3 2 2" xfId="900" xr:uid="{00000000-0005-0000-0000-00004E030000}"/>
    <cellStyle name="Normal 16 3 2 2 2" xfId="1231" xr:uid="{00000000-0005-0000-0000-00004F030000}"/>
    <cellStyle name="Normal 16 3 2 2 2 2" xfId="1464" xr:uid="{00000000-0005-0000-0000-000050030000}"/>
    <cellStyle name="Normal 16 3 2 2 3" xfId="1348" xr:uid="{00000000-0005-0000-0000-000051030000}"/>
    <cellStyle name="Normal 16 3 2 2 4" xfId="1112" xr:uid="{00000000-0005-0000-0000-000052030000}"/>
    <cellStyle name="Normal 16 3 2 3" xfId="970" xr:uid="{00000000-0005-0000-0000-000053030000}"/>
    <cellStyle name="Normal 16 3 2 3 2" xfId="1408" xr:uid="{00000000-0005-0000-0000-000054030000}"/>
    <cellStyle name="Normal 16 3 2 3 3" xfId="1175" xr:uid="{00000000-0005-0000-0000-000055030000}"/>
    <cellStyle name="Normal 16 3 2 4" xfId="1292" xr:uid="{00000000-0005-0000-0000-000056030000}"/>
    <cellStyle name="Normal 16 3 2 5" xfId="1055" xr:uid="{00000000-0005-0000-0000-000057030000}"/>
    <cellStyle name="Normal 16 3 3" xfId="861" xr:uid="{00000000-0005-0000-0000-000058030000}"/>
    <cellStyle name="Normal 16 3 3 2" xfId="1201" xr:uid="{00000000-0005-0000-0000-000059030000}"/>
    <cellStyle name="Normal 16 3 3 2 2" xfId="1434" xr:uid="{00000000-0005-0000-0000-00005A030000}"/>
    <cellStyle name="Normal 16 3 3 3" xfId="1318" xr:uid="{00000000-0005-0000-0000-00005B030000}"/>
    <cellStyle name="Normal 16 3 3 4" xfId="1082" xr:uid="{00000000-0005-0000-0000-00005C030000}"/>
    <cellStyle name="Normal 16 3 4" xfId="940" xr:uid="{00000000-0005-0000-0000-00005D030000}"/>
    <cellStyle name="Normal 16 3 4 2" xfId="1382" xr:uid="{00000000-0005-0000-0000-00005E030000}"/>
    <cellStyle name="Normal 16 3 4 3" xfId="1149" xr:uid="{00000000-0005-0000-0000-00005F030000}"/>
    <cellStyle name="Normal 16 3 5" xfId="1266" xr:uid="{00000000-0005-0000-0000-000060030000}"/>
    <cellStyle name="Normal 16 3 6" xfId="1029" xr:uid="{00000000-0005-0000-0000-000061030000}"/>
    <cellStyle name="Normal 16 4" xfId="716" xr:uid="{00000000-0005-0000-0000-000062030000}"/>
    <cellStyle name="Normal 16 4 2" xfId="753" xr:uid="{00000000-0005-0000-0000-000063030000}"/>
    <cellStyle name="Normal 16 4 2 2" xfId="908" xr:uid="{00000000-0005-0000-0000-000064030000}"/>
    <cellStyle name="Normal 16 4 2 2 2" xfId="1239" xr:uid="{00000000-0005-0000-0000-000065030000}"/>
    <cellStyle name="Normal 16 4 2 2 2 2" xfId="1472" xr:uid="{00000000-0005-0000-0000-000066030000}"/>
    <cellStyle name="Normal 16 4 2 2 3" xfId="1356" xr:uid="{00000000-0005-0000-0000-000067030000}"/>
    <cellStyle name="Normal 16 4 2 2 4" xfId="1120" xr:uid="{00000000-0005-0000-0000-000068030000}"/>
    <cellStyle name="Normal 16 4 2 3" xfId="978" xr:uid="{00000000-0005-0000-0000-000069030000}"/>
    <cellStyle name="Normal 16 4 2 3 2" xfId="1416" xr:uid="{00000000-0005-0000-0000-00006A030000}"/>
    <cellStyle name="Normal 16 4 2 3 3" xfId="1183" xr:uid="{00000000-0005-0000-0000-00006B030000}"/>
    <cellStyle name="Normal 16 4 2 4" xfId="1300" xr:uid="{00000000-0005-0000-0000-00006C030000}"/>
    <cellStyle name="Normal 16 4 2 5" xfId="1063" xr:uid="{00000000-0005-0000-0000-00006D030000}"/>
    <cellStyle name="Normal 16 4 3" xfId="875" xr:uid="{00000000-0005-0000-0000-00006E030000}"/>
    <cellStyle name="Normal 16 4 3 2" xfId="1209" xr:uid="{00000000-0005-0000-0000-00006F030000}"/>
    <cellStyle name="Normal 16 4 3 2 2" xfId="1442" xr:uid="{00000000-0005-0000-0000-000070030000}"/>
    <cellStyle name="Normal 16 4 3 3" xfId="1326" xr:uid="{00000000-0005-0000-0000-000071030000}"/>
    <cellStyle name="Normal 16 4 3 4" xfId="1090" xr:uid="{00000000-0005-0000-0000-000072030000}"/>
    <cellStyle name="Normal 16 4 4" xfId="948" xr:uid="{00000000-0005-0000-0000-000073030000}"/>
    <cellStyle name="Normal 16 4 4 2" xfId="1390" xr:uid="{00000000-0005-0000-0000-000074030000}"/>
    <cellStyle name="Normal 16 4 4 3" xfId="1157" xr:uid="{00000000-0005-0000-0000-000075030000}"/>
    <cellStyle name="Normal 16 4 5" xfId="1274" xr:uid="{00000000-0005-0000-0000-000076030000}"/>
    <cellStyle name="Normal 16 4 6" xfId="1037" xr:uid="{00000000-0005-0000-0000-000077030000}"/>
    <cellStyle name="Normal 16 5" xfId="724" xr:uid="{00000000-0005-0000-0000-000078030000}"/>
    <cellStyle name="Normal 16 5 2" xfId="761" xr:uid="{00000000-0005-0000-0000-000079030000}"/>
    <cellStyle name="Normal 16 5 2 2" xfId="916" xr:uid="{00000000-0005-0000-0000-00007A030000}"/>
    <cellStyle name="Normal 16 5 2 2 2" xfId="1247" xr:uid="{00000000-0005-0000-0000-00007B030000}"/>
    <cellStyle name="Normal 16 5 2 2 2 2" xfId="1480" xr:uid="{00000000-0005-0000-0000-00007C030000}"/>
    <cellStyle name="Normal 16 5 2 2 3" xfId="1364" xr:uid="{00000000-0005-0000-0000-00007D030000}"/>
    <cellStyle name="Normal 16 5 2 2 4" xfId="1128" xr:uid="{00000000-0005-0000-0000-00007E030000}"/>
    <cellStyle name="Normal 16 5 2 3" xfId="986" xr:uid="{00000000-0005-0000-0000-00007F030000}"/>
    <cellStyle name="Normal 16 5 2 3 2" xfId="1424" xr:uid="{00000000-0005-0000-0000-000080030000}"/>
    <cellStyle name="Normal 16 5 2 3 3" xfId="1191" xr:uid="{00000000-0005-0000-0000-000081030000}"/>
    <cellStyle name="Normal 16 5 2 4" xfId="1308" xr:uid="{00000000-0005-0000-0000-000082030000}"/>
    <cellStyle name="Normal 16 5 2 5" xfId="1071" xr:uid="{00000000-0005-0000-0000-000083030000}"/>
    <cellStyle name="Normal 16 5 3" xfId="883" xr:uid="{00000000-0005-0000-0000-000084030000}"/>
    <cellStyle name="Normal 16 5 3 2" xfId="1217" xr:uid="{00000000-0005-0000-0000-000085030000}"/>
    <cellStyle name="Normal 16 5 3 2 2" xfId="1450" xr:uid="{00000000-0005-0000-0000-000086030000}"/>
    <cellStyle name="Normal 16 5 3 3" xfId="1334" xr:uid="{00000000-0005-0000-0000-000087030000}"/>
    <cellStyle name="Normal 16 5 3 4" xfId="1098" xr:uid="{00000000-0005-0000-0000-000088030000}"/>
    <cellStyle name="Normal 16 5 4" xfId="956" xr:uid="{00000000-0005-0000-0000-000089030000}"/>
    <cellStyle name="Normal 16 5 4 2" xfId="1398" xr:uid="{00000000-0005-0000-0000-00008A030000}"/>
    <cellStyle name="Normal 16 5 4 3" xfId="1165" xr:uid="{00000000-0005-0000-0000-00008B030000}"/>
    <cellStyle name="Normal 16 5 5" xfId="1282" xr:uid="{00000000-0005-0000-0000-00008C030000}"/>
    <cellStyle name="Normal 16 5 6" xfId="1045" xr:uid="{00000000-0005-0000-0000-00008D030000}"/>
    <cellStyle name="Normal 16 6" xfId="742" xr:uid="{00000000-0005-0000-0000-00008E030000}"/>
    <cellStyle name="Normal 16 6 2" xfId="897" xr:uid="{00000000-0005-0000-0000-00008F030000}"/>
    <cellStyle name="Normal 16 6 2 2" xfId="1229" xr:uid="{00000000-0005-0000-0000-000090030000}"/>
    <cellStyle name="Normal 16 6 2 2 2" xfId="1462" xr:uid="{00000000-0005-0000-0000-000091030000}"/>
    <cellStyle name="Normal 16 6 2 3" xfId="1346" xr:uid="{00000000-0005-0000-0000-000092030000}"/>
    <cellStyle name="Normal 16 6 2 4" xfId="1110" xr:uid="{00000000-0005-0000-0000-000093030000}"/>
    <cellStyle name="Normal 16 6 3" xfId="968" xr:uid="{00000000-0005-0000-0000-000094030000}"/>
    <cellStyle name="Normal 16 6 3 2" xfId="1380" xr:uid="{00000000-0005-0000-0000-000095030000}"/>
    <cellStyle name="Normal 16 6 3 3" xfId="1147" xr:uid="{00000000-0005-0000-0000-000096030000}"/>
    <cellStyle name="Normal 16 6 4" xfId="1264" xr:uid="{00000000-0005-0000-0000-000097030000}"/>
    <cellStyle name="Normal 16 6 5" xfId="1027" xr:uid="{00000000-0005-0000-0000-000098030000}"/>
    <cellStyle name="Normal 16 7" xfId="848" xr:uid="{00000000-0005-0000-0000-000099030000}"/>
    <cellStyle name="Normal 16 7 2" xfId="1173" xr:uid="{00000000-0005-0000-0000-00009A030000}"/>
    <cellStyle name="Normal 16 7 2 2" xfId="1406" xr:uid="{00000000-0005-0000-0000-00009B030000}"/>
    <cellStyle name="Normal 16 7 3" xfId="1290" xr:uid="{00000000-0005-0000-0000-00009C030000}"/>
    <cellStyle name="Normal 16 7 4" xfId="1053" xr:uid="{00000000-0005-0000-0000-00009D030000}"/>
    <cellStyle name="Normal 16 8" xfId="937" xr:uid="{00000000-0005-0000-0000-00009E030000}"/>
    <cellStyle name="Normal 16 8 2" xfId="1199" xr:uid="{00000000-0005-0000-0000-00009F030000}"/>
    <cellStyle name="Normal 16 8 2 2" xfId="1432" xr:uid="{00000000-0005-0000-0000-0000A0030000}"/>
    <cellStyle name="Normal 16 8 3" xfId="1316" xr:uid="{00000000-0005-0000-0000-0000A1030000}"/>
    <cellStyle name="Normal 16 8 4" xfId="1080" xr:uid="{00000000-0005-0000-0000-0000A2030000}"/>
    <cellStyle name="Normal 16 9" xfId="1140" xr:uid="{00000000-0005-0000-0000-0000A3030000}"/>
    <cellStyle name="Normal 16 9 2" xfId="1375" xr:uid="{00000000-0005-0000-0000-0000A4030000}"/>
    <cellStyle name="Normal 17" xfId="619" xr:uid="{00000000-0005-0000-0000-0000A5030000}"/>
    <cellStyle name="Normal 17 10" xfId="1260" xr:uid="{00000000-0005-0000-0000-0000A6030000}"/>
    <cellStyle name="Normal 17 11" xfId="1016" xr:uid="{00000000-0005-0000-0000-0000A7030000}"/>
    <cellStyle name="Normal 17 2" xfId="703" xr:uid="{00000000-0005-0000-0000-0000A8030000}"/>
    <cellStyle name="Normal 17 2 2" xfId="720" xr:uid="{00000000-0005-0000-0000-0000A9030000}"/>
    <cellStyle name="Normal 17 2 2 2" xfId="757" xr:uid="{00000000-0005-0000-0000-0000AA030000}"/>
    <cellStyle name="Normal 17 2 2 2 2" xfId="912" xr:uid="{00000000-0005-0000-0000-0000AB030000}"/>
    <cellStyle name="Normal 17 2 2 2 2 2" xfId="1243" xr:uid="{00000000-0005-0000-0000-0000AC030000}"/>
    <cellStyle name="Normal 17 2 2 2 2 2 2" xfId="1476" xr:uid="{00000000-0005-0000-0000-0000AD030000}"/>
    <cellStyle name="Normal 17 2 2 2 2 3" xfId="1360" xr:uid="{00000000-0005-0000-0000-0000AE030000}"/>
    <cellStyle name="Normal 17 2 2 2 2 4" xfId="1124" xr:uid="{00000000-0005-0000-0000-0000AF030000}"/>
    <cellStyle name="Normal 17 2 2 2 3" xfId="982" xr:uid="{00000000-0005-0000-0000-0000B0030000}"/>
    <cellStyle name="Normal 17 2 2 2 3 2" xfId="1420" xr:uid="{00000000-0005-0000-0000-0000B1030000}"/>
    <cellStyle name="Normal 17 2 2 2 3 3" xfId="1187" xr:uid="{00000000-0005-0000-0000-0000B2030000}"/>
    <cellStyle name="Normal 17 2 2 2 4" xfId="1304" xr:uid="{00000000-0005-0000-0000-0000B3030000}"/>
    <cellStyle name="Normal 17 2 2 2 5" xfId="1067" xr:uid="{00000000-0005-0000-0000-0000B4030000}"/>
    <cellStyle name="Normal 17 2 2 3" xfId="879" xr:uid="{00000000-0005-0000-0000-0000B5030000}"/>
    <cellStyle name="Normal 17 2 2 3 2" xfId="1213" xr:uid="{00000000-0005-0000-0000-0000B6030000}"/>
    <cellStyle name="Normal 17 2 2 3 2 2" xfId="1446" xr:uid="{00000000-0005-0000-0000-0000B7030000}"/>
    <cellStyle name="Normal 17 2 2 3 3" xfId="1330" xr:uid="{00000000-0005-0000-0000-0000B8030000}"/>
    <cellStyle name="Normal 17 2 2 3 4" xfId="1094" xr:uid="{00000000-0005-0000-0000-0000B9030000}"/>
    <cellStyle name="Normal 17 2 2 4" xfId="952" xr:uid="{00000000-0005-0000-0000-0000BA030000}"/>
    <cellStyle name="Normal 17 2 2 4 2" xfId="1394" xr:uid="{00000000-0005-0000-0000-0000BB030000}"/>
    <cellStyle name="Normal 17 2 2 4 3" xfId="1161" xr:uid="{00000000-0005-0000-0000-0000BC030000}"/>
    <cellStyle name="Normal 17 2 2 5" xfId="1278" xr:uid="{00000000-0005-0000-0000-0000BD030000}"/>
    <cellStyle name="Normal 17 2 2 6" xfId="1041" xr:uid="{00000000-0005-0000-0000-0000BE030000}"/>
    <cellStyle name="Normal 17 2 3" xfId="728" xr:uid="{00000000-0005-0000-0000-0000BF030000}"/>
    <cellStyle name="Normal 17 2 3 2" xfId="765" xr:uid="{00000000-0005-0000-0000-0000C0030000}"/>
    <cellStyle name="Normal 17 2 3 2 2" xfId="920" xr:uid="{00000000-0005-0000-0000-0000C1030000}"/>
    <cellStyle name="Normal 17 2 3 2 2 2" xfId="1251" xr:uid="{00000000-0005-0000-0000-0000C2030000}"/>
    <cellStyle name="Normal 17 2 3 2 2 2 2" xfId="1484" xr:uid="{00000000-0005-0000-0000-0000C3030000}"/>
    <cellStyle name="Normal 17 2 3 2 2 3" xfId="1368" xr:uid="{00000000-0005-0000-0000-0000C4030000}"/>
    <cellStyle name="Normal 17 2 3 2 2 4" xfId="1132" xr:uid="{00000000-0005-0000-0000-0000C5030000}"/>
    <cellStyle name="Normal 17 2 3 2 3" xfId="990" xr:uid="{00000000-0005-0000-0000-0000C6030000}"/>
    <cellStyle name="Normal 17 2 3 2 3 2" xfId="1428" xr:uid="{00000000-0005-0000-0000-0000C7030000}"/>
    <cellStyle name="Normal 17 2 3 2 3 3" xfId="1195" xr:uid="{00000000-0005-0000-0000-0000C8030000}"/>
    <cellStyle name="Normal 17 2 3 2 4" xfId="1312" xr:uid="{00000000-0005-0000-0000-0000C9030000}"/>
    <cellStyle name="Normal 17 2 3 2 5" xfId="1075" xr:uid="{00000000-0005-0000-0000-0000CA030000}"/>
    <cellStyle name="Normal 17 2 3 3" xfId="887" xr:uid="{00000000-0005-0000-0000-0000CB030000}"/>
    <cellStyle name="Normal 17 2 3 3 2" xfId="1221" xr:uid="{00000000-0005-0000-0000-0000CC030000}"/>
    <cellStyle name="Normal 17 2 3 3 2 2" xfId="1454" xr:uid="{00000000-0005-0000-0000-0000CD030000}"/>
    <cellStyle name="Normal 17 2 3 3 3" xfId="1338" xr:uid="{00000000-0005-0000-0000-0000CE030000}"/>
    <cellStyle name="Normal 17 2 3 3 4" xfId="1102" xr:uid="{00000000-0005-0000-0000-0000CF030000}"/>
    <cellStyle name="Normal 17 2 3 4" xfId="960" xr:uid="{00000000-0005-0000-0000-0000D0030000}"/>
    <cellStyle name="Normal 17 2 3 4 2" xfId="1402" xr:uid="{00000000-0005-0000-0000-0000D1030000}"/>
    <cellStyle name="Normal 17 2 3 4 3" xfId="1169" xr:uid="{00000000-0005-0000-0000-0000D2030000}"/>
    <cellStyle name="Normal 17 2 3 5" xfId="1286" xr:uid="{00000000-0005-0000-0000-0000D3030000}"/>
    <cellStyle name="Normal 17 2 3 6" xfId="1049" xr:uid="{00000000-0005-0000-0000-0000D4030000}"/>
    <cellStyle name="Normal 17 2 4" xfId="749" xr:uid="{00000000-0005-0000-0000-0000D5030000}"/>
    <cellStyle name="Normal 17 2 4 2" xfId="904" xr:uid="{00000000-0005-0000-0000-0000D6030000}"/>
    <cellStyle name="Normal 17 2 4 2 2" xfId="1235" xr:uid="{00000000-0005-0000-0000-0000D7030000}"/>
    <cellStyle name="Normal 17 2 4 2 2 2" xfId="1468" xr:uid="{00000000-0005-0000-0000-0000D8030000}"/>
    <cellStyle name="Normal 17 2 4 2 3" xfId="1352" xr:uid="{00000000-0005-0000-0000-0000D9030000}"/>
    <cellStyle name="Normal 17 2 4 2 4" xfId="1116" xr:uid="{00000000-0005-0000-0000-0000DA030000}"/>
    <cellStyle name="Normal 17 2 4 3" xfId="974" xr:uid="{00000000-0005-0000-0000-0000DB030000}"/>
    <cellStyle name="Normal 17 2 4 3 2" xfId="1386" xr:uid="{00000000-0005-0000-0000-0000DC030000}"/>
    <cellStyle name="Normal 17 2 4 3 3" xfId="1153" xr:uid="{00000000-0005-0000-0000-0000DD030000}"/>
    <cellStyle name="Normal 17 2 4 4" xfId="1270" xr:uid="{00000000-0005-0000-0000-0000DE030000}"/>
    <cellStyle name="Normal 17 2 4 5" xfId="1033" xr:uid="{00000000-0005-0000-0000-0000DF030000}"/>
    <cellStyle name="Normal 17 2 5" xfId="868" xr:uid="{00000000-0005-0000-0000-0000E0030000}"/>
    <cellStyle name="Normal 17 2 5 2" xfId="1179" xr:uid="{00000000-0005-0000-0000-0000E1030000}"/>
    <cellStyle name="Normal 17 2 5 2 2" xfId="1412" xr:uid="{00000000-0005-0000-0000-0000E2030000}"/>
    <cellStyle name="Normal 17 2 5 3" xfId="1296" xr:uid="{00000000-0005-0000-0000-0000E3030000}"/>
    <cellStyle name="Normal 17 2 5 4" xfId="1059" xr:uid="{00000000-0005-0000-0000-0000E4030000}"/>
    <cellStyle name="Normal 17 2 6" xfId="944" xr:uid="{00000000-0005-0000-0000-0000E5030000}"/>
    <cellStyle name="Normal 17 2 6 2" xfId="1205" xr:uid="{00000000-0005-0000-0000-0000E6030000}"/>
    <cellStyle name="Normal 17 2 6 2 2" xfId="1438" xr:uid="{00000000-0005-0000-0000-0000E7030000}"/>
    <cellStyle name="Normal 17 2 6 3" xfId="1322" xr:uid="{00000000-0005-0000-0000-0000E8030000}"/>
    <cellStyle name="Normal 17 2 6 4" xfId="1086" xr:uid="{00000000-0005-0000-0000-0000E9030000}"/>
    <cellStyle name="Normal 17 2 7" xfId="1146" xr:uid="{00000000-0005-0000-0000-0000EA030000}"/>
    <cellStyle name="Normal 17 2 7 2" xfId="1379" xr:uid="{00000000-0005-0000-0000-0000EB030000}"/>
    <cellStyle name="Normal 17 2 8" xfId="1263" xr:uid="{00000000-0005-0000-0000-0000EC030000}"/>
    <cellStyle name="Normal 17 2 9" xfId="1026" xr:uid="{00000000-0005-0000-0000-0000ED030000}"/>
    <cellStyle name="Normal 17 3" xfId="693" xr:uid="{00000000-0005-0000-0000-0000EE030000}"/>
    <cellStyle name="Normal 17 3 2" xfId="746" xr:uid="{00000000-0005-0000-0000-0000EF030000}"/>
    <cellStyle name="Normal 17 3 2 2" xfId="901" xr:uid="{00000000-0005-0000-0000-0000F0030000}"/>
    <cellStyle name="Normal 17 3 2 2 2" xfId="1232" xr:uid="{00000000-0005-0000-0000-0000F1030000}"/>
    <cellStyle name="Normal 17 3 2 2 2 2" xfId="1465" xr:uid="{00000000-0005-0000-0000-0000F2030000}"/>
    <cellStyle name="Normal 17 3 2 2 3" xfId="1349" xr:uid="{00000000-0005-0000-0000-0000F3030000}"/>
    <cellStyle name="Normal 17 3 2 2 4" xfId="1113" xr:uid="{00000000-0005-0000-0000-0000F4030000}"/>
    <cellStyle name="Normal 17 3 2 3" xfId="971" xr:uid="{00000000-0005-0000-0000-0000F5030000}"/>
    <cellStyle name="Normal 17 3 2 3 2" xfId="1409" xr:uid="{00000000-0005-0000-0000-0000F6030000}"/>
    <cellStyle name="Normal 17 3 2 3 3" xfId="1176" xr:uid="{00000000-0005-0000-0000-0000F7030000}"/>
    <cellStyle name="Normal 17 3 2 4" xfId="1293" xr:uid="{00000000-0005-0000-0000-0000F8030000}"/>
    <cellStyle name="Normal 17 3 2 5" xfId="1056" xr:uid="{00000000-0005-0000-0000-0000F9030000}"/>
    <cellStyle name="Normal 17 3 3" xfId="862" xr:uid="{00000000-0005-0000-0000-0000FA030000}"/>
    <cellStyle name="Normal 17 3 3 2" xfId="1202" xr:uid="{00000000-0005-0000-0000-0000FB030000}"/>
    <cellStyle name="Normal 17 3 3 2 2" xfId="1435" xr:uid="{00000000-0005-0000-0000-0000FC030000}"/>
    <cellStyle name="Normal 17 3 3 3" xfId="1319" xr:uid="{00000000-0005-0000-0000-0000FD030000}"/>
    <cellStyle name="Normal 17 3 3 4" xfId="1083" xr:uid="{00000000-0005-0000-0000-0000FE030000}"/>
    <cellStyle name="Normal 17 3 4" xfId="941" xr:uid="{00000000-0005-0000-0000-0000FF030000}"/>
    <cellStyle name="Normal 17 3 4 2" xfId="1383" xr:uid="{00000000-0005-0000-0000-000000040000}"/>
    <cellStyle name="Normal 17 3 4 3" xfId="1150" xr:uid="{00000000-0005-0000-0000-000001040000}"/>
    <cellStyle name="Normal 17 3 5" xfId="1267" xr:uid="{00000000-0005-0000-0000-000002040000}"/>
    <cellStyle name="Normal 17 3 6" xfId="1030" xr:uid="{00000000-0005-0000-0000-000003040000}"/>
    <cellStyle name="Normal 17 4" xfId="717" xr:uid="{00000000-0005-0000-0000-000004040000}"/>
    <cellStyle name="Normal 17 4 2" xfId="754" xr:uid="{00000000-0005-0000-0000-000005040000}"/>
    <cellStyle name="Normal 17 4 2 2" xfId="909" xr:uid="{00000000-0005-0000-0000-000006040000}"/>
    <cellStyle name="Normal 17 4 2 2 2" xfId="1240" xr:uid="{00000000-0005-0000-0000-000007040000}"/>
    <cellStyle name="Normal 17 4 2 2 2 2" xfId="1473" xr:uid="{00000000-0005-0000-0000-000008040000}"/>
    <cellStyle name="Normal 17 4 2 2 3" xfId="1357" xr:uid="{00000000-0005-0000-0000-000009040000}"/>
    <cellStyle name="Normal 17 4 2 2 4" xfId="1121" xr:uid="{00000000-0005-0000-0000-00000A040000}"/>
    <cellStyle name="Normal 17 4 2 3" xfId="979" xr:uid="{00000000-0005-0000-0000-00000B040000}"/>
    <cellStyle name="Normal 17 4 2 3 2" xfId="1417" xr:uid="{00000000-0005-0000-0000-00000C040000}"/>
    <cellStyle name="Normal 17 4 2 3 3" xfId="1184" xr:uid="{00000000-0005-0000-0000-00000D040000}"/>
    <cellStyle name="Normal 17 4 2 4" xfId="1301" xr:uid="{00000000-0005-0000-0000-00000E040000}"/>
    <cellStyle name="Normal 17 4 2 5" xfId="1064" xr:uid="{00000000-0005-0000-0000-00000F040000}"/>
    <cellStyle name="Normal 17 4 3" xfId="876" xr:uid="{00000000-0005-0000-0000-000010040000}"/>
    <cellStyle name="Normal 17 4 3 2" xfId="1210" xr:uid="{00000000-0005-0000-0000-000011040000}"/>
    <cellStyle name="Normal 17 4 3 2 2" xfId="1443" xr:uid="{00000000-0005-0000-0000-000012040000}"/>
    <cellStyle name="Normal 17 4 3 3" xfId="1327" xr:uid="{00000000-0005-0000-0000-000013040000}"/>
    <cellStyle name="Normal 17 4 3 4" xfId="1091" xr:uid="{00000000-0005-0000-0000-000014040000}"/>
    <cellStyle name="Normal 17 4 4" xfId="949" xr:uid="{00000000-0005-0000-0000-000015040000}"/>
    <cellStyle name="Normal 17 4 4 2" xfId="1391" xr:uid="{00000000-0005-0000-0000-000016040000}"/>
    <cellStyle name="Normal 17 4 4 3" xfId="1158" xr:uid="{00000000-0005-0000-0000-000017040000}"/>
    <cellStyle name="Normal 17 4 5" xfId="1275" xr:uid="{00000000-0005-0000-0000-000018040000}"/>
    <cellStyle name="Normal 17 4 6" xfId="1038" xr:uid="{00000000-0005-0000-0000-000019040000}"/>
    <cellStyle name="Normal 17 5" xfId="725" xr:uid="{00000000-0005-0000-0000-00001A040000}"/>
    <cellStyle name="Normal 17 5 2" xfId="762" xr:uid="{00000000-0005-0000-0000-00001B040000}"/>
    <cellStyle name="Normal 17 5 2 2" xfId="917" xr:uid="{00000000-0005-0000-0000-00001C040000}"/>
    <cellStyle name="Normal 17 5 2 2 2" xfId="1248" xr:uid="{00000000-0005-0000-0000-00001D040000}"/>
    <cellStyle name="Normal 17 5 2 2 2 2" xfId="1481" xr:uid="{00000000-0005-0000-0000-00001E040000}"/>
    <cellStyle name="Normal 17 5 2 2 3" xfId="1365" xr:uid="{00000000-0005-0000-0000-00001F040000}"/>
    <cellStyle name="Normal 17 5 2 2 4" xfId="1129" xr:uid="{00000000-0005-0000-0000-000020040000}"/>
    <cellStyle name="Normal 17 5 2 3" xfId="987" xr:uid="{00000000-0005-0000-0000-000021040000}"/>
    <cellStyle name="Normal 17 5 2 3 2" xfId="1425" xr:uid="{00000000-0005-0000-0000-000022040000}"/>
    <cellStyle name="Normal 17 5 2 3 3" xfId="1192" xr:uid="{00000000-0005-0000-0000-000023040000}"/>
    <cellStyle name="Normal 17 5 2 4" xfId="1309" xr:uid="{00000000-0005-0000-0000-000024040000}"/>
    <cellStyle name="Normal 17 5 2 5" xfId="1072" xr:uid="{00000000-0005-0000-0000-000025040000}"/>
    <cellStyle name="Normal 17 5 3" xfId="884" xr:uid="{00000000-0005-0000-0000-000026040000}"/>
    <cellStyle name="Normal 17 5 3 2" xfId="1218" xr:uid="{00000000-0005-0000-0000-000027040000}"/>
    <cellStyle name="Normal 17 5 3 2 2" xfId="1451" xr:uid="{00000000-0005-0000-0000-000028040000}"/>
    <cellStyle name="Normal 17 5 3 3" xfId="1335" xr:uid="{00000000-0005-0000-0000-000029040000}"/>
    <cellStyle name="Normal 17 5 3 4" xfId="1099" xr:uid="{00000000-0005-0000-0000-00002A040000}"/>
    <cellStyle name="Normal 17 5 4" xfId="957" xr:uid="{00000000-0005-0000-0000-00002B040000}"/>
    <cellStyle name="Normal 17 5 4 2" xfId="1399" xr:uid="{00000000-0005-0000-0000-00002C040000}"/>
    <cellStyle name="Normal 17 5 4 3" xfId="1166" xr:uid="{00000000-0005-0000-0000-00002D040000}"/>
    <cellStyle name="Normal 17 5 5" xfId="1283" xr:uid="{00000000-0005-0000-0000-00002E040000}"/>
    <cellStyle name="Normal 17 5 6" xfId="1046" xr:uid="{00000000-0005-0000-0000-00002F040000}"/>
    <cellStyle name="Normal 17 6" xfId="743" xr:uid="{00000000-0005-0000-0000-000030040000}"/>
    <cellStyle name="Normal 17 6 2" xfId="898" xr:uid="{00000000-0005-0000-0000-000031040000}"/>
    <cellStyle name="Normal 17 6 2 2" xfId="1230" xr:uid="{00000000-0005-0000-0000-000032040000}"/>
    <cellStyle name="Normal 17 6 2 2 2" xfId="1463" xr:uid="{00000000-0005-0000-0000-000033040000}"/>
    <cellStyle name="Normal 17 6 2 3" xfId="1347" xr:uid="{00000000-0005-0000-0000-000034040000}"/>
    <cellStyle name="Normal 17 6 2 4" xfId="1111" xr:uid="{00000000-0005-0000-0000-000035040000}"/>
    <cellStyle name="Normal 17 6 3" xfId="969" xr:uid="{00000000-0005-0000-0000-000036040000}"/>
    <cellStyle name="Normal 17 6 3 2" xfId="1381" xr:uid="{00000000-0005-0000-0000-000037040000}"/>
    <cellStyle name="Normal 17 6 3 3" xfId="1148" xr:uid="{00000000-0005-0000-0000-000038040000}"/>
    <cellStyle name="Normal 17 6 4" xfId="1265" xr:uid="{00000000-0005-0000-0000-000039040000}"/>
    <cellStyle name="Normal 17 6 5" xfId="1028" xr:uid="{00000000-0005-0000-0000-00003A040000}"/>
    <cellStyle name="Normal 17 7" xfId="849" xr:uid="{00000000-0005-0000-0000-00003B040000}"/>
    <cellStyle name="Normal 17 7 2" xfId="1174" xr:uid="{00000000-0005-0000-0000-00003C040000}"/>
    <cellStyle name="Normal 17 7 2 2" xfId="1407" xr:uid="{00000000-0005-0000-0000-00003D040000}"/>
    <cellStyle name="Normal 17 7 3" xfId="1291" xr:uid="{00000000-0005-0000-0000-00003E040000}"/>
    <cellStyle name="Normal 17 7 4" xfId="1054" xr:uid="{00000000-0005-0000-0000-00003F040000}"/>
    <cellStyle name="Normal 17 8" xfId="938" xr:uid="{00000000-0005-0000-0000-000040040000}"/>
    <cellStyle name="Normal 17 8 2" xfId="1200" xr:uid="{00000000-0005-0000-0000-000041040000}"/>
    <cellStyle name="Normal 17 8 2 2" xfId="1433" xr:uid="{00000000-0005-0000-0000-000042040000}"/>
    <cellStyle name="Normal 17 8 3" xfId="1317" xr:uid="{00000000-0005-0000-0000-000043040000}"/>
    <cellStyle name="Normal 17 8 4" xfId="1081" xr:uid="{00000000-0005-0000-0000-000044040000}"/>
    <cellStyle name="Normal 17 9" xfId="1141" xr:uid="{00000000-0005-0000-0000-000045040000}"/>
    <cellStyle name="Normal 17 9 2" xfId="1376" xr:uid="{00000000-0005-0000-0000-000046040000}"/>
    <cellStyle name="Normal 18" xfId="620" xr:uid="{00000000-0005-0000-0000-000047040000}"/>
    <cellStyle name="Normal 19" xfId="621" xr:uid="{00000000-0005-0000-0000-000048040000}"/>
    <cellStyle name="Normal 19 2" xfId="704" xr:uid="{00000000-0005-0000-0000-000049040000}"/>
    <cellStyle name="Normal 19 3" xfId="694" xr:uid="{00000000-0005-0000-0000-00004A040000}"/>
    <cellStyle name="Normal 2" xfId="4" xr:uid="{00000000-0005-0000-0000-00004B040000}"/>
    <cellStyle name="Normal 2 2" xfId="75" xr:uid="{00000000-0005-0000-0000-00004C040000}"/>
    <cellStyle name="Normal 2 2 10" xfId="705" xr:uid="{00000000-0005-0000-0000-00004D040000}"/>
    <cellStyle name="Normal 2 2 11" xfId="1526" xr:uid="{00000000-0005-0000-0000-00004E040000}"/>
    <cellStyle name="Normal 2 2 2" xfId="721" xr:uid="{00000000-0005-0000-0000-00004F040000}"/>
    <cellStyle name="Normal 2 2 2 2" xfId="758" xr:uid="{00000000-0005-0000-0000-000050040000}"/>
    <cellStyle name="Normal 2 2 2 2 2" xfId="913" xr:uid="{00000000-0005-0000-0000-000051040000}"/>
    <cellStyle name="Normal 2 2 2 2 2 2" xfId="1244" xr:uid="{00000000-0005-0000-0000-000052040000}"/>
    <cellStyle name="Normal 2 2 2 2 2 2 2" xfId="1477" xr:uid="{00000000-0005-0000-0000-000053040000}"/>
    <cellStyle name="Normal 2 2 2 2 2 3" xfId="1361" xr:uid="{00000000-0005-0000-0000-000054040000}"/>
    <cellStyle name="Normal 2 2 2 2 2 4" xfId="1125" xr:uid="{00000000-0005-0000-0000-000055040000}"/>
    <cellStyle name="Normal 2 2 2 2 3" xfId="983" xr:uid="{00000000-0005-0000-0000-000056040000}"/>
    <cellStyle name="Normal 2 2 2 2 3 2" xfId="1421" xr:uid="{00000000-0005-0000-0000-000057040000}"/>
    <cellStyle name="Normal 2 2 2 2 3 3" xfId="1188" xr:uid="{00000000-0005-0000-0000-000058040000}"/>
    <cellStyle name="Normal 2 2 2 2 4" xfId="1305" xr:uid="{00000000-0005-0000-0000-000059040000}"/>
    <cellStyle name="Normal 2 2 2 2 5" xfId="1068" xr:uid="{00000000-0005-0000-0000-00005A040000}"/>
    <cellStyle name="Normal 2 2 2 3" xfId="880" xr:uid="{00000000-0005-0000-0000-00005B040000}"/>
    <cellStyle name="Normal 2 2 2 3 2" xfId="1214" xr:uid="{00000000-0005-0000-0000-00005C040000}"/>
    <cellStyle name="Normal 2 2 2 3 2 2" xfId="1447" xr:uid="{00000000-0005-0000-0000-00005D040000}"/>
    <cellStyle name="Normal 2 2 2 3 3" xfId="1331" xr:uid="{00000000-0005-0000-0000-00005E040000}"/>
    <cellStyle name="Normal 2 2 2 3 4" xfId="1095" xr:uid="{00000000-0005-0000-0000-00005F040000}"/>
    <cellStyle name="Normal 2 2 2 4" xfId="953" xr:uid="{00000000-0005-0000-0000-000060040000}"/>
    <cellStyle name="Normal 2 2 2 4 2" xfId="1395" xr:uid="{00000000-0005-0000-0000-000061040000}"/>
    <cellStyle name="Normal 2 2 2 4 3" xfId="1162" xr:uid="{00000000-0005-0000-0000-000062040000}"/>
    <cellStyle name="Normal 2 2 2 5" xfId="1279" xr:uid="{00000000-0005-0000-0000-000063040000}"/>
    <cellStyle name="Normal 2 2 2 6" xfId="1042" xr:uid="{00000000-0005-0000-0000-000064040000}"/>
    <cellStyle name="Normal 2 2 3" xfId="729" xr:uid="{00000000-0005-0000-0000-000065040000}"/>
    <cellStyle name="Normal 2 2 3 2" xfId="766" xr:uid="{00000000-0005-0000-0000-000066040000}"/>
    <cellStyle name="Normal 2 2 3 2 2" xfId="921" xr:uid="{00000000-0005-0000-0000-000067040000}"/>
    <cellStyle name="Normal 2 2 3 2 2 2" xfId="1252" xr:uid="{00000000-0005-0000-0000-000068040000}"/>
    <cellStyle name="Normal 2 2 3 2 2 2 2" xfId="1485" xr:uid="{00000000-0005-0000-0000-000069040000}"/>
    <cellStyle name="Normal 2 2 3 2 2 3" xfId="1369" xr:uid="{00000000-0005-0000-0000-00006A040000}"/>
    <cellStyle name="Normal 2 2 3 2 2 4" xfId="1133" xr:uid="{00000000-0005-0000-0000-00006B040000}"/>
    <cellStyle name="Normal 2 2 3 2 3" xfId="991" xr:uid="{00000000-0005-0000-0000-00006C040000}"/>
    <cellStyle name="Normal 2 2 3 2 3 2" xfId="1429" xr:uid="{00000000-0005-0000-0000-00006D040000}"/>
    <cellStyle name="Normal 2 2 3 2 3 3" xfId="1196" xr:uid="{00000000-0005-0000-0000-00006E040000}"/>
    <cellStyle name="Normal 2 2 3 2 4" xfId="1313" xr:uid="{00000000-0005-0000-0000-00006F040000}"/>
    <cellStyle name="Normal 2 2 3 2 5" xfId="1076" xr:uid="{00000000-0005-0000-0000-000070040000}"/>
    <cellStyle name="Normal 2 2 3 3" xfId="888" xr:uid="{00000000-0005-0000-0000-000071040000}"/>
    <cellStyle name="Normal 2 2 3 3 2" xfId="1222" xr:uid="{00000000-0005-0000-0000-000072040000}"/>
    <cellStyle name="Normal 2 2 3 3 2 2" xfId="1455" xr:uid="{00000000-0005-0000-0000-000073040000}"/>
    <cellStyle name="Normal 2 2 3 3 3" xfId="1339" xr:uid="{00000000-0005-0000-0000-000074040000}"/>
    <cellStyle name="Normal 2 2 3 3 4" xfId="1103" xr:uid="{00000000-0005-0000-0000-000075040000}"/>
    <cellStyle name="Normal 2 2 3 4" xfId="961" xr:uid="{00000000-0005-0000-0000-000076040000}"/>
    <cellStyle name="Normal 2 2 3 4 2" xfId="1403" xr:uid="{00000000-0005-0000-0000-000077040000}"/>
    <cellStyle name="Normal 2 2 3 4 3" xfId="1170" xr:uid="{00000000-0005-0000-0000-000078040000}"/>
    <cellStyle name="Normal 2 2 3 5" xfId="1287" xr:uid="{00000000-0005-0000-0000-000079040000}"/>
    <cellStyle name="Normal 2 2 3 6" xfId="1050" xr:uid="{00000000-0005-0000-0000-00007A040000}"/>
    <cellStyle name="Normal 2 2 4" xfId="750" xr:uid="{00000000-0005-0000-0000-00007B040000}"/>
    <cellStyle name="Normal 2 2 4 2" xfId="905" xr:uid="{00000000-0005-0000-0000-00007C040000}"/>
    <cellStyle name="Normal 2 2 4 2 2" xfId="1236" xr:uid="{00000000-0005-0000-0000-00007D040000}"/>
    <cellStyle name="Normal 2 2 4 2 2 2" xfId="1469" xr:uid="{00000000-0005-0000-0000-00007E040000}"/>
    <cellStyle name="Normal 2 2 4 2 3" xfId="1353" xr:uid="{00000000-0005-0000-0000-00007F040000}"/>
    <cellStyle name="Normal 2 2 4 2 4" xfId="1117" xr:uid="{00000000-0005-0000-0000-000080040000}"/>
    <cellStyle name="Normal 2 2 4 3" xfId="975" xr:uid="{00000000-0005-0000-0000-000081040000}"/>
    <cellStyle name="Normal 2 2 4 3 2" xfId="1387" xr:uid="{00000000-0005-0000-0000-000082040000}"/>
    <cellStyle name="Normal 2 2 4 3 3" xfId="1154" xr:uid="{00000000-0005-0000-0000-000083040000}"/>
    <cellStyle name="Normal 2 2 4 4" xfId="1271" xr:uid="{00000000-0005-0000-0000-000084040000}"/>
    <cellStyle name="Normal 2 2 4 5" xfId="1034" xr:uid="{00000000-0005-0000-0000-000085040000}"/>
    <cellStyle name="Normal 2 2 5" xfId="869" xr:uid="{00000000-0005-0000-0000-000086040000}"/>
    <cellStyle name="Normal 2 2 5 2" xfId="1180" xr:uid="{00000000-0005-0000-0000-000087040000}"/>
    <cellStyle name="Normal 2 2 5 2 2" xfId="1413" xr:uid="{00000000-0005-0000-0000-000088040000}"/>
    <cellStyle name="Normal 2 2 5 3" xfId="1297" xr:uid="{00000000-0005-0000-0000-000089040000}"/>
    <cellStyle name="Normal 2 2 5 4" xfId="1060" xr:uid="{00000000-0005-0000-0000-00008A040000}"/>
    <cellStyle name="Normal 2 2 6" xfId="945" xr:uid="{00000000-0005-0000-0000-00008B040000}"/>
    <cellStyle name="Normal 2 2 6 2" xfId="1206" xr:uid="{00000000-0005-0000-0000-00008C040000}"/>
    <cellStyle name="Normal 2 2 6 2 2" xfId="1439" xr:uid="{00000000-0005-0000-0000-00008D040000}"/>
    <cellStyle name="Normal 2 2 6 3" xfId="1323" xr:uid="{00000000-0005-0000-0000-00008E040000}"/>
    <cellStyle name="Normal 2 2 6 4" xfId="1087" xr:uid="{00000000-0005-0000-0000-00008F040000}"/>
    <cellStyle name="Normal 2 2 7" xfId="1144" xr:uid="{00000000-0005-0000-0000-000090040000}"/>
    <cellStyle name="Normal 2 2 7 2" xfId="1377" xr:uid="{00000000-0005-0000-0000-000091040000}"/>
    <cellStyle name="Normal 2 2 8" xfId="1261" xr:uid="{00000000-0005-0000-0000-000092040000}"/>
    <cellStyle name="Normal 2 2 9" xfId="1023" xr:uid="{00000000-0005-0000-0000-000093040000}"/>
    <cellStyle name="Normal 2 3" xfId="736" xr:uid="{00000000-0005-0000-0000-000094040000}"/>
    <cellStyle name="Normal 2 4" xfId="796" xr:uid="{00000000-0005-0000-0000-000095040000}"/>
    <cellStyle name="Normal 2 5" xfId="622" xr:uid="{00000000-0005-0000-0000-000096040000}"/>
    <cellStyle name="Normal 20" xfId="623" xr:uid="{00000000-0005-0000-0000-000097040000}"/>
    <cellStyle name="Normal 21" xfId="706" xr:uid="{00000000-0005-0000-0000-000098040000}"/>
    <cellStyle name="Normal 22" xfId="732" xr:uid="{00000000-0005-0000-0000-000099040000}"/>
    <cellStyle name="Normal 22 2" xfId="740" xr:uid="{00000000-0005-0000-0000-00009A040000}"/>
    <cellStyle name="Normal 22 3" xfId="891" xr:uid="{00000000-0005-0000-0000-00009B040000}"/>
    <cellStyle name="Normal 22 3 2" xfId="1458" xr:uid="{00000000-0005-0000-0000-00009C040000}"/>
    <cellStyle name="Normal 22 3 3" xfId="1225" xr:uid="{00000000-0005-0000-0000-00009D040000}"/>
    <cellStyle name="Normal 22 4" xfId="964" xr:uid="{00000000-0005-0000-0000-00009E040000}"/>
    <cellStyle name="Normal 22 4 2" xfId="1342" xr:uid="{00000000-0005-0000-0000-00009F040000}"/>
    <cellStyle name="Normal 22 5" xfId="1106" xr:uid="{00000000-0005-0000-0000-0000A0040000}"/>
    <cellStyle name="Normal 23" xfId="737" xr:uid="{00000000-0005-0000-0000-0000A1040000}"/>
    <cellStyle name="Normal 23 2" xfId="894" xr:uid="{00000000-0005-0000-0000-0000A2040000}"/>
    <cellStyle name="Normal 23 2 2" xfId="1459" xr:uid="{00000000-0005-0000-0000-0000A3040000}"/>
    <cellStyle name="Normal 23 2 3" xfId="1226" xr:uid="{00000000-0005-0000-0000-0000A4040000}"/>
    <cellStyle name="Normal 23 3" xfId="965" xr:uid="{00000000-0005-0000-0000-0000A5040000}"/>
    <cellStyle name="Normal 23 3 2" xfId="1343" xr:uid="{00000000-0005-0000-0000-0000A6040000}"/>
    <cellStyle name="Normal 23 4" xfId="1107" xr:uid="{00000000-0005-0000-0000-0000A7040000}"/>
    <cellStyle name="Normal 24" xfId="924" xr:uid="{00000000-0005-0000-0000-0000A8040000}"/>
    <cellStyle name="Normal 24 2" xfId="1138" xr:uid="{00000000-0005-0000-0000-0000A9040000}"/>
    <cellStyle name="Normal 25" xfId="935" xr:uid="{00000000-0005-0000-0000-0000AA040000}"/>
    <cellStyle name="Normal 25 2" xfId="1374" xr:uid="{00000000-0005-0000-0000-0000AB040000}"/>
    <cellStyle name="Normal 25 3" xfId="1137" xr:uid="{00000000-0005-0000-0000-0000AC040000}"/>
    <cellStyle name="Normal 26" xfId="925" xr:uid="{00000000-0005-0000-0000-0000AD040000}"/>
    <cellStyle name="Normal 26 2" xfId="1256" xr:uid="{00000000-0005-0000-0000-0000AE040000}"/>
    <cellStyle name="Normal 27" xfId="931" xr:uid="{00000000-0005-0000-0000-0000AF040000}"/>
    <cellStyle name="Normal 28" xfId="936" xr:uid="{00000000-0005-0000-0000-0000B0040000}"/>
    <cellStyle name="Normal 29" xfId="1006" xr:uid="{00000000-0005-0000-0000-0000B1040000}"/>
    <cellStyle name="Normal 3" xfId="11" xr:uid="{00000000-0005-0000-0000-0000B2040000}"/>
    <cellStyle name="Normal 3 2" xfId="707" xr:uid="{00000000-0005-0000-0000-0000B3040000}"/>
    <cellStyle name="Normal 3 3" xfId="708" xr:uid="{00000000-0005-0000-0000-0000B4040000}"/>
    <cellStyle name="Normal 3 3 2" xfId="701" xr:uid="{00000000-0005-0000-0000-0000B5040000}"/>
    <cellStyle name="Normal 3 4" xfId="733" xr:uid="{00000000-0005-0000-0000-0000B6040000}"/>
    <cellStyle name="Normal 3 4 2" xfId="892" xr:uid="{00000000-0005-0000-0000-0000B7040000}"/>
    <cellStyle name="Normal 3 5" xfId="799" xr:uid="{00000000-0005-0000-0000-0000B8040000}"/>
    <cellStyle name="Normal 3 6" xfId="999" xr:uid="{00000000-0005-0000-0000-0000B9040000}"/>
    <cellStyle name="Normal 3 7" xfId="624" xr:uid="{00000000-0005-0000-0000-0000BA040000}"/>
    <cellStyle name="Normal 30" xfId="1002" xr:uid="{00000000-0005-0000-0000-0000BB040000}"/>
    <cellStyle name="Normal 31" xfId="1489" xr:uid="{00000000-0005-0000-0000-0000BC040000}"/>
    <cellStyle name="Normal 32" xfId="1000" xr:uid="{00000000-0005-0000-0000-0000BD040000}"/>
    <cellStyle name="Normal 33" xfId="1004" xr:uid="{00000000-0005-0000-0000-0000BE040000}"/>
    <cellStyle name="Normal 34" xfId="1014" xr:uid="{00000000-0005-0000-0000-0000BF040000}"/>
    <cellStyle name="Normal 35" xfId="1498" xr:uid="{00000000-0005-0000-0000-0000C0040000}"/>
    <cellStyle name="Normal 36" xfId="1500" xr:uid="{00000000-0005-0000-0000-0000C1040000}"/>
    <cellStyle name="Normal 37" xfId="1502" xr:uid="{00000000-0005-0000-0000-0000C2040000}"/>
    <cellStyle name="Normal 38" xfId="1504" xr:uid="{00000000-0005-0000-0000-0000C3040000}"/>
    <cellStyle name="Normal 39" xfId="1506" xr:uid="{00000000-0005-0000-0000-0000C4040000}"/>
    <cellStyle name="Normal 4" xfId="76" xr:uid="{00000000-0005-0000-0000-0000C5040000}"/>
    <cellStyle name="Normal 4 2" xfId="709" xr:uid="{00000000-0005-0000-0000-0000C6040000}"/>
    <cellStyle name="Normal 4 3" xfId="838" xr:uid="{00000000-0005-0000-0000-0000C7040000}"/>
    <cellStyle name="Normal 4 4" xfId="625" xr:uid="{00000000-0005-0000-0000-0000C8040000}"/>
    <cellStyle name="Normal 4 5" xfId="1531" xr:uid="{00000000-0005-0000-0000-0000C9040000}"/>
    <cellStyle name="Normal 40" xfId="1508" xr:uid="{00000000-0005-0000-0000-0000CA040000}"/>
    <cellStyle name="Normal 41" xfId="1510" xr:uid="{00000000-0005-0000-0000-0000CB040000}"/>
    <cellStyle name="Normal 42" xfId="1512" xr:uid="{00000000-0005-0000-0000-0000CC040000}"/>
    <cellStyle name="Normal 43" xfId="1514" xr:uid="{00000000-0005-0000-0000-0000CD040000}"/>
    <cellStyle name="Normal 44" xfId="1516" xr:uid="{00000000-0005-0000-0000-0000CE040000}"/>
    <cellStyle name="Normal 45" xfId="1518" xr:uid="{00000000-0005-0000-0000-0000CF040000}"/>
    <cellStyle name="Normal 46" xfId="1520" xr:uid="{00000000-0005-0000-0000-0000D0040000}"/>
    <cellStyle name="Normal 47" xfId="103" xr:uid="{00000000-0005-0000-0000-0000D1040000}"/>
    <cellStyle name="Normal 48" xfId="1524" xr:uid="{00000000-0005-0000-0000-0000D2040000}"/>
    <cellStyle name="Normal 49" xfId="1532" xr:uid="{F4B3D723-5428-433D-B6D3-617D0F25AD43}"/>
    <cellStyle name="Normal 5" xfId="77" xr:uid="{00000000-0005-0000-0000-0000D3040000}"/>
    <cellStyle name="Normal 5 2" xfId="78" xr:uid="{00000000-0005-0000-0000-0000D4040000}"/>
    <cellStyle name="Normal 5 2 2" xfId="1522" xr:uid="{00000000-0005-0000-0000-0000D5040000}"/>
    <cellStyle name="Normal 5 2 3" xfId="79" xr:uid="{00000000-0005-0000-0000-0000D6040000}"/>
    <cellStyle name="Normal 5 2 3 2" xfId="97" xr:uid="{00000000-0005-0000-0000-0000D7040000}"/>
    <cellStyle name="Normal 5 2 3 3" xfId="100" xr:uid="{00000000-0005-0000-0000-0000D8040000}"/>
    <cellStyle name="Normal 5 2 4" xfId="844" xr:uid="{00000000-0005-0000-0000-0000D9040000}"/>
    <cellStyle name="Normal 5 3" xfId="840" xr:uid="{00000000-0005-0000-0000-0000DA040000}"/>
    <cellStyle name="Normal 5 4" xfId="626" xr:uid="{00000000-0005-0000-0000-0000DB040000}"/>
    <cellStyle name="Normal 6" xfId="80" xr:uid="{00000000-0005-0000-0000-0000DC040000}"/>
    <cellStyle name="Normal 6 2" xfId="843" xr:uid="{00000000-0005-0000-0000-0000DD040000}"/>
    <cellStyle name="Normal 6 3" xfId="627" xr:uid="{00000000-0005-0000-0000-0000DE040000}"/>
    <cellStyle name="Normal 7" xfId="81" xr:uid="{00000000-0005-0000-0000-0000DF040000}"/>
    <cellStyle name="Normal 7 2" xfId="628" xr:uid="{00000000-0005-0000-0000-0000E0040000}"/>
    <cellStyle name="Normal 8" xfId="101" xr:uid="{00000000-0005-0000-0000-0000E1040000}"/>
    <cellStyle name="Normal 8 2" xfId="629" xr:uid="{00000000-0005-0000-0000-0000E2040000}"/>
    <cellStyle name="Normal 9" xfId="630" xr:uid="{00000000-0005-0000-0000-0000E3040000}"/>
    <cellStyle name="Note 10" xfId="631" xr:uid="{00000000-0005-0000-0000-0000E4040000}"/>
    <cellStyle name="Note 11" xfId="632" xr:uid="{00000000-0005-0000-0000-0000E5040000}"/>
    <cellStyle name="Note 12" xfId="633" xr:uid="{00000000-0005-0000-0000-0000E6040000}"/>
    <cellStyle name="Note 13" xfId="634" xr:uid="{00000000-0005-0000-0000-0000E7040000}"/>
    <cellStyle name="Note 14" xfId="635" xr:uid="{00000000-0005-0000-0000-0000E8040000}"/>
    <cellStyle name="Note 15" xfId="636" xr:uid="{00000000-0005-0000-0000-0000E9040000}"/>
    <cellStyle name="Note 16" xfId="853" xr:uid="{00000000-0005-0000-0000-0000EA040000}"/>
    <cellStyle name="Note 2" xfId="82" xr:uid="{00000000-0005-0000-0000-0000EB040000}"/>
    <cellStyle name="Note 2 2" xfId="811" xr:uid="{00000000-0005-0000-0000-0000EC040000}"/>
    <cellStyle name="Note 2 3" xfId="637" xr:uid="{00000000-0005-0000-0000-0000ED040000}"/>
    <cellStyle name="Note 3" xfId="638" xr:uid="{00000000-0005-0000-0000-0000EE040000}"/>
    <cellStyle name="Note 4" xfId="639" xr:uid="{00000000-0005-0000-0000-0000EF040000}"/>
    <cellStyle name="Note 5" xfId="640" xr:uid="{00000000-0005-0000-0000-0000F0040000}"/>
    <cellStyle name="Note 6" xfId="641" xr:uid="{00000000-0005-0000-0000-0000F1040000}"/>
    <cellStyle name="Note 7" xfId="642" xr:uid="{00000000-0005-0000-0000-0000F2040000}"/>
    <cellStyle name="Note 8" xfId="643" xr:uid="{00000000-0005-0000-0000-0000F3040000}"/>
    <cellStyle name="Note 9" xfId="644" xr:uid="{00000000-0005-0000-0000-0000F4040000}"/>
    <cellStyle name="Output 10" xfId="645" xr:uid="{00000000-0005-0000-0000-0000F5040000}"/>
    <cellStyle name="Output 11" xfId="646" xr:uid="{00000000-0005-0000-0000-0000F6040000}"/>
    <cellStyle name="Output 12" xfId="647" xr:uid="{00000000-0005-0000-0000-0000F7040000}"/>
    <cellStyle name="Output 13" xfId="648" xr:uid="{00000000-0005-0000-0000-0000F8040000}"/>
    <cellStyle name="Output 14" xfId="649" xr:uid="{00000000-0005-0000-0000-0000F9040000}"/>
    <cellStyle name="Output 15" xfId="650" xr:uid="{00000000-0005-0000-0000-0000FA040000}"/>
    <cellStyle name="Output 16" xfId="850" xr:uid="{00000000-0005-0000-0000-0000FB040000}"/>
    <cellStyle name="Output 2" xfId="83" xr:uid="{00000000-0005-0000-0000-0000FC040000}"/>
    <cellStyle name="Output 2 2" xfId="806" xr:uid="{00000000-0005-0000-0000-0000FD040000}"/>
    <cellStyle name="Output 2 3" xfId="651" xr:uid="{00000000-0005-0000-0000-0000FE040000}"/>
    <cellStyle name="Output 3" xfId="652" xr:uid="{00000000-0005-0000-0000-0000FF040000}"/>
    <cellStyle name="Output 4" xfId="653" xr:uid="{00000000-0005-0000-0000-000000050000}"/>
    <cellStyle name="Output 5" xfId="654" xr:uid="{00000000-0005-0000-0000-000001050000}"/>
    <cellStyle name="Output 6" xfId="655" xr:uid="{00000000-0005-0000-0000-000002050000}"/>
    <cellStyle name="Output 7" xfId="656" xr:uid="{00000000-0005-0000-0000-000003050000}"/>
    <cellStyle name="Output 8" xfId="657" xr:uid="{00000000-0005-0000-0000-000004050000}"/>
    <cellStyle name="Output 9" xfId="658" xr:uid="{00000000-0005-0000-0000-000005050000}"/>
    <cellStyle name="Percent" xfId="2" builtinId="5"/>
    <cellStyle name="Percent [2]" xfId="84" xr:uid="{00000000-0005-0000-0000-000007050000}"/>
    <cellStyle name="Percent 10" xfId="932" xr:uid="{00000000-0005-0000-0000-000008050000}"/>
    <cellStyle name="Percent 11" xfId="939" xr:uid="{00000000-0005-0000-0000-000009050000}"/>
    <cellStyle name="Percent 12" xfId="1017" xr:uid="{00000000-0005-0000-0000-00000A050000}"/>
    <cellStyle name="Percent 13" xfId="1001" xr:uid="{00000000-0005-0000-0000-00000B050000}"/>
    <cellStyle name="Percent 14" xfId="1005" xr:uid="{00000000-0005-0000-0000-00000C050000}"/>
    <cellStyle name="Percent 15" xfId="994" xr:uid="{00000000-0005-0000-0000-00000D050000}"/>
    <cellStyle name="Percent 16" xfId="1490" xr:uid="{00000000-0005-0000-0000-00000E050000}"/>
    <cellStyle name="Percent 17" xfId="1010" xr:uid="{00000000-0005-0000-0000-00000F050000}"/>
    <cellStyle name="Percent 18" xfId="1019" xr:uid="{00000000-0005-0000-0000-000010050000}"/>
    <cellStyle name="Percent 19" xfId="996" xr:uid="{00000000-0005-0000-0000-000011050000}"/>
    <cellStyle name="Percent 2" xfId="85" xr:uid="{00000000-0005-0000-0000-000012050000}"/>
    <cellStyle name="Percent 2 2" xfId="710" xr:uid="{00000000-0005-0000-0000-000013050000}"/>
    <cellStyle name="Percent 2 2 2" xfId="722" xr:uid="{00000000-0005-0000-0000-000014050000}"/>
    <cellStyle name="Percent 2 2 2 2" xfId="759" xr:uid="{00000000-0005-0000-0000-000015050000}"/>
    <cellStyle name="Percent 2 2 2 2 2" xfId="914" xr:uid="{00000000-0005-0000-0000-000016050000}"/>
    <cellStyle name="Percent 2 2 2 2 2 2" xfId="1245" xr:uid="{00000000-0005-0000-0000-000017050000}"/>
    <cellStyle name="Percent 2 2 2 2 2 2 2" xfId="1478" xr:uid="{00000000-0005-0000-0000-000018050000}"/>
    <cellStyle name="Percent 2 2 2 2 2 3" xfId="1362" xr:uid="{00000000-0005-0000-0000-000019050000}"/>
    <cellStyle name="Percent 2 2 2 2 2 4" xfId="1126" xr:uid="{00000000-0005-0000-0000-00001A050000}"/>
    <cellStyle name="Percent 2 2 2 2 3" xfId="984" xr:uid="{00000000-0005-0000-0000-00001B050000}"/>
    <cellStyle name="Percent 2 2 2 2 3 2" xfId="1422" xr:uid="{00000000-0005-0000-0000-00001C050000}"/>
    <cellStyle name="Percent 2 2 2 2 3 3" xfId="1189" xr:uid="{00000000-0005-0000-0000-00001D050000}"/>
    <cellStyle name="Percent 2 2 2 2 4" xfId="1306" xr:uid="{00000000-0005-0000-0000-00001E050000}"/>
    <cellStyle name="Percent 2 2 2 2 5" xfId="1069" xr:uid="{00000000-0005-0000-0000-00001F050000}"/>
    <cellStyle name="Percent 2 2 2 3" xfId="881" xr:uid="{00000000-0005-0000-0000-000020050000}"/>
    <cellStyle name="Percent 2 2 2 3 2" xfId="1215" xr:uid="{00000000-0005-0000-0000-000021050000}"/>
    <cellStyle name="Percent 2 2 2 3 2 2" xfId="1448" xr:uid="{00000000-0005-0000-0000-000022050000}"/>
    <cellStyle name="Percent 2 2 2 3 3" xfId="1332" xr:uid="{00000000-0005-0000-0000-000023050000}"/>
    <cellStyle name="Percent 2 2 2 3 4" xfId="1096" xr:uid="{00000000-0005-0000-0000-000024050000}"/>
    <cellStyle name="Percent 2 2 2 4" xfId="954" xr:uid="{00000000-0005-0000-0000-000025050000}"/>
    <cellStyle name="Percent 2 2 2 4 2" xfId="1396" xr:uid="{00000000-0005-0000-0000-000026050000}"/>
    <cellStyle name="Percent 2 2 2 4 3" xfId="1163" xr:uid="{00000000-0005-0000-0000-000027050000}"/>
    <cellStyle name="Percent 2 2 2 5" xfId="1280" xr:uid="{00000000-0005-0000-0000-000028050000}"/>
    <cellStyle name="Percent 2 2 2 6" xfId="1043" xr:uid="{00000000-0005-0000-0000-000029050000}"/>
    <cellStyle name="Percent 2 2 3" xfId="730" xr:uid="{00000000-0005-0000-0000-00002A050000}"/>
    <cellStyle name="Percent 2 2 3 2" xfId="767" xr:uid="{00000000-0005-0000-0000-00002B050000}"/>
    <cellStyle name="Percent 2 2 3 2 2" xfId="922" xr:uid="{00000000-0005-0000-0000-00002C050000}"/>
    <cellStyle name="Percent 2 2 3 2 2 2" xfId="1253" xr:uid="{00000000-0005-0000-0000-00002D050000}"/>
    <cellStyle name="Percent 2 2 3 2 2 2 2" xfId="1486" xr:uid="{00000000-0005-0000-0000-00002E050000}"/>
    <cellStyle name="Percent 2 2 3 2 2 3" xfId="1370" xr:uid="{00000000-0005-0000-0000-00002F050000}"/>
    <cellStyle name="Percent 2 2 3 2 2 4" xfId="1134" xr:uid="{00000000-0005-0000-0000-000030050000}"/>
    <cellStyle name="Percent 2 2 3 2 3" xfId="992" xr:uid="{00000000-0005-0000-0000-000031050000}"/>
    <cellStyle name="Percent 2 2 3 2 3 2" xfId="1430" xr:uid="{00000000-0005-0000-0000-000032050000}"/>
    <cellStyle name="Percent 2 2 3 2 3 3" xfId="1197" xr:uid="{00000000-0005-0000-0000-000033050000}"/>
    <cellStyle name="Percent 2 2 3 2 4" xfId="1314" xr:uid="{00000000-0005-0000-0000-000034050000}"/>
    <cellStyle name="Percent 2 2 3 2 5" xfId="1077" xr:uid="{00000000-0005-0000-0000-000035050000}"/>
    <cellStyle name="Percent 2 2 3 3" xfId="889" xr:uid="{00000000-0005-0000-0000-000036050000}"/>
    <cellStyle name="Percent 2 2 3 3 2" xfId="1223" xr:uid="{00000000-0005-0000-0000-000037050000}"/>
    <cellStyle name="Percent 2 2 3 3 2 2" xfId="1456" xr:uid="{00000000-0005-0000-0000-000038050000}"/>
    <cellStyle name="Percent 2 2 3 3 3" xfId="1340" xr:uid="{00000000-0005-0000-0000-000039050000}"/>
    <cellStyle name="Percent 2 2 3 3 4" xfId="1104" xr:uid="{00000000-0005-0000-0000-00003A050000}"/>
    <cellStyle name="Percent 2 2 3 4" xfId="962" xr:uid="{00000000-0005-0000-0000-00003B050000}"/>
    <cellStyle name="Percent 2 2 3 4 2" xfId="1404" xr:uid="{00000000-0005-0000-0000-00003C050000}"/>
    <cellStyle name="Percent 2 2 3 4 3" xfId="1171" xr:uid="{00000000-0005-0000-0000-00003D050000}"/>
    <cellStyle name="Percent 2 2 3 5" xfId="1288" xr:uid="{00000000-0005-0000-0000-00003E050000}"/>
    <cellStyle name="Percent 2 2 3 6" xfId="1051" xr:uid="{00000000-0005-0000-0000-00003F050000}"/>
    <cellStyle name="Percent 2 2 4" xfId="751" xr:uid="{00000000-0005-0000-0000-000040050000}"/>
    <cellStyle name="Percent 2 2 4 2" xfId="906" xr:uid="{00000000-0005-0000-0000-000041050000}"/>
    <cellStyle name="Percent 2 2 4 2 2" xfId="1237" xr:uid="{00000000-0005-0000-0000-000042050000}"/>
    <cellStyle name="Percent 2 2 4 2 2 2" xfId="1470" xr:uid="{00000000-0005-0000-0000-000043050000}"/>
    <cellStyle name="Percent 2 2 4 2 3" xfId="1354" xr:uid="{00000000-0005-0000-0000-000044050000}"/>
    <cellStyle name="Percent 2 2 4 2 4" xfId="1118" xr:uid="{00000000-0005-0000-0000-000045050000}"/>
    <cellStyle name="Percent 2 2 4 3" xfId="976" xr:uid="{00000000-0005-0000-0000-000046050000}"/>
    <cellStyle name="Percent 2 2 4 3 2" xfId="1414" xr:uid="{00000000-0005-0000-0000-000047050000}"/>
    <cellStyle name="Percent 2 2 4 3 3" xfId="1181" xr:uid="{00000000-0005-0000-0000-000048050000}"/>
    <cellStyle name="Percent 2 2 4 4" xfId="1298" xr:uid="{00000000-0005-0000-0000-000049050000}"/>
    <cellStyle name="Percent 2 2 4 5" xfId="1061" xr:uid="{00000000-0005-0000-0000-00004A050000}"/>
    <cellStyle name="Percent 2 2 5" xfId="873" xr:uid="{00000000-0005-0000-0000-00004B050000}"/>
    <cellStyle name="Percent 2 2 5 2" xfId="1207" xr:uid="{00000000-0005-0000-0000-00004C050000}"/>
    <cellStyle name="Percent 2 2 5 2 2" xfId="1440" xr:uid="{00000000-0005-0000-0000-00004D050000}"/>
    <cellStyle name="Percent 2 2 5 3" xfId="1324" xr:uid="{00000000-0005-0000-0000-00004E050000}"/>
    <cellStyle name="Percent 2 2 5 4" xfId="1088" xr:uid="{00000000-0005-0000-0000-00004F050000}"/>
    <cellStyle name="Percent 2 2 6" xfId="946" xr:uid="{00000000-0005-0000-0000-000050050000}"/>
    <cellStyle name="Percent 2 2 6 2" xfId="1388" xr:uid="{00000000-0005-0000-0000-000051050000}"/>
    <cellStyle name="Percent 2 2 6 3" xfId="1155" xr:uid="{00000000-0005-0000-0000-000052050000}"/>
    <cellStyle name="Percent 2 2 7" xfId="1272" xr:uid="{00000000-0005-0000-0000-000053050000}"/>
    <cellStyle name="Percent 2 2 8" xfId="1035" xr:uid="{00000000-0005-0000-0000-000054050000}"/>
    <cellStyle name="Percent 2 3" xfId="715" xr:uid="{00000000-0005-0000-0000-000055050000}"/>
    <cellStyle name="Percent 2 3 2" xfId="723" xr:uid="{00000000-0005-0000-0000-000056050000}"/>
    <cellStyle name="Percent 2 3 2 2" xfId="760" xr:uid="{00000000-0005-0000-0000-000057050000}"/>
    <cellStyle name="Percent 2 3 2 2 2" xfId="915" xr:uid="{00000000-0005-0000-0000-000058050000}"/>
    <cellStyle name="Percent 2 3 2 2 2 2" xfId="1246" xr:uid="{00000000-0005-0000-0000-000059050000}"/>
    <cellStyle name="Percent 2 3 2 2 2 2 2" xfId="1479" xr:uid="{00000000-0005-0000-0000-00005A050000}"/>
    <cellStyle name="Percent 2 3 2 2 2 3" xfId="1363" xr:uid="{00000000-0005-0000-0000-00005B050000}"/>
    <cellStyle name="Percent 2 3 2 2 2 4" xfId="1127" xr:uid="{00000000-0005-0000-0000-00005C050000}"/>
    <cellStyle name="Percent 2 3 2 2 3" xfId="985" xr:uid="{00000000-0005-0000-0000-00005D050000}"/>
    <cellStyle name="Percent 2 3 2 2 3 2" xfId="1423" xr:uid="{00000000-0005-0000-0000-00005E050000}"/>
    <cellStyle name="Percent 2 3 2 2 3 3" xfId="1190" xr:uid="{00000000-0005-0000-0000-00005F050000}"/>
    <cellStyle name="Percent 2 3 2 2 4" xfId="1307" xr:uid="{00000000-0005-0000-0000-000060050000}"/>
    <cellStyle name="Percent 2 3 2 2 5" xfId="1070" xr:uid="{00000000-0005-0000-0000-000061050000}"/>
    <cellStyle name="Percent 2 3 2 3" xfId="882" xr:uid="{00000000-0005-0000-0000-000062050000}"/>
    <cellStyle name="Percent 2 3 2 3 2" xfId="1216" xr:uid="{00000000-0005-0000-0000-000063050000}"/>
    <cellStyle name="Percent 2 3 2 3 2 2" xfId="1449" xr:uid="{00000000-0005-0000-0000-000064050000}"/>
    <cellStyle name="Percent 2 3 2 3 3" xfId="1333" xr:uid="{00000000-0005-0000-0000-000065050000}"/>
    <cellStyle name="Percent 2 3 2 3 4" xfId="1097" xr:uid="{00000000-0005-0000-0000-000066050000}"/>
    <cellStyle name="Percent 2 3 2 4" xfId="955" xr:uid="{00000000-0005-0000-0000-000067050000}"/>
    <cellStyle name="Percent 2 3 2 4 2" xfId="1397" xr:uid="{00000000-0005-0000-0000-000068050000}"/>
    <cellStyle name="Percent 2 3 2 4 3" xfId="1164" xr:uid="{00000000-0005-0000-0000-000069050000}"/>
    <cellStyle name="Percent 2 3 2 5" xfId="1281" xr:uid="{00000000-0005-0000-0000-00006A050000}"/>
    <cellStyle name="Percent 2 3 2 6" xfId="1044" xr:uid="{00000000-0005-0000-0000-00006B050000}"/>
    <cellStyle name="Percent 2 3 3" xfId="731" xr:uid="{00000000-0005-0000-0000-00006C050000}"/>
    <cellStyle name="Percent 2 3 3 2" xfId="768" xr:uid="{00000000-0005-0000-0000-00006D050000}"/>
    <cellStyle name="Percent 2 3 3 2 2" xfId="923" xr:uid="{00000000-0005-0000-0000-00006E050000}"/>
    <cellStyle name="Percent 2 3 3 2 2 2" xfId="1254" xr:uid="{00000000-0005-0000-0000-00006F050000}"/>
    <cellStyle name="Percent 2 3 3 2 2 2 2" xfId="1487" xr:uid="{00000000-0005-0000-0000-000070050000}"/>
    <cellStyle name="Percent 2 3 3 2 2 3" xfId="1371" xr:uid="{00000000-0005-0000-0000-000071050000}"/>
    <cellStyle name="Percent 2 3 3 2 2 4" xfId="1135" xr:uid="{00000000-0005-0000-0000-000072050000}"/>
    <cellStyle name="Percent 2 3 3 2 3" xfId="993" xr:uid="{00000000-0005-0000-0000-000073050000}"/>
    <cellStyle name="Percent 2 3 3 2 3 2" xfId="1431" xr:uid="{00000000-0005-0000-0000-000074050000}"/>
    <cellStyle name="Percent 2 3 3 2 3 3" xfId="1198" xr:uid="{00000000-0005-0000-0000-000075050000}"/>
    <cellStyle name="Percent 2 3 3 2 4" xfId="1315" xr:uid="{00000000-0005-0000-0000-000076050000}"/>
    <cellStyle name="Percent 2 3 3 2 5" xfId="1078" xr:uid="{00000000-0005-0000-0000-000077050000}"/>
    <cellStyle name="Percent 2 3 3 3" xfId="890" xr:uid="{00000000-0005-0000-0000-000078050000}"/>
    <cellStyle name="Percent 2 3 3 3 2" xfId="1224" xr:uid="{00000000-0005-0000-0000-000079050000}"/>
    <cellStyle name="Percent 2 3 3 3 2 2" xfId="1457" xr:uid="{00000000-0005-0000-0000-00007A050000}"/>
    <cellStyle name="Percent 2 3 3 3 3" xfId="1341" xr:uid="{00000000-0005-0000-0000-00007B050000}"/>
    <cellStyle name="Percent 2 3 3 3 4" xfId="1105" xr:uid="{00000000-0005-0000-0000-00007C050000}"/>
    <cellStyle name="Percent 2 3 3 4" xfId="963" xr:uid="{00000000-0005-0000-0000-00007D050000}"/>
    <cellStyle name="Percent 2 3 3 4 2" xfId="1405" xr:uid="{00000000-0005-0000-0000-00007E050000}"/>
    <cellStyle name="Percent 2 3 3 4 3" xfId="1172" xr:uid="{00000000-0005-0000-0000-00007F050000}"/>
    <cellStyle name="Percent 2 3 3 5" xfId="1289" xr:uid="{00000000-0005-0000-0000-000080050000}"/>
    <cellStyle name="Percent 2 3 3 6" xfId="1052" xr:uid="{00000000-0005-0000-0000-000081050000}"/>
    <cellStyle name="Percent 2 3 4" xfId="752" xr:uid="{00000000-0005-0000-0000-000082050000}"/>
    <cellStyle name="Percent 2 3 4 2" xfId="907" xr:uid="{00000000-0005-0000-0000-000083050000}"/>
    <cellStyle name="Percent 2 3 4 2 2" xfId="1238" xr:uid="{00000000-0005-0000-0000-000084050000}"/>
    <cellStyle name="Percent 2 3 4 2 2 2" xfId="1471" xr:uid="{00000000-0005-0000-0000-000085050000}"/>
    <cellStyle name="Percent 2 3 4 2 3" xfId="1355" xr:uid="{00000000-0005-0000-0000-000086050000}"/>
    <cellStyle name="Percent 2 3 4 2 4" xfId="1119" xr:uid="{00000000-0005-0000-0000-000087050000}"/>
    <cellStyle name="Percent 2 3 4 3" xfId="977" xr:uid="{00000000-0005-0000-0000-000088050000}"/>
    <cellStyle name="Percent 2 3 4 3 2" xfId="1415" xr:uid="{00000000-0005-0000-0000-000089050000}"/>
    <cellStyle name="Percent 2 3 4 3 3" xfId="1182" xr:uid="{00000000-0005-0000-0000-00008A050000}"/>
    <cellStyle name="Percent 2 3 4 4" xfId="1299" xr:uid="{00000000-0005-0000-0000-00008B050000}"/>
    <cellStyle name="Percent 2 3 4 5" xfId="1062" xr:uid="{00000000-0005-0000-0000-00008C050000}"/>
    <cellStyle name="Percent 2 3 5" xfId="874" xr:uid="{00000000-0005-0000-0000-00008D050000}"/>
    <cellStyle name="Percent 2 3 5 2" xfId="1208" xr:uid="{00000000-0005-0000-0000-00008E050000}"/>
    <cellStyle name="Percent 2 3 5 2 2" xfId="1441" xr:uid="{00000000-0005-0000-0000-00008F050000}"/>
    <cellStyle name="Percent 2 3 5 3" xfId="1325" xr:uid="{00000000-0005-0000-0000-000090050000}"/>
    <cellStyle name="Percent 2 3 5 4" xfId="1089" xr:uid="{00000000-0005-0000-0000-000091050000}"/>
    <cellStyle name="Percent 2 3 6" xfId="947" xr:uid="{00000000-0005-0000-0000-000092050000}"/>
    <cellStyle name="Percent 2 3 6 2" xfId="1389" xr:uid="{00000000-0005-0000-0000-000093050000}"/>
    <cellStyle name="Percent 2 3 6 3" xfId="1156" xr:uid="{00000000-0005-0000-0000-000094050000}"/>
    <cellStyle name="Percent 2 3 7" xfId="1273" xr:uid="{00000000-0005-0000-0000-000095050000}"/>
    <cellStyle name="Percent 2 3 8" xfId="1036" xr:uid="{00000000-0005-0000-0000-000096050000}"/>
    <cellStyle name="Percent 2 4" xfId="1491" xr:uid="{00000000-0005-0000-0000-000097050000}"/>
    <cellStyle name="Percent 2 5" xfId="660" xr:uid="{00000000-0005-0000-0000-000098050000}"/>
    <cellStyle name="Percent 20" xfId="995" xr:uid="{00000000-0005-0000-0000-000099050000}"/>
    <cellStyle name="Percent 21" xfId="997" xr:uid="{00000000-0005-0000-0000-00009A050000}"/>
    <cellStyle name="Percent 22" xfId="1008" xr:uid="{00000000-0005-0000-0000-00009B050000}"/>
    <cellStyle name="Percent 23" xfId="1492" xr:uid="{00000000-0005-0000-0000-00009C050000}"/>
    <cellStyle name="Percent 24" xfId="1011" xr:uid="{00000000-0005-0000-0000-00009D050000}"/>
    <cellStyle name="Percent 25" xfId="1494" xr:uid="{00000000-0005-0000-0000-00009E050000}"/>
    <cellStyle name="Percent 26" xfId="1021" xr:uid="{00000000-0005-0000-0000-00009F050000}"/>
    <cellStyle name="Percent 27" xfId="998" xr:uid="{00000000-0005-0000-0000-0000A0050000}"/>
    <cellStyle name="Percent 28" xfId="1007" xr:uid="{00000000-0005-0000-0000-0000A1050000}"/>
    <cellStyle name="Percent 29" xfId="1496" xr:uid="{00000000-0005-0000-0000-0000A2050000}"/>
    <cellStyle name="Percent 3" xfId="86" xr:uid="{00000000-0005-0000-0000-0000A3050000}"/>
    <cellStyle name="Percent 3 2" xfId="87" xr:uid="{00000000-0005-0000-0000-0000A4050000}"/>
    <cellStyle name="Percent 3 2 2" xfId="846" xr:uid="{00000000-0005-0000-0000-0000A5050000}"/>
    <cellStyle name="Percent 3 2 3" xfId="99" xr:uid="{00000000-0005-0000-0000-0000A6050000}"/>
    <cellStyle name="Percent 3 2 4" xfId="711" xr:uid="{00000000-0005-0000-0000-0000A7050000}"/>
    <cellStyle name="Percent 3 3" xfId="735" xr:uid="{00000000-0005-0000-0000-0000A8050000}"/>
    <cellStyle name="Percent 3 4" xfId="842" xr:uid="{00000000-0005-0000-0000-0000A9050000}"/>
    <cellStyle name="Percent 3 5" xfId="661" xr:uid="{00000000-0005-0000-0000-0000AA050000}"/>
    <cellStyle name="Percent 30" xfId="1018" xr:uid="{00000000-0005-0000-0000-0000AB050000}"/>
    <cellStyle name="Percent 31" xfId="1020" xr:uid="{00000000-0005-0000-0000-0000AC050000}"/>
    <cellStyle name="Percent 32" xfId="1009" xr:uid="{00000000-0005-0000-0000-0000AD050000}"/>
    <cellStyle name="Percent 33" xfId="1495" xr:uid="{00000000-0005-0000-0000-0000AE050000}"/>
    <cellStyle name="Percent 34" xfId="1003" xr:uid="{00000000-0005-0000-0000-0000AF050000}"/>
    <cellStyle name="Percent 35" xfId="1493" xr:uid="{00000000-0005-0000-0000-0000B0050000}"/>
    <cellStyle name="Percent 36" xfId="1497" xr:uid="{00000000-0005-0000-0000-0000B1050000}"/>
    <cellStyle name="Percent 37" xfId="1499" xr:uid="{00000000-0005-0000-0000-0000B2050000}"/>
    <cellStyle name="Percent 38" xfId="1501" xr:uid="{00000000-0005-0000-0000-0000B3050000}"/>
    <cellStyle name="Percent 39" xfId="1503" xr:uid="{00000000-0005-0000-0000-0000B4050000}"/>
    <cellStyle name="Percent 4" xfId="88" xr:uid="{00000000-0005-0000-0000-0000B5050000}"/>
    <cellStyle name="Percent 4 2" xfId="864" xr:uid="{00000000-0005-0000-0000-0000B6050000}"/>
    <cellStyle name="Percent 4 3" xfId="712" xr:uid="{00000000-0005-0000-0000-0000B7050000}"/>
    <cellStyle name="Percent 40" xfId="1505" xr:uid="{00000000-0005-0000-0000-0000B8050000}"/>
    <cellStyle name="Percent 41" xfId="1507" xr:uid="{00000000-0005-0000-0000-0000B9050000}"/>
    <cellStyle name="Percent 42" xfId="1509" xr:uid="{00000000-0005-0000-0000-0000BA050000}"/>
    <cellStyle name="Percent 43" xfId="1511" xr:uid="{00000000-0005-0000-0000-0000BB050000}"/>
    <cellStyle name="Percent 44" xfId="1513" xr:uid="{00000000-0005-0000-0000-0000BC050000}"/>
    <cellStyle name="Percent 45" xfId="1515" xr:uid="{00000000-0005-0000-0000-0000BD050000}"/>
    <cellStyle name="Percent 46" xfId="1517" xr:uid="{00000000-0005-0000-0000-0000BE050000}"/>
    <cellStyle name="Percent 47" xfId="1519" xr:uid="{00000000-0005-0000-0000-0000BF050000}"/>
    <cellStyle name="Percent 48" xfId="1521" xr:uid="{00000000-0005-0000-0000-0000C0050000}"/>
    <cellStyle name="Percent 49" xfId="659" xr:uid="{00000000-0005-0000-0000-0000C1050000}"/>
    <cellStyle name="Percent 5" xfId="89" xr:uid="{00000000-0005-0000-0000-0000C2050000}"/>
    <cellStyle name="Percent 5 2" xfId="744" xr:uid="{00000000-0005-0000-0000-0000C3050000}"/>
    <cellStyle name="Percent 6" xfId="739" xr:uid="{00000000-0005-0000-0000-0000C4050000}"/>
    <cellStyle name="Percent 6 2" xfId="896" xr:uid="{00000000-0005-0000-0000-0000C5050000}"/>
    <cellStyle name="Percent 6 2 2" xfId="1461" xr:uid="{00000000-0005-0000-0000-0000C6050000}"/>
    <cellStyle name="Percent 6 2 3" xfId="1228" xr:uid="{00000000-0005-0000-0000-0000C7050000}"/>
    <cellStyle name="Percent 6 3" xfId="967" xr:uid="{00000000-0005-0000-0000-0000C8050000}"/>
    <cellStyle name="Percent 6 3 2" xfId="1345" xr:uid="{00000000-0005-0000-0000-0000C9050000}"/>
    <cellStyle name="Percent 6 4" xfId="1109" xr:uid="{00000000-0005-0000-0000-0000CA050000}"/>
    <cellStyle name="Percent 7" xfId="929" xr:uid="{00000000-0005-0000-0000-0000CB050000}"/>
    <cellStyle name="Percent 7 2" xfId="1142" xr:uid="{00000000-0005-0000-0000-0000CC050000}"/>
    <cellStyle name="Percent 8" xfId="930" xr:uid="{00000000-0005-0000-0000-0000CD050000}"/>
    <cellStyle name="Percent 8 2" xfId="1258" xr:uid="{00000000-0005-0000-0000-0000CE050000}"/>
    <cellStyle name="Percent 9" xfId="933" xr:uid="{00000000-0005-0000-0000-0000CF050000}"/>
    <cellStyle name="Style 23" xfId="3" xr:uid="{00000000-0005-0000-0000-0000D0050000}"/>
    <cellStyle name="Style 23 2" xfId="714" xr:uid="{00000000-0005-0000-0000-0000D1050000}"/>
    <cellStyle name="Style 23 3" xfId="713" xr:uid="{00000000-0005-0000-0000-0000D2050000}"/>
    <cellStyle name="STYLE1" xfId="90" xr:uid="{00000000-0005-0000-0000-0000D3050000}"/>
    <cellStyle name="STYLE2" xfId="91" xr:uid="{00000000-0005-0000-0000-0000D4050000}"/>
    <cellStyle name="STYLE4" xfId="92" xr:uid="{00000000-0005-0000-0000-0000D5050000}"/>
    <cellStyle name="Subtotal" xfId="93" xr:uid="{00000000-0005-0000-0000-0000D6050000}"/>
    <cellStyle name="Title 2" xfId="94" xr:uid="{00000000-0005-0000-0000-0000D7050000}"/>
    <cellStyle name="Title 2 2" xfId="1022" xr:uid="{00000000-0005-0000-0000-0000D8050000}"/>
    <cellStyle name="Title 3" xfId="793" xr:uid="{00000000-0005-0000-0000-0000D9050000}"/>
    <cellStyle name="Total 10" xfId="662" xr:uid="{00000000-0005-0000-0000-0000DA050000}"/>
    <cellStyle name="Total 11" xfId="663" xr:uid="{00000000-0005-0000-0000-0000DB050000}"/>
    <cellStyle name="Total 12" xfId="664" xr:uid="{00000000-0005-0000-0000-0000DC050000}"/>
    <cellStyle name="Total 13" xfId="665" xr:uid="{00000000-0005-0000-0000-0000DD050000}"/>
    <cellStyle name="Total 14" xfId="666" xr:uid="{00000000-0005-0000-0000-0000DE050000}"/>
    <cellStyle name="Total 15" xfId="667" xr:uid="{00000000-0005-0000-0000-0000DF050000}"/>
    <cellStyle name="Total 16" xfId="794" xr:uid="{00000000-0005-0000-0000-0000E0050000}"/>
    <cellStyle name="Total 2" xfId="95" xr:uid="{00000000-0005-0000-0000-0000E1050000}"/>
    <cellStyle name="Total 2 2" xfId="813" xr:uid="{00000000-0005-0000-0000-0000E2050000}"/>
    <cellStyle name="Total 2 3" xfId="668" xr:uid="{00000000-0005-0000-0000-0000E3050000}"/>
    <cellStyle name="Total 3" xfId="669" xr:uid="{00000000-0005-0000-0000-0000E4050000}"/>
    <cellStyle name="Total 4" xfId="670" xr:uid="{00000000-0005-0000-0000-0000E5050000}"/>
    <cellStyle name="Total 5" xfId="671" xr:uid="{00000000-0005-0000-0000-0000E6050000}"/>
    <cellStyle name="Total 6" xfId="672" xr:uid="{00000000-0005-0000-0000-0000E7050000}"/>
    <cellStyle name="Total 7" xfId="673" xr:uid="{00000000-0005-0000-0000-0000E8050000}"/>
    <cellStyle name="Total 8" xfId="674" xr:uid="{00000000-0005-0000-0000-0000E9050000}"/>
    <cellStyle name="Total 9" xfId="675" xr:uid="{00000000-0005-0000-0000-0000EA050000}"/>
    <cellStyle name="Warning Text 10" xfId="676" xr:uid="{00000000-0005-0000-0000-0000EB050000}"/>
    <cellStyle name="Warning Text 11" xfId="677" xr:uid="{00000000-0005-0000-0000-0000EC050000}"/>
    <cellStyle name="Warning Text 12" xfId="678" xr:uid="{00000000-0005-0000-0000-0000ED050000}"/>
    <cellStyle name="Warning Text 13" xfId="679" xr:uid="{00000000-0005-0000-0000-0000EE050000}"/>
    <cellStyle name="Warning Text 14" xfId="680" xr:uid="{00000000-0005-0000-0000-0000EF050000}"/>
    <cellStyle name="Warning Text 15" xfId="681" xr:uid="{00000000-0005-0000-0000-0000F0050000}"/>
    <cellStyle name="Warning Text 16" xfId="795" xr:uid="{00000000-0005-0000-0000-0000F1050000}"/>
    <cellStyle name="Warning Text 2" xfId="96" xr:uid="{00000000-0005-0000-0000-0000F2050000}"/>
    <cellStyle name="Warning Text 2 2" xfId="810" xr:uid="{00000000-0005-0000-0000-0000F3050000}"/>
    <cellStyle name="Warning Text 2 3" xfId="682" xr:uid="{00000000-0005-0000-0000-0000F4050000}"/>
    <cellStyle name="Warning Text 3" xfId="683" xr:uid="{00000000-0005-0000-0000-0000F5050000}"/>
    <cellStyle name="Warning Text 4" xfId="684" xr:uid="{00000000-0005-0000-0000-0000F6050000}"/>
    <cellStyle name="Warning Text 5" xfId="685" xr:uid="{00000000-0005-0000-0000-0000F7050000}"/>
    <cellStyle name="Warning Text 6" xfId="686" xr:uid="{00000000-0005-0000-0000-0000F8050000}"/>
    <cellStyle name="Warning Text 7" xfId="687" xr:uid="{00000000-0005-0000-0000-0000F9050000}"/>
    <cellStyle name="Warning Text 8" xfId="688" xr:uid="{00000000-0005-0000-0000-0000FA050000}"/>
    <cellStyle name="Warning Text 9" xfId="689" xr:uid="{00000000-0005-0000-0000-0000FB05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A1:AJ178"/>
  <sheetViews>
    <sheetView showGridLines="0" topLeftCell="X32" zoomScale="90" zoomScaleNormal="90" workbookViewId="0">
      <selection activeCell="AE37" sqref="AE37:AG161"/>
    </sheetView>
  </sheetViews>
  <sheetFormatPr defaultRowHeight="12.75" x14ac:dyDescent="0.2"/>
  <cols>
    <col min="1" max="3" width="14.5703125" style="61" customWidth="1"/>
    <col min="4" max="6" width="14.5703125" style="64" customWidth="1"/>
    <col min="7" max="8" width="14.5703125" style="61" customWidth="1"/>
    <col min="9" max="18" width="14" style="61" customWidth="1"/>
    <col min="19" max="19" width="14.5703125" style="62" bestFit="1" customWidth="1"/>
    <col min="20" max="20" width="12.140625" style="62" bestFit="1" customWidth="1"/>
    <col min="21" max="33" width="14" style="61" customWidth="1"/>
    <col min="34" max="34" width="9.140625" style="61"/>
    <col min="35" max="35" width="18.140625" style="61" customWidth="1"/>
    <col min="36" max="36" width="16.42578125" style="61" customWidth="1"/>
    <col min="37" max="257" width="9.140625" style="61"/>
    <col min="258" max="258" width="31" style="61" customWidth="1"/>
    <col min="259" max="259" width="18.5703125" style="61" customWidth="1"/>
    <col min="260" max="260" width="3.85546875" style="61" customWidth="1"/>
    <col min="261" max="261" width="18.7109375" style="61" customWidth="1"/>
    <col min="262" max="270" width="14" style="61" customWidth="1"/>
    <col min="271" max="271" width="13" style="61" bestFit="1" customWidth="1"/>
    <col min="272" max="272" width="14.5703125" style="61" bestFit="1" customWidth="1"/>
    <col min="273" max="273" width="12.140625" style="61" bestFit="1" customWidth="1"/>
    <col min="274" max="284" width="14" style="61" customWidth="1"/>
    <col min="285" max="288" width="13.28515625" style="61" customWidth="1"/>
    <col min="289" max="513" width="9.140625" style="61"/>
    <col min="514" max="514" width="31" style="61" customWidth="1"/>
    <col min="515" max="515" width="18.5703125" style="61" customWidth="1"/>
    <col min="516" max="516" width="3.85546875" style="61" customWidth="1"/>
    <col min="517" max="517" width="18.7109375" style="61" customWidth="1"/>
    <col min="518" max="526" width="14" style="61" customWidth="1"/>
    <col min="527" max="527" width="13" style="61" bestFit="1" customWidth="1"/>
    <col min="528" max="528" width="14.5703125" style="61" bestFit="1" customWidth="1"/>
    <col min="529" max="529" width="12.140625" style="61" bestFit="1" customWidth="1"/>
    <col min="530" max="540" width="14" style="61" customWidth="1"/>
    <col min="541" max="544" width="13.28515625" style="61" customWidth="1"/>
    <col min="545" max="769" width="9.140625" style="61"/>
    <col min="770" max="770" width="31" style="61" customWidth="1"/>
    <col min="771" max="771" width="18.5703125" style="61" customWidth="1"/>
    <col min="772" max="772" width="3.85546875" style="61" customWidth="1"/>
    <col min="773" max="773" width="18.7109375" style="61" customWidth="1"/>
    <col min="774" max="782" width="14" style="61" customWidth="1"/>
    <col min="783" max="783" width="13" style="61" bestFit="1" customWidth="1"/>
    <col min="784" max="784" width="14.5703125" style="61" bestFit="1" customWidth="1"/>
    <col min="785" max="785" width="12.140625" style="61" bestFit="1" customWidth="1"/>
    <col min="786" max="796" width="14" style="61" customWidth="1"/>
    <col min="797" max="800" width="13.28515625" style="61" customWidth="1"/>
    <col min="801" max="1025" width="9.140625" style="61"/>
    <col min="1026" max="1026" width="31" style="61" customWidth="1"/>
    <col min="1027" max="1027" width="18.5703125" style="61" customWidth="1"/>
    <col min="1028" max="1028" width="3.85546875" style="61" customWidth="1"/>
    <col min="1029" max="1029" width="18.7109375" style="61" customWidth="1"/>
    <col min="1030" max="1038" width="14" style="61" customWidth="1"/>
    <col min="1039" max="1039" width="13" style="61" bestFit="1" customWidth="1"/>
    <col min="1040" max="1040" width="14.5703125" style="61" bestFit="1" customWidth="1"/>
    <col min="1041" max="1041" width="12.140625" style="61" bestFit="1" customWidth="1"/>
    <col min="1042" max="1052" width="14" style="61" customWidth="1"/>
    <col min="1053" max="1056" width="13.28515625" style="61" customWidth="1"/>
    <col min="1057" max="1281" width="9.140625" style="61"/>
    <col min="1282" max="1282" width="31" style="61" customWidth="1"/>
    <col min="1283" max="1283" width="18.5703125" style="61" customWidth="1"/>
    <col min="1284" max="1284" width="3.85546875" style="61" customWidth="1"/>
    <col min="1285" max="1285" width="18.7109375" style="61" customWidth="1"/>
    <col min="1286" max="1294" width="14" style="61" customWidth="1"/>
    <col min="1295" max="1295" width="13" style="61" bestFit="1" customWidth="1"/>
    <col min="1296" max="1296" width="14.5703125" style="61" bestFit="1" customWidth="1"/>
    <col min="1297" max="1297" width="12.140625" style="61" bestFit="1" customWidth="1"/>
    <col min="1298" max="1308" width="14" style="61" customWidth="1"/>
    <col min="1309" max="1312" width="13.28515625" style="61" customWidth="1"/>
    <col min="1313" max="1537" width="9.140625" style="61"/>
    <col min="1538" max="1538" width="31" style="61" customWidth="1"/>
    <col min="1539" max="1539" width="18.5703125" style="61" customWidth="1"/>
    <col min="1540" max="1540" width="3.85546875" style="61" customWidth="1"/>
    <col min="1541" max="1541" width="18.7109375" style="61" customWidth="1"/>
    <col min="1542" max="1550" width="14" style="61" customWidth="1"/>
    <col min="1551" max="1551" width="13" style="61" bestFit="1" customWidth="1"/>
    <col min="1552" max="1552" width="14.5703125" style="61" bestFit="1" customWidth="1"/>
    <col min="1553" max="1553" width="12.140625" style="61" bestFit="1" customWidth="1"/>
    <col min="1554" max="1564" width="14" style="61" customWidth="1"/>
    <col min="1565" max="1568" width="13.28515625" style="61" customWidth="1"/>
    <col min="1569" max="1793" width="9.140625" style="61"/>
    <col min="1794" max="1794" width="31" style="61" customWidth="1"/>
    <col min="1795" max="1795" width="18.5703125" style="61" customWidth="1"/>
    <col min="1796" max="1796" width="3.85546875" style="61" customWidth="1"/>
    <col min="1797" max="1797" width="18.7109375" style="61" customWidth="1"/>
    <col min="1798" max="1806" width="14" style="61" customWidth="1"/>
    <col min="1807" max="1807" width="13" style="61" bestFit="1" customWidth="1"/>
    <col min="1808" max="1808" width="14.5703125" style="61" bestFit="1" customWidth="1"/>
    <col min="1809" max="1809" width="12.140625" style="61" bestFit="1" customWidth="1"/>
    <col min="1810" max="1820" width="14" style="61" customWidth="1"/>
    <col min="1821" max="1824" width="13.28515625" style="61" customWidth="1"/>
    <col min="1825" max="2049" width="9.140625" style="61"/>
    <col min="2050" max="2050" width="31" style="61" customWidth="1"/>
    <col min="2051" max="2051" width="18.5703125" style="61" customWidth="1"/>
    <col min="2052" max="2052" width="3.85546875" style="61" customWidth="1"/>
    <col min="2053" max="2053" width="18.7109375" style="61" customWidth="1"/>
    <col min="2054" max="2062" width="14" style="61" customWidth="1"/>
    <col min="2063" max="2063" width="13" style="61" bestFit="1" customWidth="1"/>
    <col min="2064" max="2064" width="14.5703125" style="61" bestFit="1" customWidth="1"/>
    <col min="2065" max="2065" width="12.140625" style="61" bestFit="1" customWidth="1"/>
    <col min="2066" max="2076" width="14" style="61" customWidth="1"/>
    <col min="2077" max="2080" width="13.28515625" style="61" customWidth="1"/>
    <col min="2081" max="2305" width="9.140625" style="61"/>
    <col min="2306" max="2306" width="31" style="61" customWidth="1"/>
    <col min="2307" max="2307" width="18.5703125" style="61" customWidth="1"/>
    <col min="2308" max="2308" width="3.85546875" style="61" customWidth="1"/>
    <col min="2309" max="2309" width="18.7109375" style="61" customWidth="1"/>
    <col min="2310" max="2318" width="14" style="61" customWidth="1"/>
    <col min="2319" max="2319" width="13" style="61" bestFit="1" customWidth="1"/>
    <col min="2320" max="2320" width="14.5703125" style="61" bestFit="1" customWidth="1"/>
    <col min="2321" max="2321" width="12.140625" style="61" bestFit="1" customWidth="1"/>
    <col min="2322" max="2332" width="14" style="61" customWidth="1"/>
    <col min="2333" max="2336" width="13.28515625" style="61" customWidth="1"/>
    <col min="2337" max="2561" width="9.140625" style="61"/>
    <col min="2562" max="2562" width="31" style="61" customWidth="1"/>
    <col min="2563" max="2563" width="18.5703125" style="61" customWidth="1"/>
    <col min="2564" max="2564" width="3.85546875" style="61" customWidth="1"/>
    <col min="2565" max="2565" width="18.7109375" style="61" customWidth="1"/>
    <col min="2566" max="2574" width="14" style="61" customWidth="1"/>
    <col min="2575" max="2575" width="13" style="61" bestFit="1" customWidth="1"/>
    <col min="2576" max="2576" width="14.5703125" style="61" bestFit="1" customWidth="1"/>
    <col min="2577" max="2577" width="12.140625" style="61" bestFit="1" customWidth="1"/>
    <col min="2578" max="2588" width="14" style="61" customWidth="1"/>
    <col min="2589" max="2592" width="13.28515625" style="61" customWidth="1"/>
    <col min="2593" max="2817" width="9.140625" style="61"/>
    <col min="2818" max="2818" width="31" style="61" customWidth="1"/>
    <col min="2819" max="2819" width="18.5703125" style="61" customWidth="1"/>
    <col min="2820" max="2820" width="3.85546875" style="61" customWidth="1"/>
    <col min="2821" max="2821" width="18.7109375" style="61" customWidth="1"/>
    <col min="2822" max="2830" width="14" style="61" customWidth="1"/>
    <col min="2831" max="2831" width="13" style="61" bestFit="1" customWidth="1"/>
    <col min="2832" max="2832" width="14.5703125" style="61" bestFit="1" customWidth="1"/>
    <col min="2833" max="2833" width="12.140625" style="61" bestFit="1" customWidth="1"/>
    <col min="2834" max="2844" width="14" style="61" customWidth="1"/>
    <col min="2845" max="2848" width="13.28515625" style="61" customWidth="1"/>
    <col min="2849" max="3073" width="9.140625" style="61"/>
    <col min="3074" max="3074" width="31" style="61" customWidth="1"/>
    <col min="3075" max="3075" width="18.5703125" style="61" customWidth="1"/>
    <col min="3076" max="3076" width="3.85546875" style="61" customWidth="1"/>
    <col min="3077" max="3077" width="18.7109375" style="61" customWidth="1"/>
    <col min="3078" max="3086" width="14" style="61" customWidth="1"/>
    <col min="3087" max="3087" width="13" style="61" bestFit="1" customWidth="1"/>
    <col min="3088" max="3088" width="14.5703125" style="61" bestFit="1" customWidth="1"/>
    <col min="3089" max="3089" width="12.140625" style="61" bestFit="1" customWidth="1"/>
    <col min="3090" max="3100" width="14" style="61" customWidth="1"/>
    <col min="3101" max="3104" width="13.28515625" style="61" customWidth="1"/>
    <col min="3105" max="3329" width="9.140625" style="61"/>
    <col min="3330" max="3330" width="31" style="61" customWidth="1"/>
    <col min="3331" max="3331" width="18.5703125" style="61" customWidth="1"/>
    <col min="3332" max="3332" width="3.85546875" style="61" customWidth="1"/>
    <col min="3333" max="3333" width="18.7109375" style="61" customWidth="1"/>
    <col min="3334" max="3342" width="14" style="61" customWidth="1"/>
    <col min="3343" max="3343" width="13" style="61" bestFit="1" customWidth="1"/>
    <col min="3344" max="3344" width="14.5703125" style="61" bestFit="1" customWidth="1"/>
    <col min="3345" max="3345" width="12.140625" style="61" bestFit="1" customWidth="1"/>
    <col min="3346" max="3356" width="14" style="61" customWidth="1"/>
    <col min="3357" max="3360" width="13.28515625" style="61" customWidth="1"/>
    <col min="3361" max="3585" width="9.140625" style="61"/>
    <col min="3586" max="3586" width="31" style="61" customWidth="1"/>
    <col min="3587" max="3587" width="18.5703125" style="61" customWidth="1"/>
    <col min="3588" max="3588" width="3.85546875" style="61" customWidth="1"/>
    <col min="3589" max="3589" width="18.7109375" style="61" customWidth="1"/>
    <col min="3590" max="3598" width="14" style="61" customWidth="1"/>
    <col min="3599" max="3599" width="13" style="61" bestFit="1" customWidth="1"/>
    <col min="3600" max="3600" width="14.5703125" style="61" bestFit="1" customWidth="1"/>
    <col min="3601" max="3601" width="12.140625" style="61" bestFit="1" customWidth="1"/>
    <col min="3602" max="3612" width="14" style="61" customWidth="1"/>
    <col min="3613" max="3616" width="13.28515625" style="61" customWidth="1"/>
    <col min="3617" max="3841" width="9.140625" style="61"/>
    <col min="3842" max="3842" width="31" style="61" customWidth="1"/>
    <col min="3843" max="3843" width="18.5703125" style="61" customWidth="1"/>
    <col min="3844" max="3844" width="3.85546875" style="61" customWidth="1"/>
    <col min="3845" max="3845" width="18.7109375" style="61" customWidth="1"/>
    <col min="3846" max="3854" width="14" style="61" customWidth="1"/>
    <col min="3855" max="3855" width="13" style="61" bestFit="1" customWidth="1"/>
    <col min="3856" max="3856" width="14.5703125" style="61" bestFit="1" customWidth="1"/>
    <col min="3857" max="3857" width="12.140625" style="61" bestFit="1" customWidth="1"/>
    <col min="3858" max="3868" width="14" style="61" customWidth="1"/>
    <col min="3869" max="3872" width="13.28515625" style="61" customWidth="1"/>
    <col min="3873" max="4097" width="9.140625" style="61"/>
    <col min="4098" max="4098" width="31" style="61" customWidth="1"/>
    <col min="4099" max="4099" width="18.5703125" style="61" customWidth="1"/>
    <col min="4100" max="4100" width="3.85546875" style="61" customWidth="1"/>
    <col min="4101" max="4101" width="18.7109375" style="61" customWidth="1"/>
    <col min="4102" max="4110" width="14" style="61" customWidth="1"/>
    <col min="4111" max="4111" width="13" style="61" bestFit="1" customWidth="1"/>
    <col min="4112" max="4112" width="14.5703125" style="61" bestFit="1" customWidth="1"/>
    <col min="4113" max="4113" width="12.140625" style="61" bestFit="1" customWidth="1"/>
    <col min="4114" max="4124" width="14" style="61" customWidth="1"/>
    <col min="4125" max="4128" width="13.28515625" style="61" customWidth="1"/>
    <col min="4129" max="4353" width="9.140625" style="61"/>
    <col min="4354" max="4354" width="31" style="61" customWidth="1"/>
    <col min="4355" max="4355" width="18.5703125" style="61" customWidth="1"/>
    <col min="4356" max="4356" width="3.85546875" style="61" customWidth="1"/>
    <col min="4357" max="4357" width="18.7109375" style="61" customWidth="1"/>
    <col min="4358" max="4366" width="14" style="61" customWidth="1"/>
    <col min="4367" max="4367" width="13" style="61" bestFit="1" customWidth="1"/>
    <col min="4368" max="4368" width="14.5703125" style="61" bestFit="1" customWidth="1"/>
    <col min="4369" max="4369" width="12.140625" style="61" bestFit="1" customWidth="1"/>
    <col min="4370" max="4380" width="14" style="61" customWidth="1"/>
    <col min="4381" max="4384" width="13.28515625" style="61" customWidth="1"/>
    <col min="4385" max="4609" width="9.140625" style="61"/>
    <col min="4610" max="4610" width="31" style="61" customWidth="1"/>
    <col min="4611" max="4611" width="18.5703125" style="61" customWidth="1"/>
    <col min="4612" max="4612" width="3.85546875" style="61" customWidth="1"/>
    <col min="4613" max="4613" width="18.7109375" style="61" customWidth="1"/>
    <col min="4614" max="4622" width="14" style="61" customWidth="1"/>
    <col min="4623" max="4623" width="13" style="61" bestFit="1" customWidth="1"/>
    <col min="4624" max="4624" width="14.5703125" style="61" bestFit="1" customWidth="1"/>
    <col min="4625" max="4625" width="12.140625" style="61" bestFit="1" customWidth="1"/>
    <col min="4626" max="4636" width="14" style="61" customWidth="1"/>
    <col min="4637" max="4640" width="13.28515625" style="61" customWidth="1"/>
    <col min="4641" max="4865" width="9.140625" style="61"/>
    <col min="4866" max="4866" width="31" style="61" customWidth="1"/>
    <col min="4867" max="4867" width="18.5703125" style="61" customWidth="1"/>
    <col min="4868" max="4868" width="3.85546875" style="61" customWidth="1"/>
    <col min="4869" max="4869" width="18.7109375" style="61" customWidth="1"/>
    <col min="4870" max="4878" width="14" style="61" customWidth="1"/>
    <col min="4879" max="4879" width="13" style="61" bestFit="1" customWidth="1"/>
    <col min="4880" max="4880" width="14.5703125" style="61" bestFit="1" customWidth="1"/>
    <col min="4881" max="4881" width="12.140625" style="61" bestFit="1" customWidth="1"/>
    <col min="4882" max="4892" width="14" style="61" customWidth="1"/>
    <col min="4893" max="4896" width="13.28515625" style="61" customWidth="1"/>
    <col min="4897" max="5121" width="9.140625" style="61"/>
    <col min="5122" max="5122" width="31" style="61" customWidth="1"/>
    <col min="5123" max="5123" width="18.5703125" style="61" customWidth="1"/>
    <col min="5124" max="5124" width="3.85546875" style="61" customWidth="1"/>
    <col min="5125" max="5125" width="18.7109375" style="61" customWidth="1"/>
    <col min="5126" max="5134" width="14" style="61" customWidth="1"/>
    <col min="5135" max="5135" width="13" style="61" bestFit="1" customWidth="1"/>
    <col min="5136" max="5136" width="14.5703125" style="61" bestFit="1" customWidth="1"/>
    <col min="5137" max="5137" width="12.140625" style="61" bestFit="1" customWidth="1"/>
    <col min="5138" max="5148" width="14" style="61" customWidth="1"/>
    <col min="5149" max="5152" width="13.28515625" style="61" customWidth="1"/>
    <col min="5153" max="5377" width="9.140625" style="61"/>
    <col min="5378" max="5378" width="31" style="61" customWidth="1"/>
    <col min="5379" max="5379" width="18.5703125" style="61" customWidth="1"/>
    <col min="5380" max="5380" width="3.85546875" style="61" customWidth="1"/>
    <col min="5381" max="5381" width="18.7109375" style="61" customWidth="1"/>
    <col min="5382" max="5390" width="14" style="61" customWidth="1"/>
    <col min="5391" max="5391" width="13" style="61" bestFit="1" customWidth="1"/>
    <col min="5392" max="5392" width="14.5703125" style="61" bestFit="1" customWidth="1"/>
    <col min="5393" max="5393" width="12.140625" style="61" bestFit="1" customWidth="1"/>
    <col min="5394" max="5404" width="14" style="61" customWidth="1"/>
    <col min="5405" max="5408" width="13.28515625" style="61" customWidth="1"/>
    <col min="5409" max="5633" width="9.140625" style="61"/>
    <col min="5634" max="5634" width="31" style="61" customWidth="1"/>
    <col min="5635" max="5635" width="18.5703125" style="61" customWidth="1"/>
    <col min="5636" max="5636" width="3.85546875" style="61" customWidth="1"/>
    <col min="5637" max="5637" width="18.7109375" style="61" customWidth="1"/>
    <col min="5638" max="5646" width="14" style="61" customWidth="1"/>
    <col min="5647" max="5647" width="13" style="61" bestFit="1" customWidth="1"/>
    <col min="5648" max="5648" width="14.5703125" style="61" bestFit="1" customWidth="1"/>
    <col min="5649" max="5649" width="12.140625" style="61" bestFit="1" customWidth="1"/>
    <col min="5650" max="5660" width="14" style="61" customWidth="1"/>
    <col min="5661" max="5664" width="13.28515625" style="61" customWidth="1"/>
    <col min="5665" max="5889" width="9.140625" style="61"/>
    <col min="5890" max="5890" width="31" style="61" customWidth="1"/>
    <col min="5891" max="5891" width="18.5703125" style="61" customWidth="1"/>
    <col min="5892" max="5892" width="3.85546875" style="61" customWidth="1"/>
    <col min="5893" max="5893" width="18.7109375" style="61" customWidth="1"/>
    <col min="5894" max="5902" width="14" style="61" customWidth="1"/>
    <col min="5903" max="5903" width="13" style="61" bestFit="1" customWidth="1"/>
    <col min="5904" max="5904" width="14.5703125" style="61" bestFit="1" customWidth="1"/>
    <col min="5905" max="5905" width="12.140625" style="61" bestFit="1" customWidth="1"/>
    <col min="5906" max="5916" width="14" style="61" customWidth="1"/>
    <col min="5917" max="5920" width="13.28515625" style="61" customWidth="1"/>
    <col min="5921" max="6145" width="9.140625" style="61"/>
    <col min="6146" max="6146" width="31" style="61" customWidth="1"/>
    <col min="6147" max="6147" width="18.5703125" style="61" customWidth="1"/>
    <col min="6148" max="6148" width="3.85546875" style="61" customWidth="1"/>
    <col min="6149" max="6149" width="18.7109375" style="61" customWidth="1"/>
    <col min="6150" max="6158" width="14" style="61" customWidth="1"/>
    <col min="6159" max="6159" width="13" style="61" bestFit="1" customWidth="1"/>
    <col min="6160" max="6160" width="14.5703125" style="61" bestFit="1" customWidth="1"/>
    <col min="6161" max="6161" width="12.140625" style="61" bestFit="1" customWidth="1"/>
    <col min="6162" max="6172" width="14" style="61" customWidth="1"/>
    <col min="6173" max="6176" width="13.28515625" style="61" customWidth="1"/>
    <col min="6177" max="6401" width="9.140625" style="61"/>
    <col min="6402" max="6402" width="31" style="61" customWidth="1"/>
    <col min="6403" max="6403" width="18.5703125" style="61" customWidth="1"/>
    <col min="6404" max="6404" width="3.85546875" style="61" customWidth="1"/>
    <col min="6405" max="6405" width="18.7109375" style="61" customWidth="1"/>
    <col min="6406" max="6414" width="14" style="61" customWidth="1"/>
    <col min="6415" max="6415" width="13" style="61" bestFit="1" customWidth="1"/>
    <col min="6416" max="6416" width="14.5703125" style="61" bestFit="1" customWidth="1"/>
    <col min="6417" max="6417" width="12.140625" style="61" bestFit="1" customWidth="1"/>
    <col min="6418" max="6428" width="14" style="61" customWidth="1"/>
    <col min="6429" max="6432" width="13.28515625" style="61" customWidth="1"/>
    <col min="6433" max="6657" width="9.140625" style="61"/>
    <col min="6658" max="6658" width="31" style="61" customWidth="1"/>
    <col min="6659" max="6659" width="18.5703125" style="61" customWidth="1"/>
    <col min="6660" max="6660" width="3.85546875" style="61" customWidth="1"/>
    <col min="6661" max="6661" width="18.7109375" style="61" customWidth="1"/>
    <col min="6662" max="6670" width="14" style="61" customWidth="1"/>
    <col min="6671" max="6671" width="13" style="61" bestFit="1" customWidth="1"/>
    <col min="6672" max="6672" width="14.5703125" style="61" bestFit="1" customWidth="1"/>
    <col min="6673" max="6673" width="12.140625" style="61" bestFit="1" customWidth="1"/>
    <col min="6674" max="6684" width="14" style="61" customWidth="1"/>
    <col min="6685" max="6688" width="13.28515625" style="61" customWidth="1"/>
    <col min="6689" max="6913" width="9.140625" style="61"/>
    <col min="6914" max="6914" width="31" style="61" customWidth="1"/>
    <col min="6915" max="6915" width="18.5703125" style="61" customWidth="1"/>
    <col min="6916" max="6916" width="3.85546875" style="61" customWidth="1"/>
    <col min="6917" max="6917" width="18.7109375" style="61" customWidth="1"/>
    <col min="6918" max="6926" width="14" style="61" customWidth="1"/>
    <col min="6927" max="6927" width="13" style="61" bestFit="1" customWidth="1"/>
    <col min="6928" max="6928" width="14.5703125" style="61" bestFit="1" customWidth="1"/>
    <col min="6929" max="6929" width="12.140625" style="61" bestFit="1" customWidth="1"/>
    <col min="6930" max="6940" width="14" style="61" customWidth="1"/>
    <col min="6941" max="6944" width="13.28515625" style="61" customWidth="1"/>
    <col min="6945" max="7169" width="9.140625" style="61"/>
    <col min="7170" max="7170" width="31" style="61" customWidth="1"/>
    <col min="7171" max="7171" width="18.5703125" style="61" customWidth="1"/>
    <col min="7172" max="7172" width="3.85546875" style="61" customWidth="1"/>
    <col min="7173" max="7173" width="18.7109375" style="61" customWidth="1"/>
    <col min="7174" max="7182" width="14" style="61" customWidth="1"/>
    <col min="7183" max="7183" width="13" style="61" bestFit="1" customWidth="1"/>
    <col min="7184" max="7184" width="14.5703125" style="61" bestFit="1" customWidth="1"/>
    <col min="7185" max="7185" width="12.140625" style="61" bestFit="1" customWidth="1"/>
    <col min="7186" max="7196" width="14" style="61" customWidth="1"/>
    <col min="7197" max="7200" width="13.28515625" style="61" customWidth="1"/>
    <col min="7201" max="7425" width="9.140625" style="61"/>
    <col min="7426" max="7426" width="31" style="61" customWidth="1"/>
    <col min="7427" max="7427" width="18.5703125" style="61" customWidth="1"/>
    <col min="7428" max="7428" width="3.85546875" style="61" customWidth="1"/>
    <col min="7429" max="7429" width="18.7109375" style="61" customWidth="1"/>
    <col min="7430" max="7438" width="14" style="61" customWidth="1"/>
    <col min="7439" max="7439" width="13" style="61" bestFit="1" customWidth="1"/>
    <col min="7440" max="7440" width="14.5703125" style="61" bestFit="1" customWidth="1"/>
    <col min="7441" max="7441" width="12.140625" style="61" bestFit="1" customWidth="1"/>
    <col min="7442" max="7452" width="14" style="61" customWidth="1"/>
    <col min="7453" max="7456" width="13.28515625" style="61" customWidth="1"/>
    <col min="7457" max="7681" width="9.140625" style="61"/>
    <col min="7682" max="7682" width="31" style="61" customWidth="1"/>
    <col min="7683" max="7683" width="18.5703125" style="61" customWidth="1"/>
    <col min="7684" max="7684" width="3.85546875" style="61" customWidth="1"/>
    <col min="7685" max="7685" width="18.7109375" style="61" customWidth="1"/>
    <col min="7686" max="7694" width="14" style="61" customWidth="1"/>
    <col min="7695" max="7695" width="13" style="61" bestFit="1" customWidth="1"/>
    <col min="7696" max="7696" width="14.5703125" style="61" bestFit="1" customWidth="1"/>
    <col min="7697" max="7697" width="12.140625" style="61" bestFit="1" customWidth="1"/>
    <col min="7698" max="7708" width="14" style="61" customWidth="1"/>
    <col min="7709" max="7712" width="13.28515625" style="61" customWidth="1"/>
    <col min="7713" max="7937" width="9.140625" style="61"/>
    <col min="7938" max="7938" width="31" style="61" customWidth="1"/>
    <col min="7939" max="7939" width="18.5703125" style="61" customWidth="1"/>
    <col min="7940" max="7940" width="3.85546875" style="61" customWidth="1"/>
    <col min="7941" max="7941" width="18.7109375" style="61" customWidth="1"/>
    <col min="7942" max="7950" width="14" style="61" customWidth="1"/>
    <col min="7951" max="7951" width="13" style="61" bestFit="1" customWidth="1"/>
    <col min="7952" max="7952" width="14.5703125" style="61" bestFit="1" customWidth="1"/>
    <col min="7953" max="7953" width="12.140625" style="61" bestFit="1" customWidth="1"/>
    <col min="7954" max="7964" width="14" style="61" customWidth="1"/>
    <col min="7965" max="7968" width="13.28515625" style="61" customWidth="1"/>
    <col min="7969" max="8193" width="9.140625" style="61"/>
    <col min="8194" max="8194" width="31" style="61" customWidth="1"/>
    <col min="8195" max="8195" width="18.5703125" style="61" customWidth="1"/>
    <col min="8196" max="8196" width="3.85546875" style="61" customWidth="1"/>
    <col min="8197" max="8197" width="18.7109375" style="61" customWidth="1"/>
    <col min="8198" max="8206" width="14" style="61" customWidth="1"/>
    <col min="8207" max="8207" width="13" style="61" bestFit="1" customWidth="1"/>
    <col min="8208" max="8208" width="14.5703125" style="61" bestFit="1" customWidth="1"/>
    <col min="8209" max="8209" width="12.140625" style="61" bestFit="1" customWidth="1"/>
    <col min="8210" max="8220" width="14" style="61" customWidth="1"/>
    <col min="8221" max="8224" width="13.28515625" style="61" customWidth="1"/>
    <col min="8225" max="8449" width="9.140625" style="61"/>
    <col min="8450" max="8450" width="31" style="61" customWidth="1"/>
    <col min="8451" max="8451" width="18.5703125" style="61" customWidth="1"/>
    <col min="8452" max="8452" width="3.85546875" style="61" customWidth="1"/>
    <col min="8453" max="8453" width="18.7109375" style="61" customWidth="1"/>
    <col min="8454" max="8462" width="14" style="61" customWidth="1"/>
    <col min="8463" max="8463" width="13" style="61" bestFit="1" customWidth="1"/>
    <col min="8464" max="8464" width="14.5703125" style="61" bestFit="1" customWidth="1"/>
    <col min="8465" max="8465" width="12.140625" style="61" bestFit="1" customWidth="1"/>
    <col min="8466" max="8476" width="14" style="61" customWidth="1"/>
    <col min="8477" max="8480" width="13.28515625" style="61" customWidth="1"/>
    <col min="8481" max="8705" width="9.140625" style="61"/>
    <col min="8706" max="8706" width="31" style="61" customWidth="1"/>
    <col min="8707" max="8707" width="18.5703125" style="61" customWidth="1"/>
    <col min="8708" max="8708" width="3.85546875" style="61" customWidth="1"/>
    <col min="8709" max="8709" width="18.7109375" style="61" customWidth="1"/>
    <col min="8710" max="8718" width="14" style="61" customWidth="1"/>
    <col min="8719" max="8719" width="13" style="61" bestFit="1" customWidth="1"/>
    <col min="8720" max="8720" width="14.5703125" style="61" bestFit="1" customWidth="1"/>
    <col min="8721" max="8721" width="12.140625" style="61" bestFit="1" customWidth="1"/>
    <col min="8722" max="8732" width="14" style="61" customWidth="1"/>
    <col min="8733" max="8736" width="13.28515625" style="61" customWidth="1"/>
    <col min="8737" max="8961" width="9.140625" style="61"/>
    <col min="8962" max="8962" width="31" style="61" customWidth="1"/>
    <col min="8963" max="8963" width="18.5703125" style="61" customWidth="1"/>
    <col min="8964" max="8964" width="3.85546875" style="61" customWidth="1"/>
    <col min="8965" max="8965" width="18.7109375" style="61" customWidth="1"/>
    <col min="8966" max="8974" width="14" style="61" customWidth="1"/>
    <col min="8975" max="8975" width="13" style="61" bestFit="1" customWidth="1"/>
    <col min="8976" max="8976" width="14.5703125" style="61" bestFit="1" customWidth="1"/>
    <col min="8977" max="8977" width="12.140625" style="61" bestFit="1" customWidth="1"/>
    <col min="8978" max="8988" width="14" style="61" customWidth="1"/>
    <col min="8989" max="8992" width="13.28515625" style="61" customWidth="1"/>
    <col min="8993" max="9217" width="9.140625" style="61"/>
    <col min="9218" max="9218" width="31" style="61" customWidth="1"/>
    <col min="9219" max="9219" width="18.5703125" style="61" customWidth="1"/>
    <col min="9220" max="9220" width="3.85546875" style="61" customWidth="1"/>
    <col min="9221" max="9221" width="18.7109375" style="61" customWidth="1"/>
    <col min="9222" max="9230" width="14" style="61" customWidth="1"/>
    <col min="9231" max="9231" width="13" style="61" bestFit="1" customWidth="1"/>
    <col min="9232" max="9232" width="14.5703125" style="61" bestFit="1" customWidth="1"/>
    <col min="9233" max="9233" width="12.140625" style="61" bestFit="1" customWidth="1"/>
    <col min="9234" max="9244" width="14" style="61" customWidth="1"/>
    <col min="9245" max="9248" width="13.28515625" style="61" customWidth="1"/>
    <col min="9249" max="9473" width="9.140625" style="61"/>
    <col min="9474" max="9474" width="31" style="61" customWidth="1"/>
    <col min="9475" max="9475" width="18.5703125" style="61" customWidth="1"/>
    <col min="9476" max="9476" width="3.85546875" style="61" customWidth="1"/>
    <col min="9477" max="9477" width="18.7109375" style="61" customWidth="1"/>
    <col min="9478" max="9486" width="14" style="61" customWidth="1"/>
    <col min="9487" max="9487" width="13" style="61" bestFit="1" customWidth="1"/>
    <col min="9488" max="9488" width="14.5703125" style="61" bestFit="1" customWidth="1"/>
    <col min="9489" max="9489" width="12.140625" style="61" bestFit="1" customWidth="1"/>
    <col min="9490" max="9500" width="14" style="61" customWidth="1"/>
    <col min="9501" max="9504" width="13.28515625" style="61" customWidth="1"/>
    <col min="9505" max="9729" width="9.140625" style="61"/>
    <col min="9730" max="9730" width="31" style="61" customWidth="1"/>
    <col min="9731" max="9731" width="18.5703125" style="61" customWidth="1"/>
    <col min="9732" max="9732" width="3.85546875" style="61" customWidth="1"/>
    <col min="9733" max="9733" width="18.7109375" style="61" customWidth="1"/>
    <col min="9734" max="9742" width="14" style="61" customWidth="1"/>
    <col min="9743" max="9743" width="13" style="61" bestFit="1" customWidth="1"/>
    <col min="9744" max="9744" width="14.5703125" style="61" bestFit="1" customWidth="1"/>
    <col min="9745" max="9745" width="12.140625" style="61" bestFit="1" customWidth="1"/>
    <col min="9746" max="9756" width="14" style="61" customWidth="1"/>
    <col min="9757" max="9760" width="13.28515625" style="61" customWidth="1"/>
    <col min="9761" max="9985" width="9.140625" style="61"/>
    <col min="9986" max="9986" width="31" style="61" customWidth="1"/>
    <col min="9987" max="9987" width="18.5703125" style="61" customWidth="1"/>
    <col min="9988" max="9988" width="3.85546875" style="61" customWidth="1"/>
    <col min="9989" max="9989" width="18.7109375" style="61" customWidth="1"/>
    <col min="9990" max="9998" width="14" style="61" customWidth="1"/>
    <col min="9999" max="9999" width="13" style="61" bestFit="1" customWidth="1"/>
    <col min="10000" max="10000" width="14.5703125" style="61" bestFit="1" customWidth="1"/>
    <col min="10001" max="10001" width="12.140625" style="61" bestFit="1" customWidth="1"/>
    <col min="10002" max="10012" width="14" style="61" customWidth="1"/>
    <col min="10013" max="10016" width="13.28515625" style="61" customWidth="1"/>
    <col min="10017" max="10241" width="9.140625" style="61"/>
    <col min="10242" max="10242" width="31" style="61" customWidth="1"/>
    <col min="10243" max="10243" width="18.5703125" style="61" customWidth="1"/>
    <col min="10244" max="10244" width="3.85546875" style="61" customWidth="1"/>
    <col min="10245" max="10245" width="18.7109375" style="61" customWidth="1"/>
    <col min="10246" max="10254" width="14" style="61" customWidth="1"/>
    <col min="10255" max="10255" width="13" style="61" bestFit="1" customWidth="1"/>
    <col min="10256" max="10256" width="14.5703125" style="61" bestFit="1" customWidth="1"/>
    <col min="10257" max="10257" width="12.140625" style="61" bestFit="1" customWidth="1"/>
    <col min="10258" max="10268" width="14" style="61" customWidth="1"/>
    <col min="10269" max="10272" width="13.28515625" style="61" customWidth="1"/>
    <col min="10273" max="10497" width="9.140625" style="61"/>
    <col min="10498" max="10498" width="31" style="61" customWidth="1"/>
    <col min="10499" max="10499" width="18.5703125" style="61" customWidth="1"/>
    <col min="10500" max="10500" width="3.85546875" style="61" customWidth="1"/>
    <col min="10501" max="10501" width="18.7109375" style="61" customWidth="1"/>
    <col min="10502" max="10510" width="14" style="61" customWidth="1"/>
    <col min="10511" max="10511" width="13" style="61" bestFit="1" customWidth="1"/>
    <col min="10512" max="10512" width="14.5703125" style="61" bestFit="1" customWidth="1"/>
    <col min="10513" max="10513" width="12.140625" style="61" bestFit="1" customWidth="1"/>
    <col min="10514" max="10524" width="14" style="61" customWidth="1"/>
    <col min="10525" max="10528" width="13.28515625" style="61" customWidth="1"/>
    <col min="10529" max="10753" width="9.140625" style="61"/>
    <col min="10754" max="10754" width="31" style="61" customWidth="1"/>
    <col min="10755" max="10755" width="18.5703125" style="61" customWidth="1"/>
    <col min="10756" max="10756" width="3.85546875" style="61" customWidth="1"/>
    <col min="10757" max="10757" width="18.7109375" style="61" customWidth="1"/>
    <col min="10758" max="10766" width="14" style="61" customWidth="1"/>
    <col min="10767" max="10767" width="13" style="61" bestFit="1" customWidth="1"/>
    <col min="10768" max="10768" width="14.5703125" style="61" bestFit="1" customWidth="1"/>
    <col min="10769" max="10769" width="12.140625" style="61" bestFit="1" customWidth="1"/>
    <col min="10770" max="10780" width="14" style="61" customWidth="1"/>
    <col min="10781" max="10784" width="13.28515625" style="61" customWidth="1"/>
    <col min="10785" max="11009" width="9.140625" style="61"/>
    <col min="11010" max="11010" width="31" style="61" customWidth="1"/>
    <col min="11011" max="11011" width="18.5703125" style="61" customWidth="1"/>
    <col min="11012" max="11012" width="3.85546875" style="61" customWidth="1"/>
    <col min="11013" max="11013" width="18.7109375" style="61" customWidth="1"/>
    <col min="11014" max="11022" width="14" style="61" customWidth="1"/>
    <col min="11023" max="11023" width="13" style="61" bestFit="1" customWidth="1"/>
    <col min="11024" max="11024" width="14.5703125" style="61" bestFit="1" customWidth="1"/>
    <col min="11025" max="11025" width="12.140625" style="61" bestFit="1" customWidth="1"/>
    <col min="11026" max="11036" width="14" style="61" customWidth="1"/>
    <col min="11037" max="11040" width="13.28515625" style="61" customWidth="1"/>
    <col min="11041" max="11265" width="9.140625" style="61"/>
    <col min="11266" max="11266" width="31" style="61" customWidth="1"/>
    <col min="11267" max="11267" width="18.5703125" style="61" customWidth="1"/>
    <col min="11268" max="11268" width="3.85546875" style="61" customWidth="1"/>
    <col min="11269" max="11269" width="18.7109375" style="61" customWidth="1"/>
    <col min="11270" max="11278" width="14" style="61" customWidth="1"/>
    <col min="11279" max="11279" width="13" style="61" bestFit="1" customWidth="1"/>
    <col min="11280" max="11280" width="14.5703125" style="61" bestFit="1" customWidth="1"/>
    <col min="11281" max="11281" width="12.140625" style="61" bestFit="1" customWidth="1"/>
    <col min="11282" max="11292" width="14" style="61" customWidth="1"/>
    <col min="11293" max="11296" width="13.28515625" style="61" customWidth="1"/>
    <col min="11297" max="11521" width="9.140625" style="61"/>
    <col min="11522" max="11522" width="31" style="61" customWidth="1"/>
    <col min="11523" max="11523" width="18.5703125" style="61" customWidth="1"/>
    <col min="11524" max="11524" width="3.85546875" style="61" customWidth="1"/>
    <col min="11525" max="11525" width="18.7109375" style="61" customWidth="1"/>
    <col min="11526" max="11534" width="14" style="61" customWidth="1"/>
    <col min="11535" max="11535" width="13" style="61" bestFit="1" customWidth="1"/>
    <col min="11536" max="11536" width="14.5703125" style="61" bestFit="1" customWidth="1"/>
    <col min="11537" max="11537" width="12.140625" style="61" bestFit="1" customWidth="1"/>
    <col min="11538" max="11548" width="14" style="61" customWidth="1"/>
    <col min="11549" max="11552" width="13.28515625" style="61" customWidth="1"/>
    <col min="11553" max="11777" width="9.140625" style="61"/>
    <col min="11778" max="11778" width="31" style="61" customWidth="1"/>
    <col min="11779" max="11779" width="18.5703125" style="61" customWidth="1"/>
    <col min="11780" max="11780" width="3.85546875" style="61" customWidth="1"/>
    <col min="11781" max="11781" width="18.7109375" style="61" customWidth="1"/>
    <col min="11782" max="11790" width="14" style="61" customWidth="1"/>
    <col min="11791" max="11791" width="13" style="61" bestFit="1" customWidth="1"/>
    <col min="11792" max="11792" width="14.5703125" style="61" bestFit="1" customWidth="1"/>
    <col min="11793" max="11793" width="12.140625" style="61" bestFit="1" customWidth="1"/>
    <col min="11794" max="11804" width="14" style="61" customWidth="1"/>
    <col min="11805" max="11808" width="13.28515625" style="61" customWidth="1"/>
    <col min="11809" max="12033" width="9.140625" style="61"/>
    <col min="12034" max="12034" width="31" style="61" customWidth="1"/>
    <col min="12035" max="12035" width="18.5703125" style="61" customWidth="1"/>
    <col min="12036" max="12036" width="3.85546875" style="61" customWidth="1"/>
    <col min="12037" max="12037" width="18.7109375" style="61" customWidth="1"/>
    <col min="12038" max="12046" width="14" style="61" customWidth="1"/>
    <col min="12047" max="12047" width="13" style="61" bestFit="1" customWidth="1"/>
    <col min="12048" max="12048" width="14.5703125" style="61" bestFit="1" customWidth="1"/>
    <col min="12049" max="12049" width="12.140625" style="61" bestFit="1" customWidth="1"/>
    <col min="12050" max="12060" width="14" style="61" customWidth="1"/>
    <col min="12061" max="12064" width="13.28515625" style="61" customWidth="1"/>
    <col min="12065" max="12289" width="9.140625" style="61"/>
    <col min="12290" max="12290" width="31" style="61" customWidth="1"/>
    <col min="12291" max="12291" width="18.5703125" style="61" customWidth="1"/>
    <col min="12292" max="12292" width="3.85546875" style="61" customWidth="1"/>
    <col min="12293" max="12293" width="18.7109375" style="61" customWidth="1"/>
    <col min="12294" max="12302" width="14" style="61" customWidth="1"/>
    <col min="12303" max="12303" width="13" style="61" bestFit="1" customWidth="1"/>
    <col min="12304" max="12304" width="14.5703125" style="61" bestFit="1" customWidth="1"/>
    <col min="12305" max="12305" width="12.140625" style="61" bestFit="1" customWidth="1"/>
    <col min="12306" max="12316" width="14" style="61" customWidth="1"/>
    <col min="12317" max="12320" width="13.28515625" style="61" customWidth="1"/>
    <col min="12321" max="12545" width="9.140625" style="61"/>
    <col min="12546" max="12546" width="31" style="61" customWidth="1"/>
    <col min="12547" max="12547" width="18.5703125" style="61" customWidth="1"/>
    <col min="12548" max="12548" width="3.85546875" style="61" customWidth="1"/>
    <col min="12549" max="12549" width="18.7109375" style="61" customWidth="1"/>
    <col min="12550" max="12558" width="14" style="61" customWidth="1"/>
    <col min="12559" max="12559" width="13" style="61" bestFit="1" customWidth="1"/>
    <col min="12560" max="12560" width="14.5703125" style="61" bestFit="1" customWidth="1"/>
    <col min="12561" max="12561" width="12.140625" style="61" bestFit="1" customWidth="1"/>
    <col min="12562" max="12572" width="14" style="61" customWidth="1"/>
    <col min="12573" max="12576" width="13.28515625" style="61" customWidth="1"/>
    <col min="12577" max="12801" width="9.140625" style="61"/>
    <col min="12802" max="12802" width="31" style="61" customWidth="1"/>
    <col min="12803" max="12803" width="18.5703125" style="61" customWidth="1"/>
    <col min="12804" max="12804" width="3.85546875" style="61" customWidth="1"/>
    <col min="12805" max="12805" width="18.7109375" style="61" customWidth="1"/>
    <col min="12806" max="12814" width="14" style="61" customWidth="1"/>
    <col min="12815" max="12815" width="13" style="61" bestFit="1" customWidth="1"/>
    <col min="12816" max="12816" width="14.5703125" style="61" bestFit="1" customWidth="1"/>
    <col min="12817" max="12817" width="12.140625" style="61" bestFit="1" customWidth="1"/>
    <col min="12818" max="12828" width="14" style="61" customWidth="1"/>
    <col min="12829" max="12832" width="13.28515625" style="61" customWidth="1"/>
    <col min="12833" max="13057" width="9.140625" style="61"/>
    <col min="13058" max="13058" width="31" style="61" customWidth="1"/>
    <col min="13059" max="13059" width="18.5703125" style="61" customWidth="1"/>
    <col min="13060" max="13060" width="3.85546875" style="61" customWidth="1"/>
    <col min="13061" max="13061" width="18.7109375" style="61" customWidth="1"/>
    <col min="13062" max="13070" width="14" style="61" customWidth="1"/>
    <col min="13071" max="13071" width="13" style="61" bestFit="1" customWidth="1"/>
    <col min="13072" max="13072" width="14.5703125" style="61" bestFit="1" customWidth="1"/>
    <col min="13073" max="13073" width="12.140625" style="61" bestFit="1" customWidth="1"/>
    <col min="13074" max="13084" width="14" style="61" customWidth="1"/>
    <col min="13085" max="13088" width="13.28515625" style="61" customWidth="1"/>
    <col min="13089" max="13313" width="9.140625" style="61"/>
    <col min="13314" max="13314" width="31" style="61" customWidth="1"/>
    <col min="13315" max="13315" width="18.5703125" style="61" customWidth="1"/>
    <col min="13316" max="13316" width="3.85546875" style="61" customWidth="1"/>
    <col min="13317" max="13317" width="18.7109375" style="61" customWidth="1"/>
    <col min="13318" max="13326" width="14" style="61" customWidth="1"/>
    <col min="13327" max="13327" width="13" style="61" bestFit="1" customWidth="1"/>
    <col min="13328" max="13328" width="14.5703125" style="61" bestFit="1" customWidth="1"/>
    <col min="13329" max="13329" width="12.140625" style="61" bestFit="1" customWidth="1"/>
    <col min="13330" max="13340" width="14" style="61" customWidth="1"/>
    <col min="13341" max="13344" width="13.28515625" style="61" customWidth="1"/>
    <col min="13345" max="13569" width="9.140625" style="61"/>
    <col min="13570" max="13570" width="31" style="61" customWidth="1"/>
    <col min="13571" max="13571" width="18.5703125" style="61" customWidth="1"/>
    <col min="13572" max="13572" width="3.85546875" style="61" customWidth="1"/>
    <col min="13573" max="13573" width="18.7109375" style="61" customWidth="1"/>
    <col min="13574" max="13582" width="14" style="61" customWidth="1"/>
    <col min="13583" max="13583" width="13" style="61" bestFit="1" customWidth="1"/>
    <col min="13584" max="13584" width="14.5703125" style="61" bestFit="1" customWidth="1"/>
    <col min="13585" max="13585" width="12.140625" style="61" bestFit="1" customWidth="1"/>
    <col min="13586" max="13596" width="14" style="61" customWidth="1"/>
    <col min="13597" max="13600" width="13.28515625" style="61" customWidth="1"/>
    <col min="13601" max="13825" width="9.140625" style="61"/>
    <col min="13826" max="13826" width="31" style="61" customWidth="1"/>
    <col min="13827" max="13827" width="18.5703125" style="61" customWidth="1"/>
    <col min="13828" max="13828" width="3.85546875" style="61" customWidth="1"/>
    <col min="13829" max="13829" width="18.7109375" style="61" customWidth="1"/>
    <col min="13830" max="13838" width="14" style="61" customWidth="1"/>
    <col min="13839" max="13839" width="13" style="61" bestFit="1" customWidth="1"/>
    <col min="13840" max="13840" width="14.5703125" style="61" bestFit="1" customWidth="1"/>
    <col min="13841" max="13841" width="12.140625" style="61" bestFit="1" customWidth="1"/>
    <col min="13842" max="13852" width="14" style="61" customWidth="1"/>
    <col min="13853" max="13856" width="13.28515625" style="61" customWidth="1"/>
    <col min="13857" max="14081" width="9.140625" style="61"/>
    <col min="14082" max="14082" width="31" style="61" customWidth="1"/>
    <col min="14083" max="14083" width="18.5703125" style="61" customWidth="1"/>
    <col min="14084" max="14084" width="3.85546875" style="61" customWidth="1"/>
    <col min="14085" max="14085" width="18.7109375" style="61" customWidth="1"/>
    <col min="14086" max="14094" width="14" style="61" customWidth="1"/>
    <col min="14095" max="14095" width="13" style="61" bestFit="1" customWidth="1"/>
    <col min="14096" max="14096" width="14.5703125" style="61" bestFit="1" customWidth="1"/>
    <col min="14097" max="14097" width="12.140625" style="61" bestFit="1" customWidth="1"/>
    <col min="14098" max="14108" width="14" style="61" customWidth="1"/>
    <col min="14109" max="14112" width="13.28515625" style="61" customWidth="1"/>
    <col min="14113" max="14337" width="9.140625" style="61"/>
    <col min="14338" max="14338" width="31" style="61" customWidth="1"/>
    <col min="14339" max="14339" width="18.5703125" style="61" customWidth="1"/>
    <col min="14340" max="14340" width="3.85546875" style="61" customWidth="1"/>
    <col min="14341" max="14341" width="18.7109375" style="61" customWidth="1"/>
    <col min="14342" max="14350" width="14" style="61" customWidth="1"/>
    <col min="14351" max="14351" width="13" style="61" bestFit="1" customWidth="1"/>
    <col min="14352" max="14352" width="14.5703125" style="61" bestFit="1" customWidth="1"/>
    <col min="14353" max="14353" width="12.140625" style="61" bestFit="1" customWidth="1"/>
    <col min="14354" max="14364" width="14" style="61" customWidth="1"/>
    <col min="14365" max="14368" width="13.28515625" style="61" customWidth="1"/>
    <col min="14369" max="14593" width="9.140625" style="61"/>
    <col min="14594" max="14594" width="31" style="61" customWidth="1"/>
    <col min="14595" max="14595" width="18.5703125" style="61" customWidth="1"/>
    <col min="14596" max="14596" width="3.85546875" style="61" customWidth="1"/>
    <col min="14597" max="14597" width="18.7109375" style="61" customWidth="1"/>
    <col min="14598" max="14606" width="14" style="61" customWidth="1"/>
    <col min="14607" max="14607" width="13" style="61" bestFit="1" customWidth="1"/>
    <col min="14608" max="14608" width="14.5703125" style="61" bestFit="1" customWidth="1"/>
    <col min="14609" max="14609" width="12.140625" style="61" bestFit="1" customWidth="1"/>
    <col min="14610" max="14620" width="14" style="61" customWidth="1"/>
    <col min="14621" max="14624" width="13.28515625" style="61" customWidth="1"/>
    <col min="14625" max="14849" width="9.140625" style="61"/>
    <col min="14850" max="14850" width="31" style="61" customWidth="1"/>
    <col min="14851" max="14851" width="18.5703125" style="61" customWidth="1"/>
    <col min="14852" max="14852" width="3.85546875" style="61" customWidth="1"/>
    <col min="14853" max="14853" width="18.7109375" style="61" customWidth="1"/>
    <col min="14854" max="14862" width="14" style="61" customWidth="1"/>
    <col min="14863" max="14863" width="13" style="61" bestFit="1" customWidth="1"/>
    <col min="14864" max="14864" width="14.5703125" style="61" bestFit="1" customWidth="1"/>
    <col min="14865" max="14865" width="12.140625" style="61" bestFit="1" customWidth="1"/>
    <col min="14866" max="14876" width="14" style="61" customWidth="1"/>
    <col min="14877" max="14880" width="13.28515625" style="61" customWidth="1"/>
    <col min="14881" max="15105" width="9.140625" style="61"/>
    <col min="15106" max="15106" width="31" style="61" customWidth="1"/>
    <col min="15107" max="15107" width="18.5703125" style="61" customWidth="1"/>
    <col min="15108" max="15108" width="3.85546875" style="61" customWidth="1"/>
    <col min="15109" max="15109" width="18.7109375" style="61" customWidth="1"/>
    <col min="15110" max="15118" width="14" style="61" customWidth="1"/>
    <col min="15119" max="15119" width="13" style="61" bestFit="1" customWidth="1"/>
    <col min="15120" max="15120" width="14.5703125" style="61" bestFit="1" customWidth="1"/>
    <col min="15121" max="15121" width="12.140625" style="61" bestFit="1" customWidth="1"/>
    <col min="15122" max="15132" width="14" style="61" customWidth="1"/>
    <col min="15133" max="15136" width="13.28515625" style="61" customWidth="1"/>
    <col min="15137" max="15361" width="9.140625" style="61"/>
    <col min="15362" max="15362" width="31" style="61" customWidth="1"/>
    <col min="15363" max="15363" width="18.5703125" style="61" customWidth="1"/>
    <col min="15364" max="15364" width="3.85546875" style="61" customWidth="1"/>
    <col min="15365" max="15365" width="18.7109375" style="61" customWidth="1"/>
    <col min="15366" max="15374" width="14" style="61" customWidth="1"/>
    <col min="15375" max="15375" width="13" style="61" bestFit="1" customWidth="1"/>
    <col min="15376" max="15376" width="14.5703125" style="61" bestFit="1" customWidth="1"/>
    <col min="15377" max="15377" width="12.140625" style="61" bestFit="1" customWidth="1"/>
    <col min="15378" max="15388" width="14" style="61" customWidth="1"/>
    <col min="15389" max="15392" width="13.28515625" style="61" customWidth="1"/>
    <col min="15393" max="15617" width="9.140625" style="61"/>
    <col min="15618" max="15618" width="31" style="61" customWidth="1"/>
    <col min="15619" max="15619" width="18.5703125" style="61" customWidth="1"/>
    <col min="15620" max="15620" width="3.85546875" style="61" customWidth="1"/>
    <col min="15621" max="15621" width="18.7109375" style="61" customWidth="1"/>
    <col min="15622" max="15630" width="14" style="61" customWidth="1"/>
    <col min="15631" max="15631" width="13" style="61" bestFit="1" customWidth="1"/>
    <col min="15632" max="15632" width="14.5703125" style="61" bestFit="1" customWidth="1"/>
    <col min="15633" max="15633" width="12.140625" style="61" bestFit="1" customWidth="1"/>
    <col min="15634" max="15644" width="14" style="61" customWidth="1"/>
    <col min="15645" max="15648" width="13.28515625" style="61" customWidth="1"/>
    <col min="15649" max="15873" width="9.140625" style="61"/>
    <col min="15874" max="15874" width="31" style="61" customWidth="1"/>
    <col min="15875" max="15875" width="18.5703125" style="61" customWidth="1"/>
    <col min="15876" max="15876" width="3.85546875" style="61" customWidth="1"/>
    <col min="15877" max="15877" width="18.7109375" style="61" customWidth="1"/>
    <col min="15878" max="15886" width="14" style="61" customWidth="1"/>
    <col min="15887" max="15887" width="13" style="61" bestFit="1" customWidth="1"/>
    <col min="15888" max="15888" width="14.5703125" style="61" bestFit="1" customWidth="1"/>
    <col min="15889" max="15889" width="12.140625" style="61" bestFit="1" customWidth="1"/>
    <col min="15890" max="15900" width="14" style="61" customWidth="1"/>
    <col min="15901" max="15904" width="13.28515625" style="61" customWidth="1"/>
    <col min="15905" max="16129" width="9.140625" style="61"/>
    <col min="16130" max="16130" width="31" style="61" customWidth="1"/>
    <col min="16131" max="16131" width="18.5703125" style="61" customWidth="1"/>
    <col min="16132" max="16132" width="3.85546875" style="61" customWidth="1"/>
    <col min="16133" max="16133" width="18.7109375" style="61" customWidth="1"/>
    <col min="16134" max="16142" width="14" style="61" customWidth="1"/>
    <col min="16143" max="16143" width="13" style="61" bestFit="1" customWidth="1"/>
    <col min="16144" max="16144" width="14.5703125" style="61" bestFit="1" customWidth="1"/>
    <col min="16145" max="16145" width="12.140625" style="61" bestFit="1" customWidth="1"/>
    <col min="16146" max="16156" width="14" style="61" customWidth="1"/>
    <col min="16157" max="16160" width="13.28515625" style="61" customWidth="1"/>
    <col min="16161" max="16384" width="9.140625" style="61"/>
  </cols>
  <sheetData>
    <row r="1" spans="1:33" x14ac:dyDescent="0.2">
      <c r="D1" s="61"/>
      <c r="E1" s="61"/>
      <c r="F1" s="61"/>
    </row>
    <row r="2" spans="1:33" x14ac:dyDescent="0.2">
      <c r="D2" s="61"/>
      <c r="E2" s="61"/>
      <c r="F2" s="61"/>
      <c r="W2"/>
      <c r="X2"/>
      <c r="Y2"/>
      <c r="Z2"/>
      <c r="AA2"/>
    </row>
    <row r="3" spans="1:33" s="63" customFormat="1" ht="15.75" customHeight="1" x14ac:dyDescent="0.2">
      <c r="A3" s="166" t="s">
        <v>102</v>
      </c>
      <c r="B3" s="167"/>
      <c r="C3" s="167"/>
      <c r="D3" s="167"/>
      <c r="E3" s="167"/>
      <c r="F3" s="167"/>
      <c r="G3" s="167"/>
      <c r="H3" s="167"/>
      <c r="I3" s="167"/>
      <c r="J3"/>
      <c r="K3"/>
      <c r="L3"/>
      <c r="M3"/>
      <c r="N3"/>
      <c r="O3"/>
      <c r="P3"/>
      <c r="Q3"/>
      <c r="R3"/>
      <c r="AE3"/>
      <c r="AF3"/>
      <c r="AG3"/>
    </row>
    <row r="4" spans="1:33" ht="44.25" customHeight="1" x14ac:dyDescent="0.2">
      <c r="A4" s="115" t="s">
        <v>69</v>
      </c>
      <c r="B4" s="115" t="s">
        <v>62</v>
      </c>
      <c r="C4" s="115" t="s">
        <v>70</v>
      </c>
      <c r="D4" s="115" t="s">
        <v>108</v>
      </c>
      <c r="E4" s="115" t="s">
        <v>109</v>
      </c>
      <c r="F4" s="115" t="s">
        <v>110</v>
      </c>
      <c r="G4" s="115" t="s">
        <v>111</v>
      </c>
      <c r="H4" s="115" t="s">
        <v>112</v>
      </c>
      <c r="I4" s="115" t="s">
        <v>71</v>
      </c>
      <c r="J4"/>
      <c r="K4"/>
      <c r="L4"/>
      <c r="M4"/>
      <c r="N4"/>
      <c r="O4"/>
      <c r="P4"/>
      <c r="Q4"/>
      <c r="R4"/>
      <c r="S4"/>
      <c r="T4"/>
      <c r="AE4"/>
      <c r="AF4"/>
      <c r="AG4"/>
    </row>
    <row r="5" spans="1:33" x14ac:dyDescent="0.2">
      <c r="A5" s="118">
        <v>2013</v>
      </c>
      <c r="B5" s="116">
        <f>AVERAGE($G$24:$G$35)</f>
        <v>6072.166666666667</v>
      </c>
      <c r="C5" s="116">
        <f>AVERAGE($I$24:$I$35)</f>
        <v>629</v>
      </c>
      <c r="D5" s="116">
        <f>AVERAGE($L$24:$L$35)</f>
        <v>78.666666666666671</v>
      </c>
      <c r="E5" s="116">
        <f>AVERAGE($O$24:$O$35)</f>
        <v>9.3333333333333339</v>
      </c>
      <c r="F5" s="116">
        <f>AVERAGE($R$24:$R$35)</f>
        <v>2.6666666666666665</v>
      </c>
      <c r="G5" s="117">
        <f>AVERAGE($U$24:$U$35)</f>
        <v>60.416666666666664</v>
      </c>
      <c r="H5" s="116">
        <f>AVERAGE($X$24:$X$35)</f>
        <v>125.08333333333333</v>
      </c>
      <c r="I5" s="116">
        <f>AVERAGE($AA$24:$AA$35)</f>
        <v>1</v>
      </c>
      <c r="J5"/>
      <c r="K5"/>
      <c r="L5"/>
      <c r="M5"/>
      <c r="N5"/>
      <c r="O5"/>
      <c r="P5"/>
      <c r="Q5"/>
      <c r="R5"/>
      <c r="S5"/>
      <c r="T5"/>
      <c r="AE5"/>
      <c r="AF5"/>
      <c r="AG5"/>
    </row>
    <row r="6" spans="1:33" x14ac:dyDescent="0.2">
      <c r="A6" s="118">
        <v>2014</v>
      </c>
      <c r="B6" s="116">
        <f>AVERAGE($G$36:$G$47)</f>
        <v>6145.083333333333</v>
      </c>
      <c r="C6" s="116">
        <f>AVERAGE($I$36:$I$47)</f>
        <v>630.16666666666663</v>
      </c>
      <c r="D6" s="116">
        <f>AVERAGE($L$36:$L$47)</f>
        <v>79.25</v>
      </c>
      <c r="E6" s="116">
        <f>AVERAGE($O$36:$O$47)</f>
        <v>10.333333333333334</v>
      </c>
      <c r="F6" s="116">
        <f>AVERAGE($R$36:$R$47)</f>
        <v>2</v>
      </c>
      <c r="G6" s="116">
        <f>AVERAGE($U$36:$U$47)</f>
        <v>59</v>
      </c>
      <c r="H6" s="116">
        <f>AVERAGE($X$36:$X$47)</f>
        <v>124.16666666666667</v>
      </c>
      <c r="I6" s="116">
        <f>AVERAGE($AA$36:$AA$47)</f>
        <v>1</v>
      </c>
      <c r="J6"/>
      <c r="K6"/>
      <c r="L6"/>
      <c r="M6"/>
      <c r="N6"/>
      <c r="O6"/>
      <c r="P6"/>
      <c r="Q6"/>
      <c r="R6"/>
      <c r="S6"/>
      <c r="T6"/>
      <c r="AE6"/>
      <c r="AF6"/>
      <c r="AG6"/>
    </row>
    <row r="7" spans="1:33" x14ac:dyDescent="0.2">
      <c r="A7" s="118">
        <v>2015</v>
      </c>
      <c r="B7" s="116">
        <f>AVERAGE($G$48:$G$59)</f>
        <v>6204.5</v>
      </c>
      <c r="C7" s="116">
        <f>AVERAGE($I$48:$I$59)</f>
        <v>633.75</v>
      </c>
      <c r="D7" s="116">
        <f>AVERAGE($L$48:$L$59)</f>
        <v>79.416666666666671</v>
      </c>
      <c r="E7" s="116">
        <f>AVERAGE($O$48:$O$59)</f>
        <v>10</v>
      </c>
      <c r="F7" s="116">
        <f>AVERAGE($R$48:$R$59)</f>
        <v>2</v>
      </c>
      <c r="G7" s="116">
        <f>AVERAGE($U$48:$U$59)</f>
        <v>59.75</v>
      </c>
      <c r="H7" s="116">
        <f>AVERAGE($X$48:$X$59)</f>
        <v>124.08333333333333</v>
      </c>
      <c r="I7" s="116">
        <f>AVERAGE($AA$48:$AA$59)</f>
        <v>1</v>
      </c>
      <c r="J7"/>
      <c r="K7"/>
      <c r="L7"/>
      <c r="M7"/>
      <c r="N7"/>
      <c r="O7"/>
      <c r="P7"/>
      <c r="Q7"/>
      <c r="R7"/>
      <c r="S7"/>
      <c r="T7"/>
      <c r="AE7"/>
      <c r="AF7"/>
      <c r="AG7"/>
    </row>
    <row r="8" spans="1:33" x14ac:dyDescent="0.2">
      <c r="A8" s="118">
        <v>2016</v>
      </c>
      <c r="B8" s="116">
        <f>AVERAGE($G$60:$G$71)</f>
        <v>6293.916666666667</v>
      </c>
      <c r="C8" s="116">
        <f>AVERAGE($I$60:$I$71)</f>
        <v>637.25</v>
      </c>
      <c r="D8" s="116">
        <f>AVERAGE($L$60:$L$71)</f>
        <v>79.916666666666671</v>
      </c>
      <c r="E8" s="116">
        <f>AVERAGE($O$60:$O$71)</f>
        <v>10</v>
      </c>
      <c r="F8" s="116">
        <f>AVERAGE($R$60:$R$71)</f>
        <v>2</v>
      </c>
      <c r="G8" s="116">
        <f>AVERAGE($U$60:$U$71)</f>
        <v>59.583333333333336</v>
      </c>
      <c r="H8" s="116">
        <f>AVERAGE($X$60:$X$71)</f>
        <v>118.5</v>
      </c>
      <c r="I8" s="116">
        <f>AVERAGE($AA$60:$AA$71)</f>
        <v>1</v>
      </c>
      <c r="J8"/>
      <c r="K8"/>
      <c r="L8"/>
      <c r="M8"/>
      <c r="N8"/>
      <c r="O8"/>
      <c r="P8"/>
      <c r="Q8"/>
      <c r="R8"/>
      <c r="S8"/>
      <c r="T8"/>
      <c r="AE8"/>
      <c r="AF8"/>
      <c r="AG8"/>
    </row>
    <row r="9" spans="1:33" x14ac:dyDescent="0.2">
      <c r="A9" s="118">
        <v>2017</v>
      </c>
      <c r="B9" s="116">
        <f>AVERAGE($G$72:$G$83)</f>
        <v>6408.583333333333</v>
      </c>
      <c r="C9" s="116">
        <f>AVERAGE($I$72:$I$83)</f>
        <v>642.08333333333337</v>
      </c>
      <c r="D9" s="116">
        <f>AVERAGE($L$72:$L$83)</f>
        <v>80.083333333333329</v>
      </c>
      <c r="E9" s="116">
        <f>AVERAGE($O$72:$O$83)</f>
        <v>10.416666666666666</v>
      </c>
      <c r="F9" s="116">
        <f>AVERAGE($R$72:$R$83)</f>
        <v>2</v>
      </c>
      <c r="G9" s="116">
        <f>AVERAGE($U$72:$U$83)</f>
        <v>58.5</v>
      </c>
      <c r="H9" s="116">
        <f>AVERAGE($X$72:$X$83)</f>
        <v>113</v>
      </c>
      <c r="I9" s="116">
        <f>AVERAGE($AA$72:$AA$83)</f>
        <v>1</v>
      </c>
      <c r="J9"/>
      <c r="K9"/>
      <c r="L9"/>
      <c r="M9"/>
      <c r="N9"/>
      <c r="O9"/>
      <c r="P9"/>
      <c r="Q9"/>
      <c r="R9"/>
      <c r="S9"/>
      <c r="T9"/>
      <c r="AE9"/>
      <c r="AF9"/>
      <c r="AG9"/>
    </row>
    <row r="10" spans="1:33" x14ac:dyDescent="0.2">
      <c r="A10" s="118">
        <v>2018</v>
      </c>
      <c r="B10" s="116">
        <f>AVERAGE($G$84:$G$95)</f>
        <v>6516.333333333333</v>
      </c>
      <c r="C10" s="116">
        <f>AVERAGE($I$84:$I$95)</f>
        <v>648</v>
      </c>
      <c r="D10" s="116">
        <f>AVERAGE($L$84:$L$95)</f>
        <v>79.75</v>
      </c>
      <c r="E10" s="116">
        <f>AVERAGE($O$84:$O$95)</f>
        <v>12.333333333333334</v>
      </c>
      <c r="F10" s="116">
        <f>AVERAGE($R$84:$R$95)</f>
        <v>2</v>
      </c>
      <c r="G10" s="116">
        <f>AVERAGE($U$84:$U$95)</f>
        <v>59.25</v>
      </c>
      <c r="H10" s="116">
        <f>AVERAGE($X$84:$X$95)</f>
        <v>112</v>
      </c>
      <c r="I10" s="116">
        <f>AVERAGE($AA$84:$AA$95)</f>
        <v>1</v>
      </c>
      <c r="J10"/>
      <c r="K10"/>
      <c r="L10"/>
      <c r="M10"/>
      <c r="N10"/>
      <c r="O10"/>
      <c r="P10"/>
      <c r="Q10"/>
      <c r="R10"/>
      <c r="S10"/>
      <c r="T10"/>
      <c r="AE10"/>
      <c r="AF10"/>
      <c r="AG10"/>
    </row>
    <row r="11" spans="1:33" x14ac:dyDescent="0.2">
      <c r="A11" s="118">
        <v>2019</v>
      </c>
      <c r="B11" s="116">
        <f>AVERAGE($G$96:$G$107)</f>
        <v>6652</v>
      </c>
      <c r="C11" s="116">
        <f>AVERAGE($I$96:$I$107)</f>
        <v>654.83333333333337</v>
      </c>
      <c r="D11" s="116">
        <f>AVERAGE($L$96:$L$107)</f>
        <v>78.083333333333329</v>
      </c>
      <c r="E11" s="116">
        <f>AVERAGE($O$96:$O$107)</f>
        <v>11.583333333333334</v>
      </c>
      <c r="F11" s="116">
        <f>AVERAGE($R$96:$R$107)</f>
        <v>2</v>
      </c>
      <c r="G11" s="116">
        <f>AVERAGE($U$96:$U$107)</f>
        <v>56.666666666666664</v>
      </c>
      <c r="H11" s="116">
        <f>AVERAGE($X$96:$X$107)</f>
        <v>112</v>
      </c>
      <c r="I11" s="116">
        <f>AVERAGE($AA$96:$AA$107)</f>
        <v>1</v>
      </c>
      <c r="J11"/>
      <c r="K11"/>
      <c r="L11"/>
      <c r="M11"/>
      <c r="N11"/>
      <c r="O11"/>
      <c r="P11"/>
      <c r="Q11"/>
      <c r="R11"/>
      <c r="S11"/>
      <c r="T11"/>
      <c r="AE11"/>
      <c r="AF11"/>
      <c r="AG11"/>
    </row>
    <row r="12" spans="1:33" x14ac:dyDescent="0.2">
      <c r="A12" s="118">
        <v>2020</v>
      </c>
      <c r="B12" s="116">
        <f>AVERAGE($G$108:$G$119)</f>
        <v>6823.416666666667</v>
      </c>
      <c r="C12" s="116">
        <f>AVERAGE($I$108:$I$119)</f>
        <v>664.91666666666663</v>
      </c>
      <c r="D12" s="116">
        <f>AVERAGE($L$108:$L$119)</f>
        <v>81</v>
      </c>
      <c r="E12" s="116">
        <f>AVERAGE($O$108:$O$119)</f>
        <v>8</v>
      </c>
      <c r="F12" s="116">
        <f>AVERAGE($R$108:$R$119)</f>
        <v>2</v>
      </c>
      <c r="G12" s="116">
        <f>AVERAGE($U$108:$U$119)</f>
        <v>56.833333333333336</v>
      </c>
      <c r="H12" s="116">
        <f>AVERAGE($X$108:$X$119)</f>
        <v>112.08333333333333</v>
      </c>
      <c r="I12" s="116">
        <f>AVERAGE($AA$108:$AA$119)</f>
        <v>1</v>
      </c>
      <c r="J12"/>
      <c r="K12"/>
      <c r="L12"/>
      <c r="M12"/>
      <c r="N12"/>
      <c r="O12"/>
      <c r="P12"/>
      <c r="Q12"/>
      <c r="R12"/>
      <c r="S12"/>
      <c r="T12"/>
      <c r="AE12"/>
      <c r="AF12"/>
      <c r="AG12"/>
    </row>
    <row r="13" spans="1:33" x14ac:dyDescent="0.2">
      <c r="A13" s="118">
        <v>2021</v>
      </c>
      <c r="B13" s="116">
        <f>AVERAGE($G$120:$G$131)</f>
        <v>7107.416666666667</v>
      </c>
      <c r="C13" s="116">
        <f>AVERAGE($I$120:$I$131)</f>
        <v>672.33333333333337</v>
      </c>
      <c r="D13" s="116">
        <f>AVERAGE($L$120:$L$131)</f>
        <v>77.333333333333329</v>
      </c>
      <c r="E13" s="116">
        <f>AVERAGE($O$120:$O$131)</f>
        <v>8.5</v>
      </c>
      <c r="F13" s="116">
        <f>AVERAGE($R$120:$R$131)</f>
        <v>2</v>
      </c>
      <c r="G13" s="116">
        <f>AVERAGE($U$120:$U$131)</f>
        <v>56.833333333333336</v>
      </c>
      <c r="H13" s="116">
        <f>AVERAGE($X$120:$X$131)</f>
        <v>112</v>
      </c>
      <c r="I13" s="116">
        <f>AVERAGE($AA$120:$AA$131)</f>
        <v>1</v>
      </c>
      <c r="J13"/>
      <c r="K13"/>
      <c r="L13"/>
      <c r="M13"/>
      <c r="N13"/>
      <c r="O13"/>
      <c r="P13"/>
      <c r="Q13"/>
      <c r="R13"/>
      <c r="S13"/>
      <c r="T13"/>
      <c r="AE13"/>
      <c r="AF13"/>
      <c r="AG13"/>
    </row>
    <row r="14" spans="1:33" x14ac:dyDescent="0.2">
      <c r="A14" s="118">
        <v>2022</v>
      </c>
      <c r="B14" s="116">
        <f>AVERAGE($G$132:$G$143)</f>
        <v>7417.333333333333</v>
      </c>
      <c r="C14" s="116">
        <f>AVERAGE($I$132:$I$143)</f>
        <v>682.25</v>
      </c>
      <c r="D14" s="116">
        <f>AVERAGE($L$132:$L$143)</f>
        <v>74.166666666666671</v>
      </c>
      <c r="E14" s="116">
        <f>AVERAGE($O$132:$O$143)</f>
        <v>6</v>
      </c>
      <c r="F14" s="116">
        <f>AVERAGE($R$132:$R$143)</f>
        <v>2</v>
      </c>
      <c r="G14" s="116">
        <f>AVERAGE($U$132:$U$143)</f>
        <v>55.916666666666664</v>
      </c>
      <c r="H14" s="116">
        <f>AVERAGE($X$132:$X$143)</f>
        <v>116</v>
      </c>
      <c r="I14" s="116">
        <f>AVERAGE($AA$132:$AA$143)</f>
        <v>1</v>
      </c>
      <c r="J14"/>
      <c r="K14"/>
      <c r="L14"/>
      <c r="M14"/>
      <c r="N14"/>
      <c r="O14"/>
      <c r="P14"/>
      <c r="Q14"/>
      <c r="R14"/>
      <c r="S14"/>
      <c r="T14"/>
      <c r="AE14"/>
      <c r="AF14"/>
      <c r="AG14"/>
    </row>
    <row r="15" spans="1:33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E15"/>
      <c r="AF15"/>
      <c r="AG15"/>
    </row>
    <row r="16" spans="1:33" x14ac:dyDescent="0.2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E16"/>
      <c r="AF16"/>
      <c r="AG16"/>
    </row>
    <row r="17" spans="1:36" x14ac:dyDescent="0.2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E17"/>
      <c r="AF17"/>
      <c r="AG17"/>
    </row>
    <row r="18" spans="1:36" x14ac:dyDescent="0.2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E18"/>
      <c r="AF18"/>
      <c r="AG18"/>
    </row>
    <row r="20" spans="1:36" ht="15" customHeight="1" x14ac:dyDescent="0.2">
      <c r="A20" s="171" t="s">
        <v>72</v>
      </c>
      <c r="B20" s="171"/>
      <c r="C20" s="65"/>
      <c r="D20" s="171" t="s">
        <v>73</v>
      </c>
      <c r="E20" s="171"/>
      <c r="F20" s="168" t="s">
        <v>74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70"/>
      <c r="AB20"/>
      <c r="AC20"/>
      <c r="AD20"/>
    </row>
    <row r="21" spans="1:36" ht="22.5" x14ac:dyDescent="0.2">
      <c r="A21" s="119"/>
      <c r="B21" s="119"/>
      <c r="C21" s="67"/>
      <c r="D21" s="120" t="s">
        <v>75</v>
      </c>
      <c r="E21" s="121" t="s">
        <v>107</v>
      </c>
      <c r="F21" s="164" t="str">
        <f>B4</f>
        <v>Residential</v>
      </c>
      <c r="G21" s="165"/>
      <c r="H21" s="163" t="str">
        <f>C4</f>
        <v>General Service &lt; 50 kW</v>
      </c>
      <c r="I21" s="165"/>
      <c r="J21" s="163" t="str">
        <f>D4</f>
        <v>General Service 50 to 499 kW</v>
      </c>
      <c r="K21" s="164"/>
      <c r="L21" s="165"/>
      <c r="M21" s="163" t="str">
        <f>E4</f>
        <v>General Service 500 to 1499 kW</v>
      </c>
      <c r="N21" s="164"/>
      <c r="O21" s="165"/>
      <c r="P21" s="163" t="str">
        <f>F4</f>
        <v>General Service 1500-4999 kW</v>
      </c>
      <c r="Q21" s="164"/>
      <c r="R21" s="165"/>
      <c r="S21" s="163" t="str">
        <f>G4</f>
        <v>Unmetered Scattered Load</v>
      </c>
      <c r="T21" s="164"/>
      <c r="U21" s="165"/>
      <c r="V21" s="163" t="str">
        <f>H4</f>
        <v>Sentinel Lighting</v>
      </c>
      <c r="W21" s="164"/>
      <c r="X21" s="165"/>
      <c r="Y21" s="163" t="str">
        <f>I4</f>
        <v xml:space="preserve">Street Lighting </v>
      </c>
      <c r="Z21" s="164"/>
      <c r="AA21" s="165"/>
      <c r="AB21"/>
      <c r="AC21"/>
      <c r="AD21"/>
      <c r="AE21" s="163" t="s">
        <v>142</v>
      </c>
      <c r="AF21" s="164"/>
      <c r="AG21" s="165"/>
      <c r="AI21" s="163" t="s">
        <v>150</v>
      </c>
      <c r="AJ21" s="164"/>
    </row>
    <row r="22" spans="1:36" ht="34.5" thickBot="1" x14ac:dyDescent="0.25">
      <c r="A22" s="66"/>
      <c r="B22" s="66"/>
      <c r="C22" s="68"/>
      <c r="D22" s="122"/>
      <c r="E22" s="123"/>
      <c r="F22" s="124" t="s">
        <v>53</v>
      </c>
      <c r="G22" s="125" t="s">
        <v>76</v>
      </c>
      <c r="H22" s="122" t="s">
        <v>53</v>
      </c>
      <c r="I22" s="125" t="s">
        <v>76</v>
      </c>
      <c r="J22" s="122" t="s">
        <v>53</v>
      </c>
      <c r="K22" s="126" t="s">
        <v>54</v>
      </c>
      <c r="L22" s="125" t="s">
        <v>76</v>
      </c>
      <c r="M22" s="122" t="s">
        <v>53</v>
      </c>
      <c r="N22" s="126" t="s">
        <v>54</v>
      </c>
      <c r="O22" s="125" t="s">
        <v>76</v>
      </c>
      <c r="P22" s="122" t="s">
        <v>53</v>
      </c>
      <c r="Q22" s="126" t="s">
        <v>54</v>
      </c>
      <c r="R22" s="125" t="s">
        <v>76</v>
      </c>
      <c r="S22" s="122" t="s">
        <v>53</v>
      </c>
      <c r="T22" s="126" t="s">
        <v>54</v>
      </c>
      <c r="U22" s="125" t="s">
        <v>77</v>
      </c>
      <c r="V22" s="122" t="s">
        <v>53</v>
      </c>
      <c r="W22" s="126" t="s">
        <v>54</v>
      </c>
      <c r="X22" s="125" t="s">
        <v>76</v>
      </c>
      <c r="Y22" s="122" t="s">
        <v>53</v>
      </c>
      <c r="Z22" s="126" t="s">
        <v>54</v>
      </c>
      <c r="AA22" s="125" t="s">
        <v>76</v>
      </c>
      <c r="AB22"/>
      <c r="AC22"/>
      <c r="AD22"/>
      <c r="AE22" s="122" t="s">
        <v>53</v>
      </c>
      <c r="AF22" s="126" t="s">
        <v>54</v>
      </c>
      <c r="AG22" s="125" t="s">
        <v>76</v>
      </c>
      <c r="AI22" s="122" t="s">
        <v>53</v>
      </c>
      <c r="AJ22" s="126" t="s">
        <v>54</v>
      </c>
    </row>
    <row r="23" spans="1:36" x14ac:dyDescent="0.2">
      <c r="A23" s="69" t="s">
        <v>63</v>
      </c>
      <c r="B23" s="69" t="s">
        <v>103</v>
      </c>
      <c r="C23" s="68"/>
      <c r="D23" s="70"/>
      <c r="E23" s="71"/>
      <c r="F23" s="72"/>
      <c r="G23" s="73"/>
      <c r="H23" s="74"/>
      <c r="I23" s="73"/>
      <c r="J23" s="74"/>
      <c r="K23" s="75"/>
      <c r="L23" s="76"/>
      <c r="M23" s="74"/>
      <c r="N23" s="75"/>
      <c r="O23" s="76"/>
      <c r="P23" s="74"/>
      <c r="Q23" s="75"/>
      <c r="R23" s="76"/>
      <c r="S23" s="78"/>
      <c r="T23" s="79"/>
      <c r="U23" s="77"/>
      <c r="V23" s="78"/>
      <c r="W23" s="80"/>
      <c r="X23" s="81"/>
      <c r="Y23" s="78"/>
      <c r="Z23" s="79"/>
      <c r="AA23" s="73"/>
      <c r="AB23"/>
      <c r="AC23"/>
      <c r="AD23"/>
      <c r="AE23" s="74"/>
      <c r="AF23" s="75"/>
      <c r="AG23" s="76"/>
    </row>
    <row r="24" spans="1:36" x14ac:dyDescent="0.2">
      <c r="A24" s="82">
        <v>2013</v>
      </c>
      <c r="B24" s="83" t="s">
        <v>78</v>
      </c>
      <c r="C24" s="84"/>
      <c r="D24" s="127">
        <v>17076832.253063001</v>
      </c>
      <c r="E24" s="127">
        <v>10780.48</v>
      </c>
      <c r="F24" s="127">
        <v>4575673.3500000034</v>
      </c>
      <c r="G24" s="127">
        <v>6048</v>
      </c>
      <c r="H24" s="127">
        <v>1987643.4799999995</v>
      </c>
      <c r="I24" s="127">
        <v>628</v>
      </c>
      <c r="J24" s="127">
        <v>3701441.1100000003</v>
      </c>
      <c r="K24" s="127">
        <v>10429.050000000003</v>
      </c>
      <c r="L24" s="127">
        <v>79</v>
      </c>
      <c r="M24" s="127">
        <v>3068236.34</v>
      </c>
      <c r="N24" s="127">
        <v>7339.39</v>
      </c>
      <c r="O24" s="127">
        <v>9</v>
      </c>
      <c r="P24" s="127">
        <v>2985095.64</v>
      </c>
      <c r="Q24" s="127">
        <v>5545.1799999999994</v>
      </c>
      <c r="R24" s="127">
        <v>3</v>
      </c>
      <c r="S24" s="127">
        <v>30174</v>
      </c>
      <c r="T24" s="127"/>
      <c r="U24" s="127">
        <v>62</v>
      </c>
      <c r="V24" s="127">
        <v>9342.56</v>
      </c>
      <c r="W24" s="127">
        <v>25.319999999999997</v>
      </c>
      <c r="X24" s="127">
        <v>127</v>
      </c>
      <c r="Y24" s="127">
        <v>148460.54999999999</v>
      </c>
      <c r="Z24" s="127">
        <v>319.27</v>
      </c>
      <c r="AA24" s="127">
        <v>1</v>
      </c>
      <c r="AB24"/>
      <c r="AC24" s="130">
        <f>G24+I24+L24+O24+R24+AA24</f>
        <v>6768</v>
      </c>
      <c r="AD24"/>
      <c r="AE24" s="127"/>
      <c r="AF24" s="127"/>
      <c r="AG24" s="127"/>
      <c r="AI24" s="127">
        <v>5043670.4399999995</v>
      </c>
      <c r="AJ24" s="127">
        <v>10759.92</v>
      </c>
    </row>
    <row r="25" spans="1:36" x14ac:dyDescent="0.2">
      <c r="A25" s="82">
        <v>2013</v>
      </c>
      <c r="B25" s="83" t="s">
        <v>79</v>
      </c>
      <c r="C25" s="86"/>
      <c r="D25" s="128">
        <v>15658524.621893801</v>
      </c>
      <c r="E25" s="128">
        <v>13557.21</v>
      </c>
      <c r="F25" s="128">
        <v>4170487.8100000066</v>
      </c>
      <c r="G25" s="128">
        <v>6051</v>
      </c>
      <c r="H25" s="128">
        <v>1834093.5499999993</v>
      </c>
      <c r="I25" s="128">
        <v>627</v>
      </c>
      <c r="J25" s="128">
        <v>3422384.03</v>
      </c>
      <c r="K25" s="128">
        <v>10599.599999999999</v>
      </c>
      <c r="L25" s="128">
        <v>79</v>
      </c>
      <c r="M25" s="128">
        <v>2878937.57</v>
      </c>
      <c r="N25" s="128">
        <v>7266.94</v>
      </c>
      <c r="O25" s="128">
        <v>9</v>
      </c>
      <c r="P25" s="128">
        <v>2731725.64</v>
      </c>
      <c r="Q25" s="128">
        <v>5538.2999999999993</v>
      </c>
      <c r="R25" s="128">
        <v>3</v>
      </c>
      <c r="S25" s="128">
        <v>30241</v>
      </c>
      <c r="T25" s="87"/>
      <c r="U25" s="128">
        <v>62</v>
      </c>
      <c r="V25" s="128">
        <v>8247.94</v>
      </c>
      <c r="W25" s="128">
        <v>23.019999999999996</v>
      </c>
      <c r="X25" s="128">
        <v>125</v>
      </c>
      <c r="Y25" s="128">
        <v>134093.4</v>
      </c>
      <c r="Z25" s="128">
        <v>319.27</v>
      </c>
      <c r="AA25" s="128">
        <v>1</v>
      </c>
      <c r="AB25"/>
      <c r="AC25" s="130">
        <f t="shared" ref="AC25:AC88" si="0">G25+I25+L25+O25+R25+AA25</f>
        <v>6770</v>
      </c>
      <c r="AD25"/>
      <c r="AE25" s="128"/>
      <c r="AF25" s="128"/>
      <c r="AG25" s="128"/>
      <c r="AI25" s="128">
        <v>4619039.99</v>
      </c>
      <c r="AJ25" s="128">
        <v>10842.46</v>
      </c>
    </row>
    <row r="26" spans="1:36" x14ac:dyDescent="0.2">
      <c r="A26" s="82">
        <v>2013</v>
      </c>
      <c r="B26" s="83" t="s">
        <v>80</v>
      </c>
      <c r="C26" s="86"/>
      <c r="D26" s="128">
        <v>16216012.966664599</v>
      </c>
      <c r="E26" s="128">
        <v>20286.849999999999</v>
      </c>
      <c r="F26" s="128">
        <v>4040513.5000000028</v>
      </c>
      <c r="G26" s="128">
        <v>6056</v>
      </c>
      <c r="H26" s="128">
        <v>1909696.4100000006</v>
      </c>
      <c r="I26" s="128">
        <v>628</v>
      </c>
      <c r="J26" s="128">
        <v>3612606.6199999996</v>
      </c>
      <c r="K26" s="128">
        <v>10864.269999999997</v>
      </c>
      <c r="L26" s="128">
        <v>78</v>
      </c>
      <c r="M26" s="128">
        <v>2959078.8499999996</v>
      </c>
      <c r="N26" s="128">
        <v>7140.7599999999993</v>
      </c>
      <c r="O26" s="128">
        <v>9</v>
      </c>
      <c r="P26" s="128">
        <v>2918433.08</v>
      </c>
      <c r="Q26" s="128">
        <v>5485.37</v>
      </c>
      <c r="R26" s="128">
        <v>3</v>
      </c>
      <c r="S26" s="128">
        <v>35256</v>
      </c>
      <c r="T26" s="87"/>
      <c r="U26" s="128">
        <v>61</v>
      </c>
      <c r="V26" s="128">
        <v>9078.41</v>
      </c>
      <c r="W26" s="128">
        <v>26.129999999999992</v>
      </c>
      <c r="X26" s="128">
        <v>125</v>
      </c>
      <c r="Y26" s="128">
        <v>124116</v>
      </c>
      <c r="Z26" s="128">
        <v>319.27</v>
      </c>
      <c r="AA26" s="128">
        <v>1</v>
      </c>
      <c r="AB26"/>
      <c r="AC26" s="130">
        <f t="shared" si="0"/>
        <v>6775</v>
      </c>
      <c r="AD26"/>
      <c r="AE26" s="128"/>
      <c r="AF26" s="128"/>
      <c r="AG26" s="128"/>
      <c r="AI26" s="128">
        <v>4953974.13</v>
      </c>
      <c r="AJ26" s="128">
        <v>10636.25</v>
      </c>
    </row>
    <row r="27" spans="1:36" x14ac:dyDescent="0.2">
      <c r="A27" s="82">
        <v>2013</v>
      </c>
      <c r="B27" s="83" t="s">
        <v>81</v>
      </c>
      <c r="C27" s="86"/>
      <c r="D27" s="128">
        <v>15232077.751890199</v>
      </c>
      <c r="E27" s="128">
        <v>27560.44</v>
      </c>
      <c r="F27" s="128">
        <v>3631054.3899999973</v>
      </c>
      <c r="G27" s="128">
        <v>6059</v>
      </c>
      <c r="H27" s="128">
        <v>1706896.5500000005</v>
      </c>
      <c r="I27" s="128">
        <v>632</v>
      </c>
      <c r="J27" s="128">
        <v>3486015.9799999995</v>
      </c>
      <c r="K27" s="128">
        <v>10371.779999999999</v>
      </c>
      <c r="L27" s="128">
        <v>78</v>
      </c>
      <c r="M27" s="128">
        <v>2807468.62</v>
      </c>
      <c r="N27" s="128">
        <v>7249.8399999999992</v>
      </c>
      <c r="O27" s="128">
        <v>9</v>
      </c>
      <c r="P27" s="128">
        <v>2996605.6799999997</v>
      </c>
      <c r="Q27" s="128">
        <v>5728.67</v>
      </c>
      <c r="R27" s="128">
        <v>3</v>
      </c>
      <c r="S27" s="128">
        <v>31677</v>
      </c>
      <c r="T27" s="87"/>
      <c r="U27" s="128">
        <v>61</v>
      </c>
      <c r="V27" s="128">
        <v>8811.5299999999988</v>
      </c>
      <c r="W27" s="128">
        <v>23.720000000000002</v>
      </c>
      <c r="X27" s="128">
        <v>125</v>
      </c>
      <c r="Y27" s="128">
        <v>105838.37</v>
      </c>
      <c r="Z27" s="128">
        <v>319.27</v>
      </c>
      <c r="AA27" s="128">
        <v>1</v>
      </c>
      <c r="AB27"/>
      <c r="AC27" s="130">
        <f t="shared" si="0"/>
        <v>6782</v>
      </c>
      <c r="AD27"/>
      <c r="AE27" s="128"/>
      <c r="AF27" s="128"/>
      <c r="AG27" s="128"/>
      <c r="AI27" s="128">
        <v>5017147.6499999994</v>
      </c>
      <c r="AJ27" s="128">
        <v>10911.08</v>
      </c>
    </row>
    <row r="28" spans="1:36" x14ac:dyDescent="0.2">
      <c r="A28" s="82">
        <v>2013</v>
      </c>
      <c r="B28" s="83" t="s">
        <v>52</v>
      </c>
      <c r="C28" s="86"/>
      <c r="D28" s="128">
        <v>15553380.452143</v>
      </c>
      <c r="E28" s="128">
        <v>35979.17</v>
      </c>
      <c r="F28" s="128">
        <v>3575488.3800000022</v>
      </c>
      <c r="G28" s="128">
        <v>6054</v>
      </c>
      <c r="H28" s="128">
        <v>1705319.2199999997</v>
      </c>
      <c r="I28" s="128">
        <v>631</v>
      </c>
      <c r="J28" s="128">
        <v>3559422.3399999994</v>
      </c>
      <c r="K28" s="128">
        <v>10657.119999999999</v>
      </c>
      <c r="L28" s="128">
        <v>78</v>
      </c>
      <c r="M28" s="128">
        <v>2948236.96</v>
      </c>
      <c r="N28" s="128">
        <v>7715.2499999999991</v>
      </c>
      <c r="O28" s="128">
        <v>9</v>
      </c>
      <c r="P28" s="128">
        <v>3139990</v>
      </c>
      <c r="Q28" s="128">
        <v>5840.1</v>
      </c>
      <c r="R28" s="128">
        <v>3</v>
      </c>
      <c r="S28" s="128">
        <v>33646</v>
      </c>
      <c r="T28" s="87"/>
      <c r="U28" s="128">
        <v>61</v>
      </c>
      <c r="V28" s="128">
        <v>9112.17</v>
      </c>
      <c r="W28" s="128">
        <v>23.83</v>
      </c>
      <c r="X28" s="128">
        <v>125</v>
      </c>
      <c r="Y28" s="128">
        <v>96898.01</v>
      </c>
      <c r="Z28" s="128">
        <v>319.27</v>
      </c>
      <c r="AA28" s="128">
        <v>1</v>
      </c>
      <c r="AB28"/>
      <c r="AC28" s="130">
        <f t="shared" si="0"/>
        <v>6776</v>
      </c>
      <c r="AD28"/>
      <c r="AE28" s="128"/>
      <c r="AF28" s="128"/>
      <c r="AG28" s="128"/>
      <c r="AI28" s="128">
        <v>5175643.4099999992</v>
      </c>
      <c r="AJ28" s="128">
        <v>11283.07</v>
      </c>
    </row>
    <row r="29" spans="1:36" x14ac:dyDescent="0.2">
      <c r="A29" s="82">
        <v>2013</v>
      </c>
      <c r="B29" s="83" t="s">
        <v>82</v>
      </c>
      <c r="C29" s="86"/>
      <c r="D29" s="128">
        <v>16186549.925957</v>
      </c>
      <c r="E29" s="128">
        <v>31537.31</v>
      </c>
      <c r="F29" s="128">
        <v>4132859.1599999894</v>
      </c>
      <c r="G29" s="128">
        <v>6065</v>
      </c>
      <c r="H29" s="128">
        <v>1805117.5999999987</v>
      </c>
      <c r="I29" s="128">
        <v>625</v>
      </c>
      <c r="J29" s="128">
        <v>3600427.370000001</v>
      </c>
      <c r="K29" s="128">
        <v>11171.63</v>
      </c>
      <c r="L29" s="128">
        <v>79</v>
      </c>
      <c r="M29" s="128">
        <v>3018081.4299999997</v>
      </c>
      <c r="N29" s="128">
        <v>7802.04</v>
      </c>
      <c r="O29" s="128">
        <v>9</v>
      </c>
      <c r="P29" s="128">
        <v>3132924.8000000003</v>
      </c>
      <c r="Q29" s="128">
        <v>6195.28</v>
      </c>
      <c r="R29" s="128">
        <v>3</v>
      </c>
      <c r="S29" s="128">
        <v>31344</v>
      </c>
      <c r="T29" s="87"/>
      <c r="U29" s="128">
        <v>60</v>
      </c>
      <c r="V29" s="128">
        <v>8823.7999999999993</v>
      </c>
      <c r="W29" s="128">
        <v>24.059999999999995</v>
      </c>
      <c r="X29" s="128">
        <v>125</v>
      </c>
      <c r="Y29" s="128">
        <v>86442.37</v>
      </c>
      <c r="Z29" s="128">
        <v>319.27</v>
      </c>
      <c r="AA29" s="128">
        <v>1</v>
      </c>
      <c r="AB29"/>
      <c r="AC29" s="130">
        <f t="shared" si="0"/>
        <v>6782</v>
      </c>
      <c r="AD29"/>
      <c r="AE29" s="128"/>
      <c r="AF29" s="128"/>
      <c r="AG29" s="128"/>
      <c r="AI29" s="128">
        <v>5203230.9000000004</v>
      </c>
      <c r="AJ29" s="128">
        <v>11649.539999999999</v>
      </c>
    </row>
    <row r="30" spans="1:36" x14ac:dyDescent="0.2">
      <c r="A30" s="82">
        <v>2013</v>
      </c>
      <c r="B30" s="83" t="s">
        <v>83</v>
      </c>
      <c r="C30" s="86"/>
      <c r="D30" s="128">
        <v>17945915.653628498</v>
      </c>
      <c r="E30" s="128">
        <v>32177.5</v>
      </c>
      <c r="F30" s="128">
        <v>5032704.3899999978</v>
      </c>
      <c r="G30" s="128">
        <v>6071</v>
      </c>
      <c r="H30" s="128">
        <v>2008282.4000000004</v>
      </c>
      <c r="I30" s="128">
        <v>625</v>
      </c>
      <c r="J30" s="128">
        <v>3757069.4</v>
      </c>
      <c r="K30" s="128">
        <v>10951.679999999995</v>
      </c>
      <c r="L30" s="128">
        <v>79</v>
      </c>
      <c r="M30" s="128">
        <v>3171459.66</v>
      </c>
      <c r="N30" s="128">
        <v>8007.49</v>
      </c>
      <c r="O30" s="128">
        <v>9</v>
      </c>
      <c r="P30" s="128">
        <v>2922192.8</v>
      </c>
      <c r="Q30" s="128">
        <v>6042.57</v>
      </c>
      <c r="R30" s="128">
        <v>3</v>
      </c>
      <c r="S30" s="128">
        <v>32333</v>
      </c>
      <c r="T30" s="87"/>
      <c r="U30" s="128">
        <v>61</v>
      </c>
      <c r="V30" s="128">
        <v>9116.77</v>
      </c>
      <c r="W30" s="128">
        <v>24.580000000000005</v>
      </c>
      <c r="X30" s="128">
        <v>125</v>
      </c>
      <c r="Y30" s="128">
        <v>91471.28</v>
      </c>
      <c r="Z30" s="128">
        <v>319.27</v>
      </c>
      <c r="AA30" s="128">
        <v>1</v>
      </c>
      <c r="AB30"/>
      <c r="AC30" s="130">
        <f t="shared" si="0"/>
        <v>6788</v>
      </c>
      <c r="AD30"/>
      <c r="AE30" s="128"/>
      <c r="AF30" s="128"/>
      <c r="AG30" s="128"/>
      <c r="AI30" s="128">
        <v>5204125</v>
      </c>
      <c r="AJ30" s="128">
        <v>11771.91</v>
      </c>
    </row>
    <row r="31" spans="1:36" x14ac:dyDescent="0.2">
      <c r="A31" s="82">
        <v>2013</v>
      </c>
      <c r="B31" s="83" t="s">
        <v>84</v>
      </c>
      <c r="C31" s="86"/>
      <c r="D31" s="128">
        <v>17797077.923535999</v>
      </c>
      <c r="E31" s="128">
        <v>34799.1</v>
      </c>
      <c r="F31" s="128">
        <v>4416036.1600000048</v>
      </c>
      <c r="G31" s="128">
        <v>6076</v>
      </c>
      <c r="H31" s="128">
        <v>1905121.7000000002</v>
      </c>
      <c r="I31" s="128">
        <v>628</v>
      </c>
      <c r="J31" s="128">
        <v>3798030.8200000003</v>
      </c>
      <c r="K31" s="128">
        <v>11241.179999999998</v>
      </c>
      <c r="L31" s="128">
        <v>79</v>
      </c>
      <c r="M31" s="128">
        <v>3490890.6500000004</v>
      </c>
      <c r="N31" s="128">
        <v>7981.5</v>
      </c>
      <c r="O31" s="128">
        <v>9</v>
      </c>
      <c r="P31" s="128">
        <v>3445203.3200000003</v>
      </c>
      <c r="Q31" s="128">
        <v>6280.04</v>
      </c>
      <c r="R31" s="128">
        <v>3</v>
      </c>
      <c r="S31" s="128">
        <v>31813</v>
      </c>
      <c r="T31" s="87"/>
      <c r="U31" s="128">
        <v>61</v>
      </c>
      <c r="V31" s="128">
        <v>9114.66</v>
      </c>
      <c r="W31" s="128">
        <v>23.489999999999995</v>
      </c>
      <c r="X31" s="128">
        <v>125</v>
      </c>
      <c r="Y31" s="128">
        <v>103523</v>
      </c>
      <c r="Z31" s="128">
        <v>319.27</v>
      </c>
      <c r="AA31" s="128">
        <v>1</v>
      </c>
      <c r="AB31"/>
      <c r="AC31" s="130">
        <f t="shared" si="0"/>
        <v>6796</v>
      </c>
      <c r="AD31"/>
      <c r="AE31" s="128"/>
      <c r="AF31" s="128"/>
      <c r="AG31" s="128"/>
      <c r="AI31" s="128">
        <v>5835686.5899999999</v>
      </c>
      <c r="AJ31" s="128">
        <v>12029.83</v>
      </c>
    </row>
    <row r="32" spans="1:36" x14ac:dyDescent="0.2">
      <c r="A32" s="82">
        <v>2013</v>
      </c>
      <c r="B32" s="83" t="s">
        <v>85</v>
      </c>
      <c r="C32" s="86"/>
      <c r="D32" s="128">
        <v>15969199.9223201</v>
      </c>
      <c r="E32" s="128">
        <v>26269.68</v>
      </c>
      <c r="F32" s="128">
        <v>3790233.0899999947</v>
      </c>
      <c r="G32" s="128">
        <v>6086</v>
      </c>
      <c r="H32" s="128">
        <v>1706282.7700000007</v>
      </c>
      <c r="I32" s="128">
        <v>631</v>
      </c>
      <c r="J32" s="128">
        <v>3622319.6200000006</v>
      </c>
      <c r="K32" s="128">
        <v>10845.889999999998</v>
      </c>
      <c r="L32" s="128">
        <v>79</v>
      </c>
      <c r="M32" s="128">
        <v>3259451.94</v>
      </c>
      <c r="N32" s="128">
        <v>8405.2100000000009</v>
      </c>
      <c r="O32" s="128">
        <v>10</v>
      </c>
      <c r="P32" s="128">
        <v>3200628.7600000002</v>
      </c>
      <c r="Q32" s="128">
        <v>5669.4400000000005</v>
      </c>
      <c r="R32" s="128">
        <v>2</v>
      </c>
      <c r="S32" s="128">
        <v>32098</v>
      </c>
      <c r="T32" s="87"/>
      <c r="U32" s="128">
        <v>61</v>
      </c>
      <c r="V32" s="128">
        <v>8817.3700000000008</v>
      </c>
      <c r="W32" s="128">
        <v>24.189999999999998</v>
      </c>
      <c r="X32" s="128">
        <v>125</v>
      </c>
      <c r="Y32" s="128">
        <v>112143.97</v>
      </c>
      <c r="Z32" s="128">
        <v>319.27</v>
      </c>
      <c r="AA32" s="128">
        <v>1</v>
      </c>
      <c r="AB32"/>
      <c r="AC32" s="130">
        <f t="shared" si="0"/>
        <v>6809</v>
      </c>
      <c r="AD32"/>
      <c r="AE32" s="128"/>
      <c r="AF32" s="128"/>
      <c r="AG32" s="128"/>
      <c r="AI32" s="128">
        <v>5575264.0899999999</v>
      </c>
      <c r="AJ32" s="128">
        <v>11911.56</v>
      </c>
    </row>
    <row r="33" spans="1:36" x14ac:dyDescent="0.2">
      <c r="A33" s="82">
        <v>2013</v>
      </c>
      <c r="B33" s="83" t="s">
        <v>86</v>
      </c>
      <c r="C33" s="86"/>
      <c r="D33" s="128">
        <v>16546569.8756111</v>
      </c>
      <c r="E33" s="128">
        <v>18717.009999999998</v>
      </c>
      <c r="F33" s="128">
        <v>3593451.0199999767</v>
      </c>
      <c r="G33" s="128">
        <v>6091</v>
      </c>
      <c r="H33" s="128">
        <v>1661346.9499999995</v>
      </c>
      <c r="I33" s="128">
        <v>632</v>
      </c>
      <c r="J33" s="128">
        <v>3812498.2000000007</v>
      </c>
      <c r="K33" s="128">
        <v>10787.059999999998</v>
      </c>
      <c r="L33" s="128">
        <v>79</v>
      </c>
      <c r="M33" s="128">
        <v>3377135.0400000005</v>
      </c>
      <c r="N33" s="128">
        <v>8117.2900000000018</v>
      </c>
      <c r="O33" s="128">
        <v>10</v>
      </c>
      <c r="P33" s="128">
        <v>3414392.12</v>
      </c>
      <c r="Q33" s="128">
        <v>5780.32</v>
      </c>
      <c r="R33" s="128">
        <v>2</v>
      </c>
      <c r="S33" s="128">
        <v>34369</v>
      </c>
      <c r="T33" s="87"/>
      <c r="U33" s="128">
        <v>61</v>
      </c>
      <c r="V33" s="128">
        <v>9099.44</v>
      </c>
      <c r="W33" s="128">
        <v>24.349999999999994</v>
      </c>
      <c r="X33" s="128">
        <v>125</v>
      </c>
      <c r="Y33" s="128">
        <v>130661</v>
      </c>
      <c r="Z33" s="128">
        <v>319.27</v>
      </c>
      <c r="AA33" s="128">
        <v>1</v>
      </c>
      <c r="AB33"/>
      <c r="AC33" s="130">
        <f t="shared" si="0"/>
        <v>6815</v>
      </c>
      <c r="AD33"/>
      <c r="AE33" s="128"/>
      <c r="AF33" s="128"/>
      <c r="AG33" s="128"/>
      <c r="AI33" s="128">
        <v>5994989.9399999985</v>
      </c>
      <c r="AJ33" s="128">
        <v>12065.7</v>
      </c>
    </row>
    <row r="34" spans="1:36" x14ac:dyDescent="0.2">
      <c r="A34" s="82">
        <v>2013</v>
      </c>
      <c r="B34" s="83" t="s">
        <v>87</v>
      </c>
      <c r="C34" s="86"/>
      <c r="D34" s="128">
        <v>16546580.2343011</v>
      </c>
      <c r="E34" s="128">
        <v>11195.41</v>
      </c>
      <c r="F34" s="128">
        <v>4015119.3700000141</v>
      </c>
      <c r="G34" s="128">
        <v>6102</v>
      </c>
      <c r="H34" s="128">
        <v>1750420.1899999988</v>
      </c>
      <c r="I34" s="128">
        <v>632</v>
      </c>
      <c r="J34" s="128">
        <v>3826971.8699999996</v>
      </c>
      <c r="K34" s="128">
        <v>10508.039999999999</v>
      </c>
      <c r="L34" s="128">
        <v>79</v>
      </c>
      <c r="M34" s="128">
        <v>3097236.1</v>
      </c>
      <c r="N34" s="128">
        <v>7609.5600000000013</v>
      </c>
      <c r="O34" s="128">
        <v>10</v>
      </c>
      <c r="P34" s="128">
        <v>3259899.68</v>
      </c>
      <c r="Q34" s="128">
        <v>5617.6</v>
      </c>
      <c r="R34" s="128">
        <v>2</v>
      </c>
      <c r="S34" s="128">
        <v>30826</v>
      </c>
      <c r="T34" s="87"/>
      <c r="U34" s="128">
        <v>52</v>
      </c>
      <c r="V34" s="128">
        <v>9318.6500000000015</v>
      </c>
      <c r="W34" s="128">
        <v>26.130000000000003</v>
      </c>
      <c r="X34" s="128">
        <v>125</v>
      </c>
      <c r="Y34" s="128">
        <v>138483.83000000002</v>
      </c>
      <c r="Z34" s="128">
        <v>319.27</v>
      </c>
      <c r="AA34" s="128">
        <v>1</v>
      </c>
      <c r="AB34"/>
      <c r="AC34" s="130">
        <f t="shared" si="0"/>
        <v>6826</v>
      </c>
      <c r="AD34"/>
      <c r="AE34" s="128"/>
      <c r="AF34" s="128"/>
      <c r="AG34" s="128"/>
      <c r="AI34" s="128">
        <v>5713052.629999999</v>
      </c>
      <c r="AJ34" s="128">
        <v>11778.260000000002</v>
      </c>
    </row>
    <row r="35" spans="1:36" x14ac:dyDescent="0.2">
      <c r="A35" s="82">
        <v>2013</v>
      </c>
      <c r="B35" s="83" t="s">
        <v>88</v>
      </c>
      <c r="C35" s="86"/>
      <c r="D35" s="128">
        <v>16673730.4556378</v>
      </c>
      <c r="E35" s="128">
        <v>6160.73</v>
      </c>
      <c r="F35" s="128">
        <v>4733214.2499999972</v>
      </c>
      <c r="G35" s="128">
        <v>6107</v>
      </c>
      <c r="H35" s="128">
        <v>1963769.6200000013</v>
      </c>
      <c r="I35" s="128">
        <v>629</v>
      </c>
      <c r="J35" s="128">
        <v>3817066.3399999994</v>
      </c>
      <c r="K35" s="128">
        <v>10928.169999999995</v>
      </c>
      <c r="L35" s="128">
        <v>78</v>
      </c>
      <c r="M35" s="128">
        <v>2787126.9599999995</v>
      </c>
      <c r="N35" s="128">
        <v>7589.4900000000007</v>
      </c>
      <c r="O35" s="128">
        <v>10</v>
      </c>
      <c r="P35" s="128">
        <v>2691530.7199999997</v>
      </c>
      <c r="Q35" s="128">
        <v>5738.5599999999995</v>
      </c>
      <c r="R35" s="128">
        <v>2</v>
      </c>
      <c r="S35" s="128">
        <v>33248</v>
      </c>
      <c r="T35" s="87"/>
      <c r="U35" s="128">
        <v>62</v>
      </c>
      <c r="V35" s="128">
        <v>10140.98</v>
      </c>
      <c r="W35" s="128">
        <v>28.919999999999995</v>
      </c>
      <c r="X35" s="128">
        <v>124</v>
      </c>
      <c r="Y35" s="128">
        <v>150695.51999999999</v>
      </c>
      <c r="Z35" s="128">
        <v>319.27</v>
      </c>
      <c r="AA35" s="128">
        <v>1</v>
      </c>
      <c r="AB35"/>
      <c r="AC35" s="130">
        <f t="shared" si="0"/>
        <v>6827</v>
      </c>
      <c r="AD35"/>
      <c r="AE35" s="128"/>
      <c r="AF35" s="128"/>
      <c r="AG35" s="128"/>
      <c r="AI35" s="128">
        <v>4987125.51</v>
      </c>
      <c r="AJ35" s="128">
        <v>11918.369999999999</v>
      </c>
    </row>
    <row r="36" spans="1:36" x14ac:dyDescent="0.2">
      <c r="A36" s="82">
        <v>2014</v>
      </c>
      <c r="B36" s="83" t="s">
        <v>78</v>
      </c>
      <c r="C36" s="86"/>
      <c r="D36" s="127">
        <v>18474800.579061899</v>
      </c>
      <c r="E36" s="127">
        <v>8538.07</v>
      </c>
      <c r="F36" s="127">
        <v>4870979.7900000056</v>
      </c>
      <c r="G36" s="127">
        <v>6106</v>
      </c>
      <c r="H36" s="127">
        <v>2079737.4599999995</v>
      </c>
      <c r="I36" s="127">
        <v>629</v>
      </c>
      <c r="J36" s="127">
        <v>4283830.0299999993</v>
      </c>
      <c r="K36" s="127">
        <v>11350.089999999997</v>
      </c>
      <c r="L36" s="127">
        <v>78</v>
      </c>
      <c r="M36" s="127">
        <v>3131849.04</v>
      </c>
      <c r="N36" s="127">
        <v>7487.41</v>
      </c>
      <c r="O36" s="127">
        <v>10</v>
      </c>
      <c r="P36" s="127">
        <v>3209998.24</v>
      </c>
      <c r="Q36" s="127">
        <v>5569.17</v>
      </c>
      <c r="R36" s="127">
        <v>2</v>
      </c>
      <c r="S36" s="127">
        <v>29733.86</v>
      </c>
      <c r="T36" s="85"/>
      <c r="U36" s="127">
        <v>59</v>
      </c>
      <c r="V36" s="127">
        <v>9108.09</v>
      </c>
      <c r="W36" s="127">
        <v>23.829999999999995</v>
      </c>
      <c r="X36" s="127">
        <v>124</v>
      </c>
      <c r="Y36" s="127">
        <v>148460.54999999999</v>
      </c>
      <c r="Z36" s="127">
        <v>319.27</v>
      </c>
      <c r="AA36" s="127">
        <v>1</v>
      </c>
      <c r="AB36"/>
      <c r="AC36" s="130">
        <f t="shared" si="0"/>
        <v>6826</v>
      </c>
      <c r="AD36"/>
      <c r="AE36" s="127"/>
      <c r="AF36" s="127"/>
      <c r="AG36" s="127"/>
      <c r="AI36" s="127">
        <v>5853334.2699999996</v>
      </c>
      <c r="AJ36" s="127">
        <v>11914.13</v>
      </c>
    </row>
    <row r="37" spans="1:36" x14ac:dyDescent="0.2">
      <c r="A37" s="82">
        <v>2014</v>
      </c>
      <c r="B37" s="83" t="s">
        <v>79</v>
      </c>
      <c r="C37" s="86"/>
      <c r="D37" s="128">
        <v>16627641.0667389</v>
      </c>
      <c r="E37" s="128">
        <v>12721.86</v>
      </c>
      <c r="F37" s="128">
        <v>4282879.730000007</v>
      </c>
      <c r="G37" s="128">
        <v>6116</v>
      </c>
      <c r="H37" s="128">
        <v>1886824.34</v>
      </c>
      <c r="I37" s="128">
        <v>630</v>
      </c>
      <c r="J37" s="128">
        <v>3917690.2199999993</v>
      </c>
      <c r="K37" s="128">
        <v>10976.75</v>
      </c>
      <c r="L37" s="128">
        <v>78</v>
      </c>
      <c r="M37" s="128">
        <v>2917663.5200000005</v>
      </c>
      <c r="N37" s="128">
        <v>7582.7300000000005</v>
      </c>
      <c r="O37" s="128">
        <v>10</v>
      </c>
      <c r="P37" s="128">
        <v>2990229.5600000005</v>
      </c>
      <c r="Q37" s="128">
        <v>5532.16</v>
      </c>
      <c r="R37" s="128">
        <v>2</v>
      </c>
      <c r="S37" s="128">
        <v>31852.91</v>
      </c>
      <c r="T37" s="87"/>
      <c r="U37" s="128">
        <v>59</v>
      </c>
      <c r="V37" s="128">
        <v>8161.41</v>
      </c>
      <c r="W37" s="128">
        <v>23.660000000000004</v>
      </c>
      <c r="X37" s="128">
        <v>124</v>
      </c>
      <c r="Y37" s="128">
        <v>134093</v>
      </c>
      <c r="Z37" s="128">
        <v>319.27</v>
      </c>
      <c r="AA37" s="128">
        <v>1</v>
      </c>
      <c r="AB37"/>
      <c r="AC37" s="130">
        <f t="shared" si="0"/>
        <v>6837</v>
      </c>
      <c r="AD37"/>
      <c r="AE37" s="128"/>
      <c r="AF37" s="128"/>
      <c r="AG37" s="128"/>
      <c r="AI37" s="128">
        <v>5442372.8199999994</v>
      </c>
      <c r="AJ37" s="128">
        <v>12152.220000000001</v>
      </c>
    </row>
    <row r="38" spans="1:36" x14ac:dyDescent="0.2">
      <c r="A38" s="82">
        <v>2014</v>
      </c>
      <c r="B38" s="83" t="s">
        <v>80</v>
      </c>
      <c r="C38" s="86"/>
      <c r="D38" s="128">
        <v>17703765.753800001</v>
      </c>
      <c r="E38" s="128">
        <v>25883.119999999999</v>
      </c>
      <c r="F38" s="128">
        <v>4305122.0499999877</v>
      </c>
      <c r="G38" s="128">
        <v>6124</v>
      </c>
      <c r="H38" s="128">
        <v>1962382.76</v>
      </c>
      <c r="I38" s="128">
        <v>631</v>
      </c>
      <c r="J38" s="128">
        <v>4249950.1500000004</v>
      </c>
      <c r="K38" s="128">
        <v>11789.170000000004</v>
      </c>
      <c r="L38" s="128">
        <v>79</v>
      </c>
      <c r="M38" s="128">
        <v>3273206.92</v>
      </c>
      <c r="N38" s="128">
        <v>7791.13</v>
      </c>
      <c r="O38" s="128">
        <v>10</v>
      </c>
      <c r="P38" s="128">
        <v>3169745</v>
      </c>
      <c r="Q38" s="128">
        <v>5533.2800000000007</v>
      </c>
      <c r="R38" s="128">
        <v>2</v>
      </c>
      <c r="S38" s="128">
        <v>35843.94</v>
      </c>
      <c r="T38" s="87"/>
      <c r="U38" s="128">
        <v>59</v>
      </c>
      <c r="V38" s="128">
        <v>9037.57</v>
      </c>
      <c r="W38" s="128">
        <v>26.490000000000009</v>
      </c>
      <c r="X38" s="128">
        <v>124</v>
      </c>
      <c r="Y38" s="128">
        <v>124116.4</v>
      </c>
      <c r="Z38" s="128">
        <v>319.27</v>
      </c>
      <c r="AA38" s="128">
        <v>1</v>
      </c>
      <c r="AB38"/>
      <c r="AC38" s="130">
        <f t="shared" si="0"/>
        <v>6847</v>
      </c>
      <c r="AD38"/>
      <c r="AE38" s="128"/>
      <c r="AF38" s="128"/>
      <c r="AG38" s="128"/>
      <c r="AI38" s="128">
        <v>5911684.96</v>
      </c>
      <c r="AJ38" s="128">
        <v>12174.29</v>
      </c>
    </row>
    <row r="39" spans="1:36" x14ac:dyDescent="0.2">
      <c r="A39" s="82">
        <v>2014</v>
      </c>
      <c r="B39" s="83" t="s">
        <v>81</v>
      </c>
      <c r="C39" s="86"/>
      <c r="D39" s="128">
        <v>15585905.142968001</v>
      </c>
      <c r="E39" s="128">
        <v>29655.1</v>
      </c>
      <c r="F39" s="128">
        <v>3631743.8699999843</v>
      </c>
      <c r="G39" s="128">
        <v>6126</v>
      </c>
      <c r="H39" s="128">
        <v>1666312.9000000001</v>
      </c>
      <c r="I39" s="128">
        <v>635</v>
      </c>
      <c r="J39" s="128">
        <v>3804996.29</v>
      </c>
      <c r="K39" s="128">
        <v>10729.079999999998</v>
      </c>
      <c r="L39" s="128">
        <v>80</v>
      </c>
      <c r="M39" s="128">
        <v>3032701.2900000005</v>
      </c>
      <c r="N39" s="128">
        <v>7794.13</v>
      </c>
      <c r="O39" s="128">
        <v>10</v>
      </c>
      <c r="P39" s="128">
        <v>2955904.84</v>
      </c>
      <c r="Q39" s="128">
        <v>5493.2800000000007</v>
      </c>
      <c r="R39" s="128">
        <v>2</v>
      </c>
      <c r="S39" s="128">
        <v>31225.390000000003</v>
      </c>
      <c r="T39" s="87"/>
      <c r="U39" s="128">
        <v>59</v>
      </c>
      <c r="V39" s="128">
        <v>8743.25</v>
      </c>
      <c r="W39" s="128">
        <v>23.209999999999994</v>
      </c>
      <c r="X39" s="128">
        <v>124</v>
      </c>
      <c r="Y39" s="128">
        <v>102326.37</v>
      </c>
      <c r="Z39" s="128">
        <v>319.27</v>
      </c>
      <c r="AA39" s="128">
        <v>1</v>
      </c>
      <c r="AB39"/>
      <c r="AC39" s="130">
        <f t="shared" si="0"/>
        <v>6854</v>
      </c>
      <c r="AD39"/>
      <c r="AE39" s="128"/>
      <c r="AF39" s="128"/>
      <c r="AG39" s="128"/>
      <c r="AI39" s="128">
        <v>5494047.7600000007</v>
      </c>
      <c r="AJ39" s="128">
        <v>12190.7</v>
      </c>
    </row>
    <row r="40" spans="1:36" x14ac:dyDescent="0.2">
      <c r="A40" s="82">
        <v>2014</v>
      </c>
      <c r="B40" s="83" t="s">
        <v>52</v>
      </c>
      <c r="C40" s="86"/>
      <c r="D40" s="128">
        <v>15699359.7465881</v>
      </c>
      <c r="E40" s="128">
        <v>33479.81</v>
      </c>
      <c r="F40" s="128">
        <v>3518702.3499999894</v>
      </c>
      <c r="G40" s="128">
        <v>6134</v>
      </c>
      <c r="H40" s="128">
        <v>1682666.6300000001</v>
      </c>
      <c r="I40" s="128">
        <v>629</v>
      </c>
      <c r="J40" s="128">
        <v>3222350.649999999</v>
      </c>
      <c r="K40" s="128">
        <v>10400.400000000001</v>
      </c>
      <c r="L40" s="128">
        <v>80</v>
      </c>
      <c r="M40" s="128">
        <v>3575264.5199999996</v>
      </c>
      <c r="N40" s="128">
        <v>9243.380000000001</v>
      </c>
      <c r="O40" s="128">
        <v>11</v>
      </c>
      <c r="P40" s="128">
        <v>3187772.5999999996</v>
      </c>
      <c r="Q40" s="128">
        <v>5690.08</v>
      </c>
      <c r="R40" s="128">
        <v>2</v>
      </c>
      <c r="S40" s="128">
        <v>34241.229999999996</v>
      </c>
      <c r="T40" s="87"/>
      <c r="U40" s="128">
        <v>59</v>
      </c>
      <c r="V40" s="128">
        <v>9039.73</v>
      </c>
      <c r="W40" s="128">
        <v>24.869999999999997</v>
      </c>
      <c r="X40" s="128">
        <v>124</v>
      </c>
      <c r="Y40" s="128">
        <v>96268.999999999985</v>
      </c>
      <c r="Z40" s="128">
        <v>346.64</v>
      </c>
      <c r="AA40" s="128">
        <v>1</v>
      </c>
      <c r="AB40"/>
      <c r="AC40" s="130">
        <f t="shared" si="0"/>
        <v>6857</v>
      </c>
      <c r="AD40"/>
      <c r="AE40" s="128"/>
      <c r="AF40" s="128"/>
      <c r="AG40" s="128"/>
      <c r="AI40" s="128">
        <v>5701884.3899999997</v>
      </c>
      <c r="AJ40" s="128">
        <v>12431.88</v>
      </c>
    </row>
    <row r="41" spans="1:36" x14ac:dyDescent="0.2">
      <c r="A41" s="82">
        <v>2014</v>
      </c>
      <c r="B41" s="83" t="s">
        <v>82</v>
      </c>
      <c r="C41" s="86"/>
      <c r="D41" s="128">
        <v>17137936.4018654</v>
      </c>
      <c r="E41" s="128">
        <v>36363.160000000003</v>
      </c>
      <c r="F41" s="128">
        <v>4127003.2700000163</v>
      </c>
      <c r="G41" s="128">
        <v>6144</v>
      </c>
      <c r="H41" s="128">
        <v>1835389.8100000003</v>
      </c>
      <c r="I41" s="128">
        <v>627</v>
      </c>
      <c r="J41" s="128">
        <v>3472185.680000002</v>
      </c>
      <c r="K41" s="128">
        <v>10293.02</v>
      </c>
      <c r="L41" s="128">
        <v>79</v>
      </c>
      <c r="M41" s="128">
        <v>3787814.85</v>
      </c>
      <c r="N41" s="128">
        <v>9425.93</v>
      </c>
      <c r="O41" s="128">
        <v>11</v>
      </c>
      <c r="P41" s="128">
        <v>3104946.7600000002</v>
      </c>
      <c r="Q41" s="128">
        <v>5866.08</v>
      </c>
      <c r="R41" s="128">
        <v>2</v>
      </c>
      <c r="S41" s="128">
        <v>28927.989999999998</v>
      </c>
      <c r="T41" s="87"/>
      <c r="U41" s="128">
        <v>59</v>
      </c>
      <c r="V41" s="128">
        <v>8738.16</v>
      </c>
      <c r="W41" s="128">
        <v>22.67</v>
      </c>
      <c r="X41" s="128">
        <v>126</v>
      </c>
      <c r="Y41" s="128">
        <v>87092.29</v>
      </c>
      <c r="Z41" s="128">
        <v>273.66000000000003</v>
      </c>
      <c r="AA41" s="128">
        <v>1</v>
      </c>
      <c r="AB41"/>
      <c r="AC41" s="130">
        <f t="shared" si="0"/>
        <v>6864</v>
      </c>
      <c r="AD41"/>
      <c r="AE41" s="128"/>
      <c r="AF41" s="128"/>
      <c r="AG41" s="128"/>
      <c r="AI41" s="128">
        <v>5682925.5899999999</v>
      </c>
      <c r="AJ41" s="128">
        <v>12634.41</v>
      </c>
    </row>
    <row r="42" spans="1:36" x14ac:dyDescent="0.2">
      <c r="A42" s="82">
        <v>2014</v>
      </c>
      <c r="B42" s="83" t="s">
        <v>83</v>
      </c>
      <c r="C42" s="86"/>
      <c r="D42" s="128">
        <v>17172508.619147401</v>
      </c>
      <c r="E42" s="128">
        <v>35017.25</v>
      </c>
      <c r="F42" s="128">
        <v>4441328.9800000032</v>
      </c>
      <c r="G42" s="128">
        <v>6149</v>
      </c>
      <c r="H42" s="128">
        <v>1890335.900000002</v>
      </c>
      <c r="I42" s="128">
        <v>628</v>
      </c>
      <c r="J42" s="128">
        <v>3471940.1900000004</v>
      </c>
      <c r="K42" s="128">
        <v>10349.509999999997</v>
      </c>
      <c r="L42" s="128">
        <v>79</v>
      </c>
      <c r="M42" s="128">
        <v>3929445.6400000006</v>
      </c>
      <c r="N42" s="128">
        <v>9743.26</v>
      </c>
      <c r="O42" s="128">
        <v>11</v>
      </c>
      <c r="P42" s="128">
        <v>2943110.2</v>
      </c>
      <c r="Q42" s="128">
        <v>5543.2</v>
      </c>
      <c r="R42" s="128">
        <v>2</v>
      </c>
      <c r="S42" s="128">
        <v>32498.650000000005</v>
      </c>
      <c r="T42" s="87"/>
      <c r="U42" s="128">
        <v>59</v>
      </c>
      <c r="V42" s="128">
        <v>9037.3700000000008</v>
      </c>
      <c r="W42" s="128">
        <v>24.670000000000009</v>
      </c>
      <c r="X42" s="128">
        <v>124</v>
      </c>
      <c r="Y42" s="128">
        <v>91821.97</v>
      </c>
      <c r="Z42" s="128">
        <v>348.52</v>
      </c>
      <c r="AA42" s="128">
        <v>1</v>
      </c>
      <c r="AB42"/>
      <c r="AC42" s="130">
        <f t="shared" si="0"/>
        <v>6870</v>
      </c>
      <c r="AD42"/>
      <c r="AE42" s="128"/>
      <c r="AF42" s="128"/>
      <c r="AG42" s="128"/>
      <c r="AI42" s="128">
        <v>5695803.3900000006</v>
      </c>
      <c r="AJ42" s="128">
        <v>12750.880000000001</v>
      </c>
    </row>
    <row r="43" spans="1:36" x14ac:dyDescent="0.2">
      <c r="A43" s="82">
        <v>2014</v>
      </c>
      <c r="B43" s="83" t="s">
        <v>84</v>
      </c>
      <c r="C43" s="86"/>
      <c r="D43" s="128">
        <v>17464591.131454099</v>
      </c>
      <c r="E43" s="128">
        <v>92196.03</v>
      </c>
      <c r="F43" s="128">
        <v>4265749.3300000038</v>
      </c>
      <c r="G43" s="128">
        <v>6153</v>
      </c>
      <c r="H43" s="128">
        <v>1831405.369999998</v>
      </c>
      <c r="I43" s="128">
        <v>632</v>
      </c>
      <c r="J43" s="128">
        <v>3429223.1899999995</v>
      </c>
      <c r="K43" s="128">
        <v>10833.789999999997</v>
      </c>
      <c r="L43" s="128">
        <v>79</v>
      </c>
      <c r="M43" s="128">
        <v>4177143.89</v>
      </c>
      <c r="N43" s="128">
        <v>9799.7500000000018</v>
      </c>
      <c r="O43" s="128">
        <v>11</v>
      </c>
      <c r="P43" s="128">
        <v>3102925.6</v>
      </c>
      <c r="Q43" s="128">
        <v>5672.32</v>
      </c>
      <c r="R43" s="128">
        <v>2</v>
      </c>
      <c r="S43" s="128">
        <v>34599.18</v>
      </c>
      <c r="T43" s="87"/>
      <c r="U43" s="128">
        <v>59</v>
      </c>
      <c r="V43" s="128">
        <v>9037.369999999999</v>
      </c>
      <c r="W43" s="128">
        <v>25.770000000000003</v>
      </c>
      <c r="X43" s="128">
        <v>124</v>
      </c>
      <c r="Y43" s="128">
        <v>104194.64</v>
      </c>
      <c r="Z43" s="128">
        <v>339.15999999999997</v>
      </c>
      <c r="AA43" s="128">
        <v>1</v>
      </c>
      <c r="AB43"/>
      <c r="AC43" s="130">
        <f t="shared" si="0"/>
        <v>6878</v>
      </c>
      <c r="AD43"/>
      <c r="AE43" s="128"/>
      <c r="AF43" s="128"/>
      <c r="AG43" s="128"/>
      <c r="AI43" s="128">
        <v>6009088.5</v>
      </c>
      <c r="AJ43" s="128">
        <v>12827.13</v>
      </c>
    </row>
    <row r="44" spans="1:36" x14ac:dyDescent="0.2">
      <c r="A44" s="82">
        <v>2014</v>
      </c>
      <c r="B44" s="83" t="s">
        <v>85</v>
      </c>
      <c r="C44" s="86"/>
      <c r="D44" s="128">
        <v>16494037.3646926</v>
      </c>
      <c r="E44" s="128">
        <v>132131.48000000001</v>
      </c>
      <c r="F44" s="128">
        <v>3731446.629999978</v>
      </c>
      <c r="G44" s="128">
        <v>6164</v>
      </c>
      <c r="H44" s="128">
        <v>1663735.1399999959</v>
      </c>
      <c r="I44" s="128">
        <v>631</v>
      </c>
      <c r="J44" s="128">
        <v>3472848.830000001</v>
      </c>
      <c r="K44" s="128">
        <v>10813.269999999993</v>
      </c>
      <c r="L44" s="128">
        <v>80</v>
      </c>
      <c r="M44" s="128">
        <v>3970646.96</v>
      </c>
      <c r="N44" s="128">
        <v>9419.06</v>
      </c>
      <c r="O44" s="128">
        <v>10</v>
      </c>
      <c r="P44" s="128">
        <v>3150678.8</v>
      </c>
      <c r="Q44" s="128">
        <v>5621.28</v>
      </c>
      <c r="R44" s="128">
        <v>2</v>
      </c>
      <c r="S44" s="128">
        <v>32668.059999999994</v>
      </c>
      <c r="T44" s="87"/>
      <c r="U44" s="128">
        <v>59</v>
      </c>
      <c r="V44" s="128">
        <v>8745.840000000002</v>
      </c>
      <c r="W44" s="128">
        <v>24.269999999999996</v>
      </c>
      <c r="X44" s="128">
        <v>124</v>
      </c>
      <c r="Y44" s="128">
        <v>111962.8</v>
      </c>
      <c r="Z44" s="128">
        <v>309.64999999999998</v>
      </c>
      <c r="AA44" s="128">
        <v>1</v>
      </c>
      <c r="AB44"/>
      <c r="AC44" s="130">
        <f t="shared" si="0"/>
        <v>6888</v>
      </c>
      <c r="AD44"/>
      <c r="AE44" s="128"/>
      <c r="AF44" s="128"/>
      <c r="AG44" s="128"/>
      <c r="AI44" s="128">
        <v>5959504.04</v>
      </c>
      <c r="AJ44" s="128">
        <v>12646.900000000001</v>
      </c>
    </row>
    <row r="45" spans="1:36" x14ac:dyDescent="0.2">
      <c r="A45" s="82">
        <v>2014</v>
      </c>
      <c r="B45" s="83" t="s">
        <v>86</v>
      </c>
      <c r="C45" s="86"/>
      <c r="D45" s="128">
        <v>16323745.332645901</v>
      </c>
      <c r="E45" s="128">
        <v>118902.48</v>
      </c>
      <c r="F45" s="128">
        <v>3546933.130000026</v>
      </c>
      <c r="G45" s="128">
        <v>6169</v>
      </c>
      <c r="H45" s="128">
        <v>1637580.5400000028</v>
      </c>
      <c r="I45" s="128">
        <v>630</v>
      </c>
      <c r="J45" s="128">
        <v>3520495.1900000009</v>
      </c>
      <c r="K45" s="128">
        <v>10539.819999999998</v>
      </c>
      <c r="L45" s="128">
        <v>80</v>
      </c>
      <c r="M45" s="128">
        <v>3777409.91</v>
      </c>
      <c r="N45" s="128">
        <v>8572.2800000000007</v>
      </c>
      <c r="O45" s="128">
        <v>10</v>
      </c>
      <c r="P45" s="128">
        <v>3269695.04</v>
      </c>
      <c r="Q45" s="128">
        <v>5782.88</v>
      </c>
      <c r="R45" s="128">
        <v>2</v>
      </c>
      <c r="S45" s="128">
        <v>33955.69</v>
      </c>
      <c r="T45" s="87"/>
      <c r="U45" s="128">
        <v>59</v>
      </c>
      <c r="V45" s="128">
        <v>9037.369999999999</v>
      </c>
      <c r="W45" s="128">
        <v>25.049999999999997</v>
      </c>
      <c r="X45" s="128">
        <v>124</v>
      </c>
      <c r="Y45" s="128">
        <v>130831.40999999999</v>
      </c>
      <c r="Z45" s="128">
        <v>331.02</v>
      </c>
      <c r="AA45" s="128">
        <v>1</v>
      </c>
      <c r="AB45"/>
      <c r="AC45" s="130">
        <f t="shared" si="0"/>
        <v>6892</v>
      </c>
      <c r="AD45"/>
      <c r="AE45" s="128"/>
      <c r="AF45" s="128"/>
      <c r="AG45" s="128"/>
      <c r="AI45" s="128">
        <v>6072341.5200000005</v>
      </c>
      <c r="AJ45" s="128">
        <v>12318.04</v>
      </c>
    </row>
    <row r="46" spans="1:36" x14ac:dyDescent="0.2">
      <c r="A46" s="82">
        <v>2014</v>
      </c>
      <c r="B46" s="83" t="s">
        <v>87</v>
      </c>
      <c r="C46" s="86"/>
      <c r="D46" s="128">
        <v>16439064.630017299</v>
      </c>
      <c r="E46" s="128">
        <v>111854.87</v>
      </c>
      <c r="F46" s="128">
        <v>4012620.699999989</v>
      </c>
      <c r="G46" s="128">
        <v>6173</v>
      </c>
      <c r="H46" s="128">
        <v>1773162.1100000003</v>
      </c>
      <c r="I46" s="128">
        <v>631</v>
      </c>
      <c r="J46" s="128">
        <v>3502006.669999999</v>
      </c>
      <c r="K46" s="128">
        <v>10714.550000000001</v>
      </c>
      <c r="L46" s="128">
        <v>80</v>
      </c>
      <c r="M46" s="128">
        <v>3475559.3299999996</v>
      </c>
      <c r="N46" s="128">
        <v>8299.67</v>
      </c>
      <c r="O46" s="128">
        <v>10</v>
      </c>
      <c r="P46" s="128">
        <v>3063106.7600000002</v>
      </c>
      <c r="Q46" s="128">
        <v>5627.2</v>
      </c>
      <c r="R46" s="128">
        <v>2</v>
      </c>
      <c r="S46" s="128">
        <v>34194.93</v>
      </c>
      <c r="T46" s="87"/>
      <c r="U46" s="128">
        <v>59</v>
      </c>
      <c r="V46" s="128">
        <v>9347.380000000001</v>
      </c>
      <c r="W46" s="128">
        <v>27.490000000000002</v>
      </c>
      <c r="X46" s="128">
        <v>124</v>
      </c>
      <c r="Y46" s="128">
        <v>138259.51999999999</v>
      </c>
      <c r="Z46" s="128">
        <v>326.14999999999998</v>
      </c>
      <c r="AA46" s="128">
        <v>1</v>
      </c>
      <c r="AB46"/>
      <c r="AC46" s="130">
        <f t="shared" si="0"/>
        <v>6897</v>
      </c>
      <c r="AD46"/>
      <c r="AE46" s="128"/>
      <c r="AF46" s="128"/>
      <c r="AG46" s="128"/>
      <c r="AI46" s="128">
        <v>5694233.8900000006</v>
      </c>
      <c r="AJ46" s="128">
        <v>12148.61</v>
      </c>
    </row>
    <row r="47" spans="1:36" x14ac:dyDescent="0.2">
      <c r="A47" s="82">
        <v>2014</v>
      </c>
      <c r="B47" s="83" t="s">
        <v>88</v>
      </c>
      <c r="C47" s="86"/>
      <c r="D47" s="128">
        <v>16217636.362502901</v>
      </c>
      <c r="E47" s="128">
        <v>48311.07</v>
      </c>
      <c r="F47" s="128">
        <v>4535463.2099999981</v>
      </c>
      <c r="G47" s="128">
        <v>6183</v>
      </c>
      <c r="H47" s="128">
        <v>1943512.549999998</v>
      </c>
      <c r="I47" s="128">
        <v>629</v>
      </c>
      <c r="J47" s="128">
        <v>3544833.2899999986</v>
      </c>
      <c r="K47" s="128">
        <v>10544.059999999996</v>
      </c>
      <c r="L47" s="128">
        <v>79</v>
      </c>
      <c r="M47" s="128">
        <v>3233263.6900000004</v>
      </c>
      <c r="N47" s="128">
        <v>8184.63</v>
      </c>
      <c r="O47" s="128">
        <v>10</v>
      </c>
      <c r="P47" s="128">
        <v>2482484.2000000002</v>
      </c>
      <c r="Q47" s="128">
        <v>5655.68</v>
      </c>
      <c r="R47" s="128">
        <v>2</v>
      </c>
      <c r="S47" s="128">
        <v>32465.480000000003</v>
      </c>
      <c r="T47" s="87"/>
      <c r="U47" s="128">
        <v>59</v>
      </c>
      <c r="V47" s="128">
        <v>10134.290000000001</v>
      </c>
      <c r="W47" s="128">
        <v>28.010000000000005</v>
      </c>
      <c r="X47" s="128">
        <v>124</v>
      </c>
      <c r="Y47" s="128">
        <v>149671.87</v>
      </c>
      <c r="Z47" s="128">
        <v>311.29000000000002</v>
      </c>
      <c r="AA47" s="128">
        <v>1</v>
      </c>
      <c r="AB47"/>
      <c r="AC47" s="130">
        <f t="shared" si="0"/>
        <v>6904</v>
      </c>
      <c r="AD47"/>
      <c r="AE47" s="128"/>
      <c r="AF47" s="128"/>
      <c r="AG47" s="128"/>
      <c r="AI47" s="128">
        <v>5000821.08</v>
      </c>
      <c r="AJ47" s="128">
        <v>12114.660000000002</v>
      </c>
    </row>
    <row r="48" spans="1:36" x14ac:dyDescent="0.2">
      <c r="A48" s="82">
        <v>2015</v>
      </c>
      <c r="B48" s="83" t="s">
        <v>78</v>
      </c>
      <c r="C48" s="86"/>
      <c r="D48" s="127">
        <v>17723115.783311199</v>
      </c>
      <c r="E48" s="127">
        <v>50373.66</v>
      </c>
      <c r="F48" s="127">
        <v>4695139.8099999661</v>
      </c>
      <c r="G48" s="127">
        <v>6182</v>
      </c>
      <c r="H48" s="127">
        <v>2037897.9599999983</v>
      </c>
      <c r="I48" s="127">
        <v>633</v>
      </c>
      <c r="J48" s="127">
        <v>3819072.810000001</v>
      </c>
      <c r="K48" s="127">
        <v>10588.13</v>
      </c>
      <c r="L48" s="127">
        <v>79</v>
      </c>
      <c r="M48" s="127">
        <v>3551711.27</v>
      </c>
      <c r="N48" s="127">
        <v>8233.4600000000009</v>
      </c>
      <c r="O48" s="127">
        <v>10</v>
      </c>
      <c r="P48" s="127">
        <v>2775397.6399999997</v>
      </c>
      <c r="Q48" s="127">
        <v>5612</v>
      </c>
      <c r="R48" s="127">
        <v>2</v>
      </c>
      <c r="S48" s="127">
        <v>30681.91</v>
      </c>
      <c r="T48" s="85"/>
      <c r="U48" s="127">
        <v>59</v>
      </c>
      <c r="V48" s="127">
        <v>9178.91</v>
      </c>
      <c r="W48" s="127">
        <v>24.699999999999996</v>
      </c>
      <c r="X48" s="127">
        <v>124</v>
      </c>
      <c r="Y48" s="127">
        <v>148676.06</v>
      </c>
      <c r="Z48" s="127">
        <v>329.90999999999997</v>
      </c>
      <c r="AA48" s="127">
        <v>1</v>
      </c>
      <c r="AB48"/>
      <c r="AC48" s="130">
        <f t="shared" si="0"/>
        <v>6907</v>
      </c>
      <c r="AD48"/>
      <c r="AE48" s="127"/>
      <c r="AF48" s="127"/>
      <c r="AG48" s="127"/>
      <c r="AI48" s="127">
        <v>5574493.3899999997</v>
      </c>
      <c r="AJ48" s="127">
        <v>12253.21</v>
      </c>
    </row>
    <row r="49" spans="1:36" x14ac:dyDescent="0.2">
      <c r="A49" s="82">
        <v>2015</v>
      </c>
      <c r="B49" s="83" t="s">
        <v>79</v>
      </c>
      <c r="C49" s="86"/>
      <c r="D49" s="128">
        <v>16726909.162339199</v>
      </c>
      <c r="E49" s="128">
        <v>23402.92</v>
      </c>
      <c r="F49" s="128">
        <v>4274784.3600000171</v>
      </c>
      <c r="G49" s="128">
        <v>6185</v>
      </c>
      <c r="H49" s="128">
        <v>1924391.1200000027</v>
      </c>
      <c r="I49" s="128">
        <v>630</v>
      </c>
      <c r="J49" s="128">
        <v>3620665.6799999992</v>
      </c>
      <c r="K49" s="128">
        <v>10826.78</v>
      </c>
      <c r="L49" s="128">
        <v>79</v>
      </c>
      <c r="M49" s="128">
        <v>3240281.38</v>
      </c>
      <c r="N49" s="128">
        <v>8319.630000000001</v>
      </c>
      <c r="O49" s="128">
        <v>10</v>
      </c>
      <c r="P49" s="128">
        <v>2837396.48</v>
      </c>
      <c r="Q49" s="128">
        <v>5629.12</v>
      </c>
      <c r="R49" s="128">
        <v>2</v>
      </c>
      <c r="S49" s="128">
        <v>29243.62</v>
      </c>
      <c r="T49" s="87"/>
      <c r="U49" s="128">
        <v>59</v>
      </c>
      <c r="V49" s="128">
        <v>8160.5400000000009</v>
      </c>
      <c r="W49" s="128">
        <v>23.060000000000002</v>
      </c>
      <c r="X49" s="128">
        <v>125</v>
      </c>
      <c r="Y49" s="128">
        <v>132644.87</v>
      </c>
      <c r="Z49" s="128">
        <v>300.34999999999997</v>
      </c>
      <c r="AA49" s="128">
        <v>1</v>
      </c>
      <c r="AB49"/>
      <c r="AC49" s="130">
        <f t="shared" si="0"/>
        <v>6907</v>
      </c>
      <c r="AD49"/>
      <c r="AE49" s="128"/>
      <c r="AF49" s="128"/>
      <c r="AG49" s="128"/>
      <c r="AI49" s="128">
        <v>5378926.1800000006</v>
      </c>
      <c r="AJ49" s="128">
        <v>12201.01</v>
      </c>
    </row>
    <row r="50" spans="1:36" x14ac:dyDescent="0.2">
      <c r="A50" s="82">
        <v>2015</v>
      </c>
      <c r="B50" s="83" t="s">
        <v>80</v>
      </c>
      <c r="C50" s="86"/>
      <c r="D50" s="128">
        <v>17336606.376991</v>
      </c>
      <c r="E50" s="128">
        <v>131340</v>
      </c>
      <c r="F50" s="128">
        <v>4123564.6899999985</v>
      </c>
      <c r="G50" s="128">
        <v>6190</v>
      </c>
      <c r="H50" s="128">
        <v>1925951.4100000001</v>
      </c>
      <c r="I50" s="128">
        <v>635</v>
      </c>
      <c r="J50" s="128">
        <v>3798796.98</v>
      </c>
      <c r="K50" s="128">
        <v>10779.610000000002</v>
      </c>
      <c r="L50" s="128">
        <v>79</v>
      </c>
      <c r="M50" s="128">
        <v>3716589.4899999998</v>
      </c>
      <c r="N50" s="128">
        <v>8528.2300000000014</v>
      </c>
      <c r="O50" s="128">
        <v>10</v>
      </c>
      <c r="P50" s="128">
        <v>3256216.5200000005</v>
      </c>
      <c r="Q50" s="128">
        <v>5737.4400000000005</v>
      </c>
      <c r="R50" s="128">
        <v>2</v>
      </c>
      <c r="S50" s="128">
        <v>36533.78</v>
      </c>
      <c r="T50" s="87"/>
      <c r="U50" s="128">
        <v>59</v>
      </c>
      <c r="V50" s="128">
        <v>9030.73</v>
      </c>
      <c r="W50" s="128">
        <v>25.939999999999998</v>
      </c>
      <c r="X50" s="128">
        <v>124</v>
      </c>
      <c r="Y50" s="128">
        <v>123300.95999999999</v>
      </c>
      <c r="Z50" s="128">
        <v>353.67</v>
      </c>
      <c r="AA50" s="128">
        <v>1</v>
      </c>
      <c r="AB50"/>
      <c r="AC50" s="130">
        <f t="shared" si="0"/>
        <v>6917</v>
      </c>
      <c r="AD50"/>
      <c r="AE50" s="128"/>
      <c r="AF50" s="128"/>
      <c r="AG50" s="128"/>
      <c r="AI50" s="128">
        <v>6124670.9100000001</v>
      </c>
      <c r="AJ50" s="128">
        <v>12510.41</v>
      </c>
    </row>
    <row r="51" spans="1:36" x14ac:dyDescent="0.2">
      <c r="A51" s="82">
        <v>2015</v>
      </c>
      <c r="B51" s="83" t="s">
        <v>81</v>
      </c>
      <c r="C51" s="86"/>
      <c r="D51" s="128">
        <v>15431602.3445752</v>
      </c>
      <c r="E51" s="128">
        <v>188838.86</v>
      </c>
      <c r="F51" s="128">
        <v>3537708.0300000045</v>
      </c>
      <c r="G51" s="128">
        <v>6194</v>
      </c>
      <c r="H51" s="128">
        <v>1686666.4800000007</v>
      </c>
      <c r="I51" s="128">
        <v>631</v>
      </c>
      <c r="J51" s="128">
        <v>3384965.1000000006</v>
      </c>
      <c r="K51" s="128">
        <v>10577.369999999999</v>
      </c>
      <c r="L51" s="128">
        <v>79</v>
      </c>
      <c r="M51" s="128">
        <v>3527505.4499999997</v>
      </c>
      <c r="N51" s="128">
        <v>8348.1299999999992</v>
      </c>
      <c r="O51" s="128">
        <v>10</v>
      </c>
      <c r="P51" s="128">
        <v>2983757.04</v>
      </c>
      <c r="Q51" s="128">
        <v>5737.15</v>
      </c>
      <c r="R51" s="128">
        <v>2</v>
      </c>
      <c r="S51" s="128">
        <v>31811.719999999998</v>
      </c>
      <c r="T51" s="87"/>
      <c r="U51" s="128">
        <v>60</v>
      </c>
      <c r="V51" s="128">
        <v>8998.5600000000013</v>
      </c>
      <c r="W51" s="128">
        <v>23.97</v>
      </c>
      <c r="X51" s="128">
        <v>124</v>
      </c>
      <c r="Y51" s="128">
        <v>107069.81999999999</v>
      </c>
      <c r="Z51" s="128">
        <v>294.25000000000006</v>
      </c>
      <c r="AA51" s="128">
        <v>1</v>
      </c>
      <c r="AB51"/>
      <c r="AC51" s="130">
        <f t="shared" si="0"/>
        <v>6917</v>
      </c>
      <c r="AD51"/>
      <c r="AE51" s="128"/>
      <c r="AF51" s="128"/>
      <c r="AG51" s="128"/>
      <c r="AI51" s="128">
        <v>5681164.0099999998</v>
      </c>
      <c r="AJ51" s="128">
        <v>12315.23</v>
      </c>
    </row>
    <row r="52" spans="1:36" x14ac:dyDescent="0.2">
      <c r="A52" s="82">
        <v>2015</v>
      </c>
      <c r="B52" s="83" t="s">
        <v>52</v>
      </c>
      <c r="C52" s="86"/>
      <c r="D52" s="128">
        <v>15714580.900030101</v>
      </c>
      <c r="E52" s="128">
        <v>234490.39</v>
      </c>
      <c r="F52" s="128">
        <v>3656146.6399999973</v>
      </c>
      <c r="G52" s="128">
        <v>6200</v>
      </c>
      <c r="H52" s="128">
        <v>1712420.3199999998</v>
      </c>
      <c r="I52" s="128">
        <v>634</v>
      </c>
      <c r="J52" s="128">
        <v>3463271.2499999991</v>
      </c>
      <c r="K52" s="128">
        <v>11495.159999999998</v>
      </c>
      <c r="L52" s="128">
        <v>79</v>
      </c>
      <c r="M52" s="128">
        <v>3624782.2500000005</v>
      </c>
      <c r="N52" s="128">
        <v>8754.2799999999988</v>
      </c>
      <c r="O52" s="128">
        <v>10</v>
      </c>
      <c r="P52" s="128">
        <v>3158199.88</v>
      </c>
      <c r="Q52" s="128">
        <v>5727.4699999999993</v>
      </c>
      <c r="R52" s="128">
        <v>2</v>
      </c>
      <c r="S52" s="128">
        <v>37784.219999999994</v>
      </c>
      <c r="T52" s="87"/>
      <c r="U52" s="128">
        <v>60</v>
      </c>
      <c r="V52" s="128">
        <v>11282.570000000003</v>
      </c>
      <c r="W52" s="128">
        <v>28.130000000000003</v>
      </c>
      <c r="X52" s="128">
        <v>124</v>
      </c>
      <c r="Y52" s="128">
        <v>96938.49</v>
      </c>
      <c r="Z52" s="128">
        <v>331.85</v>
      </c>
      <c r="AA52" s="128">
        <v>1</v>
      </c>
      <c r="AB52"/>
      <c r="AC52" s="130">
        <f t="shared" si="0"/>
        <v>6926</v>
      </c>
      <c r="AD52"/>
      <c r="AE52" s="128"/>
      <c r="AF52" s="128"/>
      <c r="AG52" s="128"/>
      <c r="AI52" s="128">
        <v>5861463.4000000004</v>
      </c>
      <c r="AJ52" s="128">
        <v>12470.940000000002</v>
      </c>
    </row>
    <row r="53" spans="1:36" x14ac:dyDescent="0.2">
      <c r="A53" s="82">
        <v>2015</v>
      </c>
      <c r="B53" s="83" t="s">
        <v>82</v>
      </c>
      <c r="C53" s="86"/>
      <c r="D53" s="128">
        <v>16466478.565145399</v>
      </c>
      <c r="E53" s="128">
        <v>216211.88</v>
      </c>
      <c r="F53" s="128">
        <v>3935900.3399999961</v>
      </c>
      <c r="G53" s="128">
        <v>6202</v>
      </c>
      <c r="H53" s="128">
        <v>1762963.579999998</v>
      </c>
      <c r="I53" s="128">
        <v>636</v>
      </c>
      <c r="J53" s="128">
        <v>3546221.68</v>
      </c>
      <c r="K53" s="128">
        <v>11402.939999999999</v>
      </c>
      <c r="L53" s="128">
        <v>79</v>
      </c>
      <c r="M53" s="128">
        <v>3799701.67</v>
      </c>
      <c r="N53" s="128">
        <v>8919.57</v>
      </c>
      <c r="O53" s="128">
        <v>10</v>
      </c>
      <c r="P53" s="128">
        <v>3005670.84</v>
      </c>
      <c r="Q53" s="128">
        <v>5822.57</v>
      </c>
      <c r="R53" s="128">
        <v>2</v>
      </c>
      <c r="S53" s="128">
        <v>26689.610000000004</v>
      </c>
      <c r="T53" s="87"/>
      <c r="U53" s="128">
        <v>60</v>
      </c>
      <c r="V53" s="128">
        <v>8738.64</v>
      </c>
      <c r="W53" s="128">
        <v>21.340000000000003</v>
      </c>
      <c r="X53" s="128">
        <v>124</v>
      </c>
      <c r="Y53" s="128">
        <v>87434.36</v>
      </c>
      <c r="Z53" s="128">
        <v>273.66000000000003</v>
      </c>
      <c r="AA53" s="128">
        <v>1</v>
      </c>
      <c r="AB53"/>
      <c r="AC53" s="130">
        <f t="shared" si="0"/>
        <v>6930</v>
      </c>
      <c r="AD53"/>
      <c r="AE53" s="128"/>
      <c r="AF53" s="128"/>
      <c r="AG53" s="128"/>
      <c r="AI53" s="128">
        <v>5765815.9900000002</v>
      </c>
      <c r="AJ53" s="128">
        <v>12584.58</v>
      </c>
    </row>
    <row r="54" spans="1:36" x14ac:dyDescent="0.2">
      <c r="A54" s="82">
        <v>2015</v>
      </c>
      <c r="B54" s="83" t="s">
        <v>83</v>
      </c>
      <c r="C54" s="86"/>
      <c r="D54" s="128">
        <v>17832468.7705051</v>
      </c>
      <c r="E54" s="128">
        <v>236496.12</v>
      </c>
      <c r="F54" s="128">
        <v>4680090.2299999828</v>
      </c>
      <c r="G54" s="128">
        <v>6202</v>
      </c>
      <c r="H54" s="128">
        <v>1907170.04</v>
      </c>
      <c r="I54" s="128">
        <v>635</v>
      </c>
      <c r="J54" s="128">
        <v>3600214.8199999984</v>
      </c>
      <c r="K54" s="128">
        <v>11132.81</v>
      </c>
      <c r="L54" s="128">
        <v>80</v>
      </c>
      <c r="M54" s="128">
        <v>3690877.3899999997</v>
      </c>
      <c r="N54" s="128">
        <v>9369</v>
      </c>
      <c r="O54" s="128">
        <v>10</v>
      </c>
      <c r="P54" s="128">
        <v>3166679.56</v>
      </c>
      <c r="Q54" s="128">
        <v>6191.52</v>
      </c>
      <c r="R54" s="128">
        <v>2</v>
      </c>
      <c r="S54" s="128">
        <v>31727.78</v>
      </c>
      <c r="T54" s="87"/>
      <c r="U54" s="128">
        <v>60</v>
      </c>
      <c r="V54" s="128">
        <v>9029.93</v>
      </c>
      <c r="W54" s="128">
        <v>23.559999999999995</v>
      </c>
      <c r="X54" s="128">
        <v>124</v>
      </c>
      <c r="Y54" s="128">
        <v>91470.93</v>
      </c>
      <c r="Z54" s="128">
        <v>319.27</v>
      </c>
      <c r="AA54" s="128">
        <v>1</v>
      </c>
      <c r="AB54"/>
      <c r="AC54" s="130">
        <f t="shared" si="0"/>
        <v>6930</v>
      </c>
      <c r="AD54"/>
      <c r="AE54" s="128"/>
      <c r="AF54" s="128"/>
      <c r="AG54" s="128"/>
      <c r="AI54" s="128">
        <v>6030814.7800000003</v>
      </c>
      <c r="AJ54" s="128">
        <v>13345.68</v>
      </c>
    </row>
    <row r="55" spans="1:36" x14ac:dyDescent="0.2">
      <c r="A55" s="82">
        <v>2015</v>
      </c>
      <c r="B55" s="83" t="s">
        <v>84</v>
      </c>
      <c r="C55" s="86"/>
      <c r="D55" s="128">
        <v>17689334.808662601</v>
      </c>
      <c r="E55" s="128">
        <v>224002.43</v>
      </c>
      <c r="F55" s="128">
        <v>4797702.5799999861</v>
      </c>
      <c r="G55" s="128">
        <v>6204</v>
      </c>
      <c r="H55" s="128">
        <v>1963632.5699999991</v>
      </c>
      <c r="I55" s="128">
        <v>634</v>
      </c>
      <c r="J55" s="128">
        <v>3708371.2100000014</v>
      </c>
      <c r="K55" s="128">
        <v>11822.209999999995</v>
      </c>
      <c r="L55" s="128">
        <v>80</v>
      </c>
      <c r="M55" s="128">
        <v>3914746.11</v>
      </c>
      <c r="N55" s="128">
        <v>9172.51</v>
      </c>
      <c r="O55" s="128">
        <v>10</v>
      </c>
      <c r="P55" s="128">
        <v>3191882.2399999998</v>
      </c>
      <c r="Q55" s="128">
        <v>6200.1</v>
      </c>
      <c r="R55" s="128">
        <v>2</v>
      </c>
      <c r="S55" s="128">
        <v>32838.099999999991</v>
      </c>
      <c r="T55" s="87"/>
      <c r="U55" s="128">
        <v>60</v>
      </c>
      <c r="V55" s="128">
        <v>9029.92</v>
      </c>
      <c r="W55" s="128">
        <v>25.04999999999999</v>
      </c>
      <c r="X55" s="128">
        <v>124</v>
      </c>
      <c r="Y55" s="128">
        <v>103523.45</v>
      </c>
      <c r="Z55" s="128">
        <v>319.27</v>
      </c>
      <c r="AA55" s="128">
        <v>1</v>
      </c>
      <c r="AB55"/>
      <c r="AC55" s="130">
        <f t="shared" si="0"/>
        <v>6931</v>
      </c>
      <c r="AD55"/>
      <c r="AE55" s="128"/>
      <c r="AF55" s="128"/>
      <c r="AG55" s="128"/>
      <c r="AI55" s="128">
        <v>6085921.5</v>
      </c>
      <c r="AJ55" s="128">
        <v>13328.890000000001</v>
      </c>
    </row>
    <row r="56" spans="1:36" x14ac:dyDescent="0.2">
      <c r="A56" s="82">
        <v>2015</v>
      </c>
      <c r="B56" s="83" t="s">
        <v>85</v>
      </c>
      <c r="C56" s="86"/>
      <c r="D56" s="128">
        <v>16970033.974765901</v>
      </c>
      <c r="E56" s="128">
        <v>187769.36</v>
      </c>
      <c r="F56" s="128">
        <v>4028041.5599999945</v>
      </c>
      <c r="G56" s="128">
        <v>6212</v>
      </c>
      <c r="H56" s="128">
        <v>1732582.709999999</v>
      </c>
      <c r="I56" s="128">
        <v>634</v>
      </c>
      <c r="J56" s="128">
        <v>3532410.75</v>
      </c>
      <c r="K56" s="128">
        <v>11894.63</v>
      </c>
      <c r="L56" s="128">
        <v>80</v>
      </c>
      <c r="M56" s="128">
        <v>3823911.58</v>
      </c>
      <c r="N56" s="128">
        <v>9518.1799999999985</v>
      </c>
      <c r="O56" s="128">
        <v>10</v>
      </c>
      <c r="P56" s="128">
        <v>3067332.24</v>
      </c>
      <c r="Q56" s="128">
        <v>5920.34</v>
      </c>
      <c r="R56" s="128">
        <v>2</v>
      </c>
      <c r="S56" s="128">
        <v>32358.910000000003</v>
      </c>
      <c r="T56" s="87"/>
      <c r="U56" s="128">
        <v>60</v>
      </c>
      <c r="V56" s="128">
        <v>8738.6400000000031</v>
      </c>
      <c r="W56" s="128">
        <v>23.829999999999991</v>
      </c>
      <c r="X56" s="128">
        <v>124</v>
      </c>
      <c r="Y56" s="128">
        <v>112143.52</v>
      </c>
      <c r="Z56" s="128">
        <v>319.27</v>
      </c>
      <c r="AA56" s="128">
        <v>1</v>
      </c>
      <c r="AB56"/>
      <c r="AC56" s="130">
        <f t="shared" si="0"/>
        <v>6939</v>
      </c>
      <c r="AD56"/>
      <c r="AE56" s="128"/>
      <c r="AF56" s="128"/>
      <c r="AG56" s="128"/>
      <c r="AI56" s="128">
        <v>5859498.0800000001</v>
      </c>
      <c r="AJ56" s="128">
        <v>13205.539999999999</v>
      </c>
    </row>
    <row r="57" spans="1:36" x14ac:dyDescent="0.2">
      <c r="A57" s="82">
        <v>2015</v>
      </c>
      <c r="B57" s="83" t="s">
        <v>86</v>
      </c>
      <c r="C57" s="86"/>
      <c r="D57" s="128">
        <v>15849535.585155601</v>
      </c>
      <c r="E57" s="128">
        <v>130211.77</v>
      </c>
      <c r="F57" s="128">
        <v>3542901.6800000225</v>
      </c>
      <c r="G57" s="128">
        <v>6220</v>
      </c>
      <c r="H57" s="128">
        <v>1631935.7400000012</v>
      </c>
      <c r="I57" s="128">
        <v>635</v>
      </c>
      <c r="J57" s="128">
        <v>3546711.65</v>
      </c>
      <c r="K57" s="128">
        <v>11199.719999999998</v>
      </c>
      <c r="L57" s="128">
        <v>80</v>
      </c>
      <c r="M57" s="128">
        <v>3535831.24</v>
      </c>
      <c r="N57" s="128">
        <v>8372.26</v>
      </c>
      <c r="O57" s="128">
        <v>10</v>
      </c>
      <c r="P57" s="128">
        <v>3116402.4800000004</v>
      </c>
      <c r="Q57" s="128">
        <v>5873.75</v>
      </c>
      <c r="R57" s="128">
        <v>2</v>
      </c>
      <c r="S57" s="128">
        <v>33349.020000000004</v>
      </c>
      <c r="T57" s="87"/>
      <c r="U57" s="128">
        <v>60</v>
      </c>
      <c r="V57" s="128">
        <v>9029.93</v>
      </c>
      <c r="W57" s="128">
        <v>24.770000000000003</v>
      </c>
      <c r="X57" s="128">
        <v>124</v>
      </c>
      <c r="Y57" s="128">
        <v>130661.32</v>
      </c>
      <c r="Z57" s="128">
        <v>319.27</v>
      </c>
      <c r="AA57" s="128">
        <v>1</v>
      </c>
      <c r="AB57"/>
      <c r="AC57" s="130">
        <f t="shared" si="0"/>
        <v>6948</v>
      </c>
      <c r="AD57"/>
      <c r="AE57" s="128"/>
      <c r="AF57" s="128"/>
      <c r="AG57" s="128"/>
      <c r="AI57" s="128">
        <v>5774698.4700000007</v>
      </c>
      <c r="AJ57" s="128">
        <v>12403.54</v>
      </c>
    </row>
    <row r="58" spans="1:36" x14ac:dyDescent="0.2">
      <c r="A58" s="82">
        <v>2015</v>
      </c>
      <c r="B58" s="83" t="s">
        <v>87</v>
      </c>
      <c r="C58" s="86"/>
      <c r="D58" s="128">
        <v>15784734.9306246</v>
      </c>
      <c r="E58" s="128">
        <v>103572.1</v>
      </c>
      <c r="F58" s="128">
        <v>3617783.4499999997</v>
      </c>
      <c r="G58" s="128">
        <v>6228</v>
      </c>
      <c r="H58" s="128">
        <v>1625274.3500000006</v>
      </c>
      <c r="I58" s="128">
        <v>630</v>
      </c>
      <c r="J58" s="128">
        <v>3527888.4</v>
      </c>
      <c r="K58" s="128">
        <v>10856.439999999997</v>
      </c>
      <c r="L58" s="128">
        <v>80</v>
      </c>
      <c r="M58" s="128">
        <v>3490400.7700000005</v>
      </c>
      <c r="N58" s="128">
        <v>8181.5499999999993</v>
      </c>
      <c r="O58" s="128">
        <v>10</v>
      </c>
      <c r="P58" s="128">
        <v>2939661.24</v>
      </c>
      <c r="Q58" s="128">
        <v>5722.23</v>
      </c>
      <c r="R58" s="128">
        <v>2</v>
      </c>
      <c r="S58" s="128">
        <v>32492.949999999997</v>
      </c>
      <c r="T58" s="87"/>
      <c r="U58" s="128">
        <v>60</v>
      </c>
      <c r="V58" s="128">
        <v>9199.4499999999989</v>
      </c>
      <c r="W58" s="128">
        <v>26.79</v>
      </c>
      <c r="X58" s="128">
        <v>124</v>
      </c>
      <c r="Y58" s="128">
        <v>138483.51</v>
      </c>
      <c r="Z58" s="128">
        <v>319.27</v>
      </c>
      <c r="AA58" s="128">
        <v>1</v>
      </c>
      <c r="AB58"/>
      <c r="AC58" s="130">
        <f t="shared" si="0"/>
        <v>6951</v>
      </c>
      <c r="AD58"/>
      <c r="AE58" s="128"/>
      <c r="AF58" s="128"/>
      <c r="AG58" s="128"/>
      <c r="AI58" s="128">
        <v>5538739.5700000003</v>
      </c>
      <c r="AJ58" s="128">
        <v>12110.27</v>
      </c>
    </row>
    <row r="59" spans="1:36" x14ac:dyDescent="0.2">
      <c r="A59" s="82">
        <v>2015</v>
      </c>
      <c r="B59" s="83" t="s">
        <v>88</v>
      </c>
      <c r="C59" s="86"/>
      <c r="D59" s="128">
        <v>15614760.4172771</v>
      </c>
      <c r="E59" s="128">
        <v>39308.550000000003</v>
      </c>
      <c r="F59" s="128">
        <v>4217729.2200000202</v>
      </c>
      <c r="G59" s="128">
        <v>6235</v>
      </c>
      <c r="H59" s="128">
        <v>1749663.3200000005</v>
      </c>
      <c r="I59" s="128">
        <v>638</v>
      </c>
      <c r="J59" s="128">
        <v>3450080.5900000008</v>
      </c>
      <c r="K59" s="128">
        <v>11523.019999999997</v>
      </c>
      <c r="L59" s="128">
        <v>79</v>
      </c>
      <c r="M59" s="128">
        <v>3168435.9599999995</v>
      </c>
      <c r="N59" s="128">
        <v>8083.1</v>
      </c>
      <c r="O59" s="128">
        <v>10</v>
      </c>
      <c r="P59" s="128">
        <v>2447870.88</v>
      </c>
      <c r="Q59" s="128">
        <v>5780.2</v>
      </c>
      <c r="R59" s="128">
        <v>2</v>
      </c>
      <c r="S59" s="128">
        <v>32152.57</v>
      </c>
      <c r="T59" s="87"/>
      <c r="U59" s="128">
        <v>60</v>
      </c>
      <c r="V59" s="128">
        <v>10128.770000000002</v>
      </c>
      <c r="W59" s="128">
        <v>28.11</v>
      </c>
      <c r="X59" s="128">
        <v>124</v>
      </c>
      <c r="Y59" s="128">
        <v>150695.51999999999</v>
      </c>
      <c r="Z59" s="128">
        <v>319.27</v>
      </c>
      <c r="AA59" s="128">
        <v>1</v>
      </c>
      <c r="AB59"/>
      <c r="AC59" s="130">
        <f t="shared" si="0"/>
        <v>6965</v>
      </c>
      <c r="AD59"/>
      <c r="AE59" s="128"/>
      <c r="AF59" s="128"/>
      <c r="AG59" s="128"/>
      <c r="AI59" s="128">
        <v>4821444.07</v>
      </c>
      <c r="AJ59" s="128">
        <v>12052.56</v>
      </c>
    </row>
    <row r="60" spans="1:36" x14ac:dyDescent="0.2">
      <c r="A60" s="82">
        <v>2016</v>
      </c>
      <c r="B60" s="83" t="s">
        <v>78</v>
      </c>
      <c r="C60" s="86"/>
      <c r="D60" s="127">
        <v>17214578.510000002</v>
      </c>
      <c r="E60" s="127">
        <v>62079.97</v>
      </c>
      <c r="F60" s="127">
        <v>4397742.4300000183</v>
      </c>
      <c r="G60" s="127">
        <v>6244</v>
      </c>
      <c r="H60" s="127">
        <v>1888735.4900000005</v>
      </c>
      <c r="I60" s="127">
        <v>637</v>
      </c>
      <c r="J60" s="127">
        <v>3722105.9899999998</v>
      </c>
      <c r="K60" s="127">
        <v>12046.69</v>
      </c>
      <c r="L60" s="127">
        <v>79</v>
      </c>
      <c r="M60" s="127">
        <v>3623683.77</v>
      </c>
      <c r="N60" s="127">
        <v>8753.4599999999991</v>
      </c>
      <c r="O60" s="127">
        <v>10</v>
      </c>
      <c r="P60" s="127">
        <v>2887485.56</v>
      </c>
      <c r="Q60" s="127">
        <v>5844.63</v>
      </c>
      <c r="R60" s="127">
        <v>2</v>
      </c>
      <c r="S60" s="127">
        <v>30721.310000000005</v>
      </c>
      <c r="T60" s="85"/>
      <c r="U60" s="127">
        <v>60</v>
      </c>
      <c r="V60" s="127">
        <v>9136.27</v>
      </c>
      <c r="W60" s="127">
        <v>25.5</v>
      </c>
      <c r="X60" s="127">
        <v>124</v>
      </c>
      <c r="Y60" s="127">
        <v>148460.54999999999</v>
      </c>
      <c r="Z60" s="127">
        <v>319.27</v>
      </c>
      <c r="AA60" s="127">
        <v>1</v>
      </c>
      <c r="AB60"/>
      <c r="AC60" s="130">
        <f t="shared" si="0"/>
        <v>6973</v>
      </c>
      <c r="AD60"/>
      <c r="AE60" s="127"/>
      <c r="AF60" s="127"/>
      <c r="AG60" s="127"/>
      <c r="AI60" s="127">
        <v>5558872.7999999998</v>
      </c>
      <c r="AJ60" s="127">
        <v>12571.25</v>
      </c>
    </row>
    <row r="61" spans="1:36" x14ac:dyDescent="0.2">
      <c r="A61" s="82">
        <v>2016</v>
      </c>
      <c r="B61" s="83" t="s">
        <v>79</v>
      </c>
      <c r="C61" s="86"/>
      <c r="D61" s="128">
        <v>16327741.550000001</v>
      </c>
      <c r="E61" s="128">
        <v>71513.490000000005</v>
      </c>
      <c r="F61" s="128">
        <v>3933873.240000003</v>
      </c>
      <c r="G61" s="128">
        <v>6250</v>
      </c>
      <c r="H61" s="128">
        <v>1703905.6099999999</v>
      </c>
      <c r="I61" s="128">
        <v>634</v>
      </c>
      <c r="J61" s="128">
        <v>3723329.1099999989</v>
      </c>
      <c r="K61" s="128">
        <v>11203.300000000001</v>
      </c>
      <c r="L61" s="128">
        <v>79</v>
      </c>
      <c r="M61" s="128">
        <v>3366180.46</v>
      </c>
      <c r="N61" s="128">
        <v>8109.31</v>
      </c>
      <c r="O61" s="128">
        <v>10</v>
      </c>
      <c r="P61" s="128">
        <v>2979480.16</v>
      </c>
      <c r="Q61" s="128">
        <v>5930.29</v>
      </c>
      <c r="R61" s="128">
        <v>2</v>
      </c>
      <c r="S61" s="128">
        <v>33104.85</v>
      </c>
      <c r="T61" s="87"/>
      <c r="U61" s="128">
        <v>60</v>
      </c>
      <c r="V61" s="128">
        <v>8459.59</v>
      </c>
      <c r="W61" s="128">
        <v>23.97</v>
      </c>
      <c r="X61" s="128">
        <v>124</v>
      </c>
      <c r="Y61" s="128">
        <v>138882.45000000001</v>
      </c>
      <c r="Z61" s="128">
        <v>319.27</v>
      </c>
      <c r="AA61" s="128">
        <v>1</v>
      </c>
      <c r="AB61"/>
      <c r="AC61" s="130">
        <f t="shared" si="0"/>
        <v>6976</v>
      </c>
      <c r="AD61"/>
      <c r="AE61" s="128"/>
      <c r="AF61" s="128"/>
      <c r="AG61" s="128"/>
      <c r="AI61" s="128">
        <v>5518422.3099999996</v>
      </c>
      <c r="AJ61" s="128">
        <v>12295.18</v>
      </c>
    </row>
    <row r="62" spans="1:36" x14ac:dyDescent="0.2">
      <c r="A62" s="82">
        <v>2016</v>
      </c>
      <c r="B62" s="83" t="s">
        <v>80</v>
      </c>
      <c r="C62" s="86"/>
      <c r="D62" s="128">
        <v>16387708.84</v>
      </c>
      <c r="E62" s="128">
        <v>128194.3</v>
      </c>
      <c r="F62" s="128">
        <v>3845895.6700000078</v>
      </c>
      <c r="G62" s="128">
        <v>6256</v>
      </c>
      <c r="H62" s="128">
        <v>1726375.2499999988</v>
      </c>
      <c r="I62" s="128">
        <v>635</v>
      </c>
      <c r="J62" s="128">
        <v>3711937.100000001</v>
      </c>
      <c r="K62" s="128">
        <v>11169.310000000003</v>
      </c>
      <c r="L62" s="128">
        <v>80</v>
      </c>
      <c r="M62" s="128">
        <v>3564151.5799999996</v>
      </c>
      <c r="N62" s="128">
        <v>8601.66</v>
      </c>
      <c r="O62" s="128">
        <v>10</v>
      </c>
      <c r="P62" s="128">
        <v>3070518</v>
      </c>
      <c r="Q62" s="128">
        <v>5839.4699999999993</v>
      </c>
      <c r="R62" s="128">
        <v>2</v>
      </c>
      <c r="S62" s="128">
        <v>32186.86</v>
      </c>
      <c r="T62" s="87"/>
      <c r="U62" s="128">
        <v>60</v>
      </c>
      <c r="V62" s="128">
        <v>9017.6899999999987</v>
      </c>
      <c r="W62" s="128">
        <v>23.47</v>
      </c>
      <c r="X62" s="128">
        <v>124</v>
      </c>
      <c r="Y62" s="128">
        <v>124116.37</v>
      </c>
      <c r="Z62" s="128">
        <v>319.27</v>
      </c>
      <c r="AA62" s="128">
        <v>1</v>
      </c>
      <c r="AB62"/>
      <c r="AC62" s="130">
        <f t="shared" si="0"/>
        <v>6984</v>
      </c>
      <c r="AD62"/>
      <c r="AE62" s="128"/>
      <c r="AF62" s="128"/>
      <c r="AG62" s="128"/>
      <c r="AI62" s="128">
        <v>5708327.3499999996</v>
      </c>
      <c r="AJ62" s="128">
        <v>12792.899999999998</v>
      </c>
    </row>
    <row r="63" spans="1:36" x14ac:dyDescent="0.2">
      <c r="A63" s="82">
        <v>2016</v>
      </c>
      <c r="B63" s="83" t="s">
        <v>81</v>
      </c>
      <c r="C63" s="86"/>
      <c r="D63" s="128">
        <v>15295315.789999999</v>
      </c>
      <c r="E63" s="128">
        <v>189041.49</v>
      </c>
      <c r="F63" s="128">
        <v>3501905.9500000034</v>
      </c>
      <c r="G63" s="128">
        <v>6264</v>
      </c>
      <c r="H63" s="128">
        <v>1601602.3099999994</v>
      </c>
      <c r="I63" s="128">
        <v>638</v>
      </c>
      <c r="J63" s="128">
        <v>3534708.46</v>
      </c>
      <c r="K63" s="128">
        <v>11312.249999999996</v>
      </c>
      <c r="L63" s="128">
        <v>80</v>
      </c>
      <c r="M63" s="128">
        <v>3312879.07</v>
      </c>
      <c r="N63" s="128">
        <v>8122.57</v>
      </c>
      <c r="O63" s="128">
        <v>10</v>
      </c>
      <c r="P63" s="128">
        <v>2913184.6</v>
      </c>
      <c r="Q63" s="128">
        <v>5839.25</v>
      </c>
      <c r="R63" s="128">
        <v>2</v>
      </c>
      <c r="S63" s="128">
        <v>31215.839999999997</v>
      </c>
      <c r="T63" s="87"/>
      <c r="U63" s="128">
        <v>60</v>
      </c>
      <c r="V63" s="128">
        <v>8738.64</v>
      </c>
      <c r="W63" s="128">
        <v>24.029999999999994</v>
      </c>
      <c r="X63" s="128">
        <v>124</v>
      </c>
      <c r="Y63" s="128">
        <v>105838.01</v>
      </c>
      <c r="Z63" s="128">
        <v>319.27</v>
      </c>
      <c r="AA63" s="128">
        <v>1</v>
      </c>
      <c r="AB63"/>
      <c r="AC63" s="130">
        <f t="shared" si="0"/>
        <v>6995</v>
      </c>
      <c r="AD63"/>
      <c r="AE63" s="128"/>
      <c r="AF63" s="128"/>
      <c r="AG63" s="128"/>
      <c r="AI63" s="128">
        <v>5379793.3399999999</v>
      </c>
      <c r="AJ63" s="128">
        <v>12265.539999999999</v>
      </c>
    </row>
    <row r="64" spans="1:36" x14ac:dyDescent="0.2">
      <c r="A64" s="82">
        <v>2016</v>
      </c>
      <c r="B64" s="83" t="s">
        <v>52</v>
      </c>
      <c r="C64" s="86"/>
      <c r="D64" s="128">
        <v>15349497.890000001</v>
      </c>
      <c r="E64" s="128">
        <v>239387.64</v>
      </c>
      <c r="F64" s="128">
        <v>3623309.4000000046</v>
      </c>
      <c r="G64" s="128">
        <v>6273</v>
      </c>
      <c r="H64" s="128">
        <v>1672462.5900000024</v>
      </c>
      <c r="I64" s="128">
        <v>637</v>
      </c>
      <c r="J64" s="128">
        <v>3562102.0099999988</v>
      </c>
      <c r="K64" s="128">
        <v>11882.21</v>
      </c>
      <c r="L64" s="128">
        <v>80</v>
      </c>
      <c r="M64" s="128">
        <v>3262764.68</v>
      </c>
      <c r="N64" s="128">
        <v>8731.82</v>
      </c>
      <c r="O64" s="128">
        <v>10</v>
      </c>
      <c r="P64" s="128">
        <v>2921383.6</v>
      </c>
      <c r="Q64" s="128">
        <v>5978.58</v>
      </c>
      <c r="R64" s="128">
        <v>2</v>
      </c>
      <c r="S64" s="128">
        <v>33198.14</v>
      </c>
      <c r="T64" s="87"/>
      <c r="U64" s="128">
        <v>60</v>
      </c>
      <c r="V64" s="128">
        <v>9029.93</v>
      </c>
      <c r="W64" s="128">
        <v>22.96</v>
      </c>
      <c r="X64" s="128">
        <v>124</v>
      </c>
      <c r="Y64" s="128">
        <v>96898.37</v>
      </c>
      <c r="Z64" s="128">
        <v>319.27</v>
      </c>
      <c r="AA64" s="128">
        <v>1</v>
      </c>
      <c r="AB64"/>
      <c r="AC64" s="130">
        <f t="shared" si="0"/>
        <v>7003</v>
      </c>
      <c r="AD64"/>
      <c r="AE64" s="128"/>
      <c r="AF64" s="128"/>
      <c r="AG64" s="128"/>
      <c r="AI64" s="128">
        <v>5354794.75</v>
      </c>
      <c r="AJ64" s="128">
        <v>12678.28</v>
      </c>
    </row>
    <row r="65" spans="1:36" x14ac:dyDescent="0.2">
      <c r="A65" s="82">
        <v>2016</v>
      </c>
      <c r="B65" s="83" t="s">
        <v>82</v>
      </c>
      <c r="C65" s="86"/>
      <c r="D65" s="128">
        <v>16760016.93</v>
      </c>
      <c r="E65" s="128">
        <v>264615.24</v>
      </c>
      <c r="F65" s="128">
        <v>4296970.3100000033</v>
      </c>
      <c r="G65" s="128">
        <v>6281</v>
      </c>
      <c r="H65" s="128">
        <v>1815810.249999996</v>
      </c>
      <c r="I65" s="128">
        <v>641</v>
      </c>
      <c r="J65" s="128">
        <v>3681403.96</v>
      </c>
      <c r="K65" s="128">
        <v>12218.379999999997</v>
      </c>
      <c r="L65" s="128">
        <v>80</v>
      </c>
      <c r="M65" s="128">
        <v>3633908.46</v>
      </c>
      <c r="N65" s="128">
        <v>9026.08</v>
      </c>
      <c r="O65" s="128">
        <v>10</v>
      </c>
      <c r="P65" s="128">
        <v>3020883.92</v>
      </c>
      <c r="Q65" s="128">
        <v>5998.06</v>
      </c>
      <c r="R65" s="128">
        <v>2</v>
      </c>
      <c r="S65" s="128">
        <v>33714.42</v>
      </c>
      <c r="T65" s="87"/>
      <c r="U65" s="128">
        <v>60</v>
      </c>
      <c r="V65" s="128">
        <v>7997.7599999999993</v>
      </c>
      <c r="W65" s="128">
        <v>23.599999999999994</v>
      </c>
      <c r="X65" s="128">
        <v>124</v>
      </c>
      <c r="Y65" s="128">
        <v>86442.35</v>
      </c>
      <c r="Z65" s="128">
        <v>319.27</v>
      </c>
      <c r="AA65" s="128">
        <v>1</v>
      </c>
      <c r="AB65"/>
      <c r="AC65" s="130">
        <f t="shared" si="0"/>
        <v>7015</v>
      </c>
      <c r="AD65"/>
      <c r="AE65" s="128"/>
      <c r="AF65" s="128"/>
      <c r="AG65" s="128"/>
      <c r="AI65" s="128">
        <v>5577432.2300000004</v>
      </c>
      <c r="AJ65" s="128">
        <v>12823.68</v>
      </c>
    </row>
    <row r="66" spans="1:36" x14ac:dyDescent="0.2">
      <c r="A66" s="82">
        <v>2016</v>
      </c>
      <c r="B66" s="83" t="s">
        <v>83</v>
      </c>
      <c r="C66" s="86"/>
      <c r="D66" s="128">
        <v>17584612.699999999</v>
      </c>
      <c r="E66" s="128">
        <v>249446.96</v>
      </c>
      <c r="F66" s="128">
        <v>5416576.4199999822</v>
      </c>
      <c r="G66" s="128">
        <v>6298</v>
      </c>
      <c r="H66" s="128">
        <v>2073749.650000002</v>
      </c>
      <c r="I66" s="128">
        <v>638</v>
      </c>
      <c r="J66" s="128">
        <v>3673170.86</v>
      </c>
      <c r="K66" s="128">
        <v>11995.239999999998</v>
      </c>
      <c r="L66" s="128">
        <v>80</v>
      </c>
      <c r="M66" s="128">
        <v>3494999.31</v>
      </c>
      <c r="N66" s="128">
        <v>9183.7099999999991</v>
      </c>
      <c r="O66" s="128">
        <v>10</v>
      </c>
      <c r="P66" s="128">
        <v>2561864.04</v>
      </c>
      <c r="Q66" s="128">
        <v>5893.38</v>
      </c>
      <c r="R66" s="128">
        <v>2</v>
      </c>
      <c r="S66" s="128">
        <v>30918.379999999997</v>
      </c>
      <c r="T66" s="87"/>
      <c r="U66" s="128">
        <v>60</v>
      </c>
      <c r="V66" s="128">
        <v>8209.6600000000017</v>
      </c>
      <c r="W66" s="128">
        <v>21.47</v>
      </c>
      <c r="X66" s="128">
        <v>113</v>
      </c>
      <c r="Y66" s="128">
        <v>91470.93</v>
      </c>
      <c r="Z66" s="128">
        <v>319.27</v>
      </c>
      <c r="AA66" s="128">
        <v>1</v>
      </c>
      <c r="AB66"/>
      <c r="AC66" s="130">
        <f t="shared" si="0"/>
        <v>7029</v>
      </c>
      <c r="AD66"/>
      <c r="AE66" s="128"/>
      <c r="AF66" s="128"/>
      <c r="AG66" s="128"/>
      <c r="AI66" s="128">
        <v>5180718.25</v>
      </c>
      <c r="AJ66" s="128">
        <v>13001.15</v>
      </c>
    </row>
    <row r="67" spans="1:36" x14ac:dyDescent="0.2">
      <c r="A67" s="82">
        <v>2016</v>
      </c>
      <c r="B67" s="83" t="s">
        <v>84</v>
      </c>
      <c r="C67" s="86"/>
      <c r="D67" s="128">
        <v>20027554.73</v>
      </c>
      <c r="E67" s="128">
        <v>228668.65</v>
      </c>
      <c r="F67" s="128">
        <v>5556671.6299999896</v>
      </c>
      <c r="G67" s="128">
        <v>6314</v>
      </c>
      <c r="H67" s="128">
        <v>2079463.1900000013</v>
      </c>
      <c r="I67" s="128">
        <v>638</v>
      </c>
      <c r="J67" s="128">
        <v>4128897.6199999996</v>
      </c>
      <c r="K67" s="128">
        <v>12670.659999999996</v>
      </c>
      <c r="L67" s="128">
        <v>80</v>
      </c>
      <c r="M67" s="128">
        <v>4182277.77</v>
      </c>
      <c r="N67" s="128">
        <v>9395.3799999999992</v>
      </c>
      <c r="O67" s="128">
        <v>10</v>
      </c>
      <c r="P67" s="128">
        <v>3271533.7199999997</v>
      </c>
      <c r="Q67" s="128">
        <v>6354.89</v>
      </c>
      <c r="R67" s="128">
        <v>2</v>
      </c>
      <c r="S67" s="128">
        <v>32738.05</v>
      </c>
      <c r="T67" s="87"/>
      <c r="U67" s="128">
        <v>60</v>
      </c>
      <c r="V67" s="128">
        <v>8209.6700000000019</v>
      </c>
      <c r="W67" s="128">
        <v>21.810000000000002</v>
      </c>
      <c r="X67" s="128">
        <v>113</v>
      </c>
      <c r="Y67" s="128">
        <v>103523.45</v>
      </c>
      <c r="Z67" s="128">
        <v>319.27</v>
      </c>
      <c r="AA67" s="128">
        <v>1</v>
      </c>
      <c r="AB67"/>
      <c r="AC67" s="130">
        <f t="shared" si="0"/>
        <v>7045</v>
      </c>
      <c r="AD67"/>
      <c r="AE67" s="128"/>
      <c r="AF67" s="128"/>
      <c r="AG67" s="128"/>
      <c r="AI67" s="128">
        <v>6210294.9700000007</v>
      </c>
      <c r="AJ67" s="128">
        <v>13573.939999999999</v>
      </c>
    </row>
    <row r="68" spans="1:36" x14ac:dyDescent="0.2">
      <c r="A68" s="82">
        <v>2016</v>
      </c>
      <c r="B68" s="83" t="s">
        <v>85</v>
      </c>
      <c r="C68" s="86"/>
      <c r="D68" s="128">
        <v>17024200.449999999</v>
      </c>
      <c r="E68" s="128">
        <v>191588.72</v>
      </c>
      <c r="F68" s="128">
        <v>4174777.4699999993</v>
      </c>
      <c r="G68" s="128">
        <v>6325</v>
      </c>
      <c r="H68" s="128">
        <v>1772221.5199999954</v>
      </c>
      <c r="I68" s="128">
        <v>635</v>
      </c>
      <c r="J68" s="128">
        <v>3841411.4</v>
      </c>
      <c r="K68" s="128">
        <v>12621.550000000005</v>
      </c>
      <c r="L68" s="128">
        <v>80</v>
      </c>
      <c r="M68" s="128">
        <v>3737242.69</v>
      </c>
      <c r="N68" s="128">
        <v>9159.4600000000009</v>
      </c>
      <c r="O68" s="128">
        <v>10</v>
      </c>
      <c r="P68" s="128">
        <v>3185018.4400000004</v>
      </c>
      <c r="Q68" s="128">
        <v>6312.26</v>
      </c>
      <c r="R68" s="128">
        <v>2</v>
      </c>
      <c r="S68" s="128">
        <v>29396.040000000005</v>
      </c>
      <c r="T68" s="87"/>
      <c r="U68" s="128">
        <v>58</v>
      </c>
      <c r="V68" s="128">
        <v>7944.8399999999992</v>
      </c>
      <c r="W68" s="128">
        <v>21.52</v>
      </c>
      <c r="X68" s="128">
        <v>113</v>
      </c>
      <c r="Y68" s="128">
        <v>112143.52</v>
      </c>
      <c r="Z68" s="128">
        <v>319.27</v>
      </c>
      <c r="AA68" s="128">
        <v>1</v>
      </c>
      <c r="AB68"/>
      <c r="AC68" s="130">
        <f t="shared" si="0"/>
        <v>7053</v>
      </c>
      <c r="AD68"/>
      <c r="AE68" s="128"/>
      <c r="AF68" s="128"/>
      <c r="AG68" s="128"/>
      <c r="AI68" s="128">
        <v>5885963.6200000001</v>
      </c>
      <c r="AJ68" s="128">
        <v>13258.64</v>
      </c>
    </row>
    <row r="69" spans="1:36" x14ac:dyDescent="0.2">
      <c r="A69" s="82">
        <v>2016</v>
      </c>
      <c r="B69" s="83" t="s">
        <v>86</v>
      </c>
      <c r="C69" s="86"/>
      <c r="D69" s="128">
        <v>15911420.27</v>
      </c>
      <c r="E69" s="128">
        <v>132639.69</v>
      </c>
      <c r="F69" s="128">
        <v>3531378.7600000123</v>
      </c>
      <c r="G69" s="128">
        <v>6333</v>
      </c>
      <c r="H69" s="128">
        <v>1628253.7000000039</v>
      </c>
      <c r="I69" s="128">
        <v>638</v>
      </c>
      <c r="J69" s="128">
        <v>3659081.5800000019</v>
      </c>
      <c r="K69" s="128">
        <v>12296.610000000004</v>
      </c>
      <c r="L69" s="128">
        <v>80</v>
      </c>
      <c r="M69" s="128">
        <v>3484256.5899999994</v>
      </c>
      <c r="N69" s="128">
        <v>8461.18</v>
      </c>
      <c r="O69" s="128">
        <v>10</v>
      </c>
      <c r="P69" s="128">
        <v>3187346.16</v>
      </c>
      <c r="Q69" s="128">
        <v>6099.12</v>
      </c>
      <c r="R69" s="128">
        <v>2</v>
      </c>
      <c r="S69" s="128">
        <v>32154.43</v>
      </c>
      <c r="T69" s="87"/>
      <c r="U69" s="128">
        <v>59</v>
      </c>
      <c r="V69" s="128">
        <v>8209.6700000000019</v>
      </c>
      <c r="W69" s="128">
        <v>22.79</v>
      </c>
      <c r="X69" s="128">
        <v>113</v>
      </c>
      <c r="Y69" s="128">
        <v>130661.32</v>
      </c>
      <c r="Z69" s="128">
        <v>319.27</v>
      </c>
      <c r="AA69" s="128">
        <v>1</v>
      </c>
      <c r="AB69"/>
      <c r="AC69" s="130">
        <f t="shared" si="0"/>
        <v>7064</v>
      </c>
      <c r="AD69"/>
      <c r="AE69" s="128"/>
      <c r="AF69" s="128"/>
      <c r="AG69" s="128"/>
      <c r="AI69" s="128">
        <v>5771228.2999999998</v>
      </c>
      <c r="AJ69" s="128">
        <v>12551.179999999998</v>
      </c>
    </row>
    <row r="70" spans="1:36" x14ac:dyDescent="0.2">
      <c r="A70" s="82">
        <v>2016</v>
      </c>
      <c r="B70" s="83" t="s">
        <v>87</v>
      </c>
      <c r="C70" s="86"/>
      <c r="D70" s="128">
        <v>15908144.58</v>
      </c>
      <c r="E70" s="128">
        <v>91505.37</v>
      </c>
      <c r="F70" s="128">
        <v>3644423.7999999896</v>
      </c>
      <c r="G70" s="128">
        <v>6337</v>
      </c>
      <c r="H70" s="128">
        <v>1614348.1899999997</v>
      </c>
      <c r="I70" s="128">
        <v>637</v>
      </c>
      <c r="J70" s="128">
        <v>3741617.45</v>
      </c>
      <c r="K70" s="128">
        <v>12191.800000000003</v>
      </c>
      <c r="L70" s="128">
        <v>80</v>
      </c>
      <c r="M70" s="128">
        <v>3462572.47</v>
      </c>
      <c r="N70" s="128">
        <v>8016.9999999999991</v>
      </c>
      <c r="O70" s="128">
        <v>10</v>
      </c>
      <c r="P70" s="128">
        <v>3037130</v>
      </c>
      <c r="Q70" s="128">
        <v>5992.49</v>
      </c>
      <c r="R70" s="128">
        <v>2</v>
      </c>
      <c r="S70" s="128">
        <v>35077.42</v>
      </c>
      <c r="T70" s="87"/>
      <c r="U70" s="128">
        <v>59</v>
      </c>
      <c r="V70" s="128">
        <v>8444.6399999999976</v>
      </c>
      <c r="W70" s="128">
        <v>25.270000000000007</v>
      </c>
      <c r="X70" s="128">
        <v>113</v>
      </c>
      <c r="Y70" s="128">
        <v>138483.51</v>
      </c>
      <c r="Z70" s="128">
        <v>319.27</v>
      </c>
      <c r="AA70" s="128">
        <v>1</v>
      </c>
      <c r="AB70"/>
      <c r="AC70" s="130">
        <f t="shared" si="0"/>
        <v>7067</v>
      </c>
      <c r="AD70"/>
      <c r="AE70" s="128"/>
      <c r="AF70" s="128"/>
      <c r="AG70" s="128"/>
      <c r="AI70" s="128">
        <v>5639574.6100000003</v>
      </c>
      <c r="AJ70" s="128">
        <v>12250.300000000001</v>
      </c>
    </row>
    <row r="71" spans="1:36" x14ac:dyDescent="0.2">
      <c r="A71" s="82">
        <v>2016</v>
      </c>
      <c r="B71" s="83" t="s">
        <v>88</v>
      </c>
      <c r="C71" s="86"/>
      <c r="D71" s="128">
        <v>16116946.359999999</v>
      </c>
      <c r="E71" s="128">
        <v>14828.03</v>
      </c>
      <c r="F71" s="128">
        <v>4382364.5199999977</v>
      </c>
      <c r="G71" s="128">
        <v>6352</v>
      </c>
      <c r="H71" s="128">
        <v>1804478.2900000007</v>
      </c>
      <c r="I71" s="128">
        <v>639</v>
      </c>
      <c r="J71" s="128">
        <v>3689353.2000000011</v>
      </c>
      <c r="K71" s="128">
        <v>11614.890000000005</v>
      </c>
      <c r="L71" s="128">
        <v>81</v>
      </c>
      <c r="M71" s="128">
        <v>2998426.3400000003</v>
      </c>
      <c r="N71" s="128">
        <v>7873.72</v>
      </c>
      <c r="O71" s="128">
        <v>10</v>
      </c>
      <c r="P71" s="128">
        <v>2506220.7199999997</v>
      </c>
      <c r="Q71" s="128">
        <v>6024.26</v>
      </c>
      <c r="R71" s="128">
        <v>2</v>
      </c>
      <c r="S71" s="128">
        <v>31775.13</v>
      </c>
      <c r="T71" s="87"/>
      <c r="U71" s="128">
        <v>59</v>
      </c>
      <c r="V71" s="128">
        <v>9242.59</v>
      </c>
      <c r="W71" s="128">
        <v>25.62</v>
      </c>
      <c r="X71" s="128">
        <v>113</v>
      </c>
      <c r="Y71" s="128">
        <v>150695.51999999999</v>
      </c>
      <c r="Z71" s="128">
        <v>319.27</v>
      </c>
      <c r="AA71" s="128">
        <v>1</v>
      </c>
      <c r="AB71"/>
      <c r="AC71" s="130">
        <f t="shared" si="0"/>
        <v>7085</v>
      </c>
      <c r="AD71"/>
      <c r="AE71" s="128"/>
      <c r="AF71" s="128"/>
      <c r="AG71" s="128"/>
      <c r="AI71" s="128">
        <v>4810039.24</v>
      </c>
      <c r="AJ71" s="128">
        <v>12176.9</v>
      </c>
    </row>
    <row r="72" spans="1:36" x14ac:dyDescent="0.2">
      <c r="A72" s="82">
        <v>2017</v>
      </c>
      <c r="B72" s="83" t="s">
        <v>78</v>
      </c>
      <c r="C72" s="86"/>
      <c r="D72" s="127">
        <v>17123786.129999999</v>
      </c>
      <c r="E72" s="127">
        <v>40918.46</v>
      </c>
      <c r="F72" s="127">
        <v>4376145.9499999937</v>
      </c>
      <c r="G72" s="127">
        <v>6363</v>
      </c>
      <c r="H72" s="127">
        <v>1769149.6400000001</v>
      </c>
      <c r="I72" s="127">
        <v>638</v>
      </c>
      <c r="J72" s="127">
        <v>4066069.5799999991</v>
      </c>
      <c r="K72" s="127">
        <v>12886.109999999999</v>
      </c>
      <c r="L72" s="127">
        <v>81</v>
      </c>
      <c r="M72" s="127">
        <v>3211513</v>
      </c>
      <c r="N72" s="127">
        <v>7384.65</v>
      </c>
      <c r="O72" s="127">
        <v>9</v>
      </c>
      <c r="P72" s="127">
        <v>2979218.44</v>
      </c>
      <c r="Q72" s="127">
        <v>5892.54</v>
      </c>
      <c r="R72" s="127">
        <v>2</v>
      </c>
      <c r="S72" s="127">
        <v>28729.180000000004</v>
      </c>
      <c r="T72" s="85"/>
      <c r="U72" s="127">
        <v>59</v>
      </c>
      <c r="V72" s="127">
        <v>8342.9500000000007</v>
      </c>
      <c r="W72" s="127">
        <v>22.199999999999996</v>
      </c>
      <c r="X72" s="127">
        <v>113</v>
      </c>
      <c r="Y72" s="127">
        <v>148460.54999999999</v>
      </c>
      <c r="Z72" s="127">
        <v>319.27</v>
      </c>
      <c r="AA72" s="127">
        <v>1</v>
      </c>
      <c r="AB72"/>
      <c r="AC72" s="130">
        <f t="shared" si="0"/>
        <v>7094</v>
      </c>
      <c r="AD72"/>
      <c r="AE72" s="127"/>
      <c r="AF72" s="127"/>
      <c r="AG72" s="127"/>
      <c r="AI72" s="127">
        <v>5557435.2400000002</v>
      </c>
      <c r="AJ72" s="127">
        <v>12315.23</v>
      </c>
    </row>
    <row r="73" spans="1:36" x14ac:dyDescent="0.2">
      <c r="A73" s="82">
        <v>2017</v>
      </c>
      <c r="B73" s="83" t="s">
        <v>79</v>
      </c>
      <c r="C73" s="86"/>
      <c r="D73" s="128">
        <v>15034182.73</v>
      </c>
      <c r="E73" s="128">
        <v>98842.77</v>
      </c>
      <c r="F73" s="128">
        <v>3729949.6100000027</v>
      </c>
      <c r="G73" s="128">
        <v>6378</v>
      </c>
      <c r="H73" s="128">
        <v>1575224.0899999987</v>
      </c>
      <c r="I73" s="128">
        <v>638</v>
      </c>
      <c r="J73" s="128">
        <v>3622137.8600000008</v>
      </c>
      <c r="K73" s="128">
        <v>12297.220000000007</v>
      </c>
      <c r="L73" s="128">
        <v>83</v>
      </c>
      <c r="M73" s="128">
        <v>2991324.83</v>
      </c>
      <c r="N73" s="128">
        <v>7619.4499999999989</v>
      </c>
      <c r="O73" s="128">
        <v>9</v>
      </c>
      <c r="P73" s="128">
        <v>2681537.48</v>
      </c>
      <c r="Q73" s="128">
        <v>5861.13</v>
      </c>
      <c r="R73" s="128">
        <v>2</v>
      </c>
      <c r="S73" s="128">
        <v>31406.98</v>
      </c>
      <c r="T73" s="87"/>
      <c r="U73" s="128">
        <v>59</v>
      </c>
      <c r="V73" s="128">
        <v>7415.18</v>
      </c>
      <c r="W73" s="128">
        <v>21.68</v>
      </c>
      <c r="X73" s="128">
        <v>113</v>
      </c>
      <c r="Y73" s="128">
        <v>134093.4</v>
      </c>
      <c r="Z73" s="128">
        <v>319.27</v>
      </c>
      <c r="AA73" s="128">
        <v>1</v>
      </c>
      <c r="AB73"/>
      <c r="AC73" s="130">
        <f t="shared" si="0"/>
        <v>7111</v>
      </c>
      <c r="AD73"/>
      <c r="AE73" s="128"/>
      <c r="AF73" s="128"/>
      <c r="AG73" s="128"/>
      <c r="AI73" s="128">
        <v>5102756.04</v>
      </c>
      <c r="AJ73" s="128">
        <v>12321.94</v>
      </c>
    </row>
    <row r="74" spans="1:36" x14ac:dyDescent="0.2">
      <c r="A74" s="82">
        <v>2017</v>
      </c>
      <c r="B74" s="83" t="s">
        <v>80</v>
      </c>
      <c r="C74" s="86"/>
      <c r="D74" s="128">
        <v>16518332.300000001</v>
      </c>
      <c r="E74" s="128">
        <v>144381.45000000001</v>
      </c>
      <c r="F74" s="128">
        <v>3913903.030000004</v>
      </c>
      <c r="G74" s="128">
        <v>6382</v>
      </c>
      <c r="H74" s="128">
        <v>1675490.9000000001</v>
      </c>
      <c r="I74" s="128">
        <v>637</v>
      </c>
      <c r="J74" s="128">
        <v>3912988.7199999997</v>
      </c>
      <c r="K74" s="128">
        <v>11887.400000000005</v>
      </c>
      <c r="L74" s="128">
        <v>84</v>
      </c>
      <c r="M74" s="128">
        <v>3377815.4399999995</v>
      </c>
      <c r="N74" s="128">
        <v>7496.5099999999993</v>
      </c>
      <c r="O74" s="128">
        <v>9</v>
      </c>
      <c r="P74" s="128">
        <v>2974539.04</v>
      </c>
      <c r="Q74" s="128">
        <v>5903.63</v>
      </c>
      <c r="R74" s="128">
        <v>2</v>
      </c>
      <c r="S74" s="128">
        <v>32606.12</v>
      </c>
      <c r="T74" s="87"/>
      <c r="U74" s="128">
        <v>59</v>
      </c>
      <c r="V74" s="128">
        <v>8209.6700000000019</v>
      </c>
      <c r="W74" s="128">
        <v>21.800000000000004</v>
      </c>
      <c r="X74" s="128">
        <v>113</v>
      </c>
      <c r="Y74" s="128">
        <v>124116.37</v>
      </c>
      <c r="Z74" s="128">
        <v>319.27</v>
      </c>
      <c r="AA74" s="128">
        <v>1</v>
      </c>
      <c r="AB74"/>
      <c r="AC74" s="130">
        <f t="shared" si="0"/>
        <v>7115</v>
      </c>
      <c r="AD74"/>
      <c r="AE74" s="128"/>
      <c r="AF74" s="128"/>
      <c r="AG74" s="128"/>
      <c r="AI74" s="128">
        <v>5617340.25</v>
      </c>
      <c r="AJ74" s="128">
        <v>12245.45</v>
      </c>
    </row>
    <row r="75" spans="1:36" x14ac:dyDescent="0.2">
      <c r="A75" s="82">
        <v>2017</v>
      </c>
      <c r="B75" s="83" t="s">
        <v>81</v>
      </c>
      <c r="C75" s="86"/>
      <c r="D75" s="128">
        <v>13982812.939999999</v>
      </c>
      <c r="E75" s="128">
        <v>180225.96</v>
      </c>
      <c r="F75" s="128">
        <v>3385568.1200000127</v>
      </c>
      <c r="G75" s="128">
        <v>6385</v>
      </c>
      <c r="H75" s="128">
        <v>1517633.3400000005</v>
      </c>
      <c r="I75" s="128">
        <v>638</v>
      </c>
      <c r="J75" s="128">
        <v>3485274.7399999998</v>
      </c>
      <c r="K75" s="128">
        <v>11992.53</v>
      </c>
      <c r="L75" s="128">
        <v>84</v>
      </c>
      <c r="M75" s="128">
        <v>2985386.66</v>
      </c>
      <c r="N75" s="128">
        <v>7880.28</v>
      </c>
      <c r="O75" s="128">
        <v>9</v>
      </c>
      <c r="P75" s="128">
        <v>2423398.7599999998</v>
      </c>
      <c r="Q75" s="128">
        <v>5741.84</v>
      </c>
      <c r="R75" s="128">
        <v>2</v>
      </c>
      <c r="S75" s="128">
        <v>30517.85</v>
      </c>
      <c r="T75" s="87"/>
      <c r="U75" s="128">
        <v>59</v>
      </c>
      <c r="V75" s="128">
        <v>7944.8399999999992</v>
      </c>
      <c r="W75" s="128">
        <v>18.440000000000001</v>
      </c>
      <c r="X75" s="128">
        <v>113</v>
      </c>
      <c r="Y75" s="128">
        <v>105838.01</v>
      </c>
      <c r="Z75" s="128">
        <v>319.27</v>
      </c>
      <c r="AA75" s="128">
        <v>1</v>
      </c>
      <c r="AB75"/>
      <c r="AC75" s="130">
        <f t="shared" si="0"/>
        <v>7119</v>
      </c>
      <c r="AD75"/>
      <c r="AE75" s="128"/>
      <c r="AF75" s="128"/>
      <c r="AG75" s="128"/>
      <c r="AI75" s="128">
        <v>4773442.13</v>
      </c>
      <c r="AJ75" s="128">
        <v>12165.699999999999</v>
      </c>
    </row>
    <row r="76" spans="1:36" x14ac:dyDescent="0.2">
      <c r="A76" s="82">
        <v>2017</v>
      </c>
      <c r="B76" s="83" t="s">
        <v>52</v>
      </c>
      <c r="C76" s="86"/>
      <c r="D76" s="128">
        <v>15061646.42</v>
      </c>
      <c r="E76" s="128">
        <v>211937.72</v>
      </c>
      <c r="F76" s="128">
        <v>3515790.5399999912</v>
      </c>
      <c r="G76" s="128">
        <v>6390</v>
      </c>
      <c r="H76" s="128">
        <v>1643832.059999997</v>
      </c>
      <c r="I76" s="128">
        <v>643</v>
      </c>
      <c r="J76" s="128">
        <v>3609022.5200000014</v>
      </c>
      <c r="K76" s="128">
        <v>11838.509999999998</v>
      </c>
      <c r="L76" s="128">
        <v>80</v>
      </c>
      <c r="M76" s="128">
        <v>3274293.02</v>
      </c>
      <c r="N76" s="128">
        <v>8059.4900000000007</v>
      </c>
      <c r="O76" s="128">
        <v>9</v>
      </c>
      <c r="P76" s="128">
        <v>2782606.28</v>
      </c>
      <c r="Q76" s="128">
        <v>5709.75</v>
      </c>
      <c r="R76" s="128">
        <v>2</v>
      </c>
      <c r="S76" s="128">
        <v>31603.15</v>
      </c>
      <c r="T76" s="87"/>
      <c r="U76" s="128">
        <v>59</v>
      </c>
      <c r="V76" s="128">
        <v>8209.6699999999983</v>
      </c>
      <c r="W76" s="128">
        <v>19.37</v>
      </c>
      <c r="X76" s="128">
        <v>113</v>
      </c>
      <c r="Y76" s="128">
        <v>96898.37</v>
      </c>
      <c r="Z76" s="128">
        <v>319.27</v>
      </c>
      <c r="AA76" s="128">
        <v>1</v>
      </c>
      <c r="AB76"/>
      <c r="AC76" s="130">
        <f t="shared" si="0"/>
        <v>7125</v>
      </c>
      <c r="AD76"/>
      <c r="AE76" s="128"/>
      <c r="AF76" s="128"/>
      <c r="AG76" s="128"/>
      <c r="AI76" s="128">
        <v>5302041.82</v>
      </c>
      <c r="AJ76" s="128">
        <v>12343.98</v>
      </c>
    </row>
    <row r="77" spans="1:36" x14ac:dyDescent="0.2">
      <c r="A77" s="82">
        <v>2017</v>
      </c>
      <c r="B77" s="83" t="s">
        <v>82</v>
      </c>
      <c r="C77" s="86"/>
      <c r="D77" s="128">
        <v>16237904.83</v>
      </c>
      <c r="E77" s="128">
        <v>236828.58</v>
      </c>
      <c r="F77" s="128">
        <v>4046125.9299999992</v>
      </c>
      <c r="G77" s="128">
        <v>6399</v>
      </c>
      <c r="H77" s="128">
        <v>1769600.6900000034</v>
      </c>
      <c r="I77" s="128">
        <v>644</v>
      </c>
      <c r="J77" s="128">
        <v>3657694.3</v>
      </c>
      <c r="K77" s="128">
        <v>13110.090000000006</v>
      </c>
      <c r="L77" s="128">
        <v>80</v>
      </c>
      <c r="M77" s="128">
        <v>3410905.1300000004</v>
      </c>
      <c r="N77" s="128">
        <v>9080.9100000000017</v>
      </c>
      <c r="O77" s="128">
        <v>10</v>
      </c>
      <c r="P77" s="128">
        <v>2685962.16</v>
      </c>
      <c r="Q77" s="128">
        <v>5834.63</v>
      </c>
      <c r="R77" s="128">
        <v>2</v>
      </c>
      <c r="S77" s="128">
        <v>31332.819999999996</v>
      </c>
      <c r="T77" s="87"/>
      <c r="U77" s="128">
        <v>59</v>
      </c>
      <c r="V77" s="128">
        <v>7944.8399999999992</v>
      </c>
      <c r="W77" s="128">
        <v>22.039999999999992</v>
      </c>
      <c r="X77" s="128">
        <v>113</v>
      </c>
      <c r="Y77" s="128">
        <v>86442.35</v>
      </c>
      <c r="Z77" s="128">
        <v>319.27</v>
      </c>
      <c r="AA77" s="128">
        <v>1</v>
      </c>
      <c r="AB77"/>
      <c r="AC77" s="130">
        <f t="shared" si="0"/>
        <v>7136</v>
      </c>
      <c r="AD77"/>
      <c r="AE77" s="128"/>
      <c r="AF77" s="128"/>
      <c r="AG77" s="128"/>
      <c r="AI77" s="128">
        <v>5243059.6900000004</v>
      </c>
      <c r="AJ77" s="128">
        <v>12588.539999999999</v>
      </c>
    </row>
    <row r="78" spans="1:36" x14ac:dyDescent="0.2">
      <c r="A78" s="82">
        <v>2017</v>
      </c>
      <c r="B78" s="83" t="s">
        <v>83</v>
      </c>
      <c r="C78" s="86"/>
      <c r="D78" s="128">
        <v>16605648.27</v>
      </c>
      <c r="E78" s="128">
        <v>225248.93</v>
      </c>
      <c r="F78" s="128">
        <v>5004682.5799999991</v>
      </c>
      <c r="G78" s="128">
        <v>6413</v>
      </c>
      <c r="H78" s="128">
        <v>1989601.2900000007</v>
      </c>
      <c r="I78" s="128">
        <v>640</v>
      </c>
      <c r="J78" s="128">
        <v>3366992.9099999992</v>
      </c>
      <c r="K78" s="128">
        <v>11005.470000000001</v>
      </c>
      <c r="L78" s="128">
        <v>78</v>
      </c>
      <c r="M78" s="128">
        <v>3642576.83</v>
      </c>
      <c r="N78" s="128">
        <v>10386.329999999998</v>
      </c>
      <c r="O78" s="128">
        <v>11</v>
      </c>
      <c r="P78" s="128">
        <v>2112781.12</v>
      </c>
      <c r="Q78" s="128">
        <v>5429.4500000000007</v>
      </c>
      <c r="R78" s="128">
        <v>2</v>
      </c>
      <c r="S78" s="128">
        <v>30218.59</v>
      </c>
      <c r="T78" s="87"/>
      <c r="U78" s="128">
        <v>59</v>
      </c>
      <c r="V78" s="128">
        <v>8209.66</v>
      </c>
      <c r="W78" s="128">
        <v>21.85</v>
      </c>
      <c r="X78" s="128">
        <v>113</v>
      </c>
      <c r="Y78" s="128">
        <v>91470.93</v>
      </c>
      <c r="Z78" s="128">
        <v>319.27</v>
      </c>
      <c r="AA78" s="128">
        <v>1</v>
      </c>
      <c r="AB78"/>
      <c r="AC78" s="130">
        <f t="shared" si="0"/>
        <v>7145</v>
      </c>
      <c r="AD78"/>
      <c r="AE78" s="128"/>
      <c r="AF78" s="128"/>
      <c r="AG78" s="128"/>
      <c r="AI78" s="128">
        <v>4591849.6399999997</v>
      </c>
      <c r="AJ78" s="128">
        <v>12310.89</v>
      </c>
    </row>
    <row r="79" spans="1:36" x14ac:dyDescent="0.2">
      <c r="A79" s="82">
        <v>2017</v>
      </c>
      <c r="B79" s="83" t="s">
        <v>84</v>
      </c>
      <c r="C79" s="86"/>
      <c r="D79" s="128">
        <v>16791868.32</v>
      </c>
      <c r="E79" s="128">
        <v>209082.47</v>
      </c>
      <c r="F79" s="128">
        <v>4440652.400000019</v>
      </c>
      <c r="G79" s="128">
        <v>6425</v>
      </c>
      <c r="H79" s="128">
        <v>1869892.280000001</v>
      </c>
      <c r="I79" s="128">
        <v>643</v>
      </c>
      <c r="J79" s="128">
        <v>3466864.9999999995</v>
      </c>
      <c r="K79" s="128">
        <v>10723.880000000005</v>
      </c>
      <c r="L79" s="128">
        <v>78</v>
      </c>
      <c r="M79" s="128">
        <v>3756647.91</v>
      </c>
      <c r="N79" s="128">
        <v>10151.31</v>
      </c>
      <c r="O79" s="128">
        <v>11</v>
      </c>
      <c r="P79" s="128">
        <v>2661718.96</v>
      </c>
      <c r="Q79" s="128">
        <v>5723.32</v>
      </c>
      <c r="R79" s="128">
        <v>2</v>
      </c>
      <c r="S79" s="128">
        <v>31052.339999999997</v>
      </c>
      <c r="T79" s="87"/>
      <c r="U79" s="128">
        <v>58</v>
      </c>
      <c r="V79" s="128">
        <v>8209.67</v>
      </c>
      <c r="W79" s="128">
        <v>22.299999999999994</v>
      </c>
      <c r="X79" s="128">
        <v>113</v>
      </c>
      <c r="Y79" s="128">
        <v>103523.45</v>
      </c>
      <c r="Z79" s="128">
        <v>319.27</v>
      </c>
      <c r="AA79" s="128">
        <v>1</v>
      </c>
      <c r="AB79"/>
      <c r="AC79" s="130">
        <f t="shared" si="0"/>
        <v>7160</v>
      </c>
      <c r="AD79"/>
      <c r="AE79" s="128"/>
      <c r="AF79" s="128"/>
      <c r="AG79" s="128"/>
      <c r="AI79" s="128">
        <v>5030992.41</v>
      </c>
      <c r="AJ79" s="128">
        <v>12207.71</v>
      </c>
    </row>
    <row r="80" spans="1:36" x14ac:dyDescent="0.2">
      <c r="A80" s="82">
        <v>2017</v>
      </c>
      <c r="B80" s="83" t="s">
        <v>85</v>
      </c>
      <c r="C80" s="86"/>
      <c r="D80" s="128">
        <v>15184922.210000001</v>
      </c>
      <c r="E80" s="128">
        <v>202752.04</v>
      </c>
      <c r="F80" s="128">
        <v>3962647.9499999858</v>
      </c>
      <c r="G80" s="128">
        <v>6431</v>
      </c>
      <c r="H80" s="128">
        <v>1721550.6999999976</v>
      </c>
      <c r="I80" s="128">
        <v>643</v>
      </c>
      <c r="J80" s="128">
        <v>3260137.9000000008</v>
      </c>
      <c r="K80" s="128">
        <v>10778.630000000008</v>
      </c>
      <c r="L80" s="128">
        <v>78</v>
      </c>
      <c r="M80" s="128">
        <v>3341534.2699999996</v>
      </c>
      <c r="N80" s="128">
        <v>10017.82</v>
      </c>
      <c r="O80" s="128">
        <v>12</v>
      </c>
      <c r="P80" s="128">
        <v>2359314.4</v>
      </c>
      <c r="Q80" s="128">
        <v>5697.7000000000007</v>
      </c>
      <c r="R80" s="128">
        <v>2</v>
      </c>
      <c r="S80" s="128">
        <v>28484.880000000001</v>
      </c>
      <c r="T80" s="87"/>
      <c r="U80" s="128">
        <v>58</v>
      </c>
      <c r="V80" s="128">
        <v>7944.8300000000008</v>
      </c>
      <c r="W80" s="128">
        <v>21.569999999999997</v>
      </c>
      <c r="X80" s="128">
        <v>113</v>
      </c>
      <c r="Y80" s="128">
        <v>112143.52</v>
      </c>
      <c r="Z80" s="128">
        <v>319.27</v>
      </c>
      <c r="AA80" s="128">
        <v>1</v>
      </c>
      <c r="AB80"/>
      <c r="AC80" s="130">
        <f t="shared" si="0"/>
        <v>7167</v>
      </c>
      <c r="AD80"/>
      <c r="AE80" s="128"/>
      <c r="AF80" s="128"/>
      <c r="AG80" s="128"/>
      <c r="AI80" s="128">
        <v>4528421.4700000007</v>
      </c>
      <c r="AJ80" s="128">
        <v>11961.58</v>
      </c>
    </row>
    <row r="81" spans="1:36" x14ac:dyDescent="0.2">
      <c r="A81" s="82">
        <v>2017</v>
      </c>
      <c r="B81" s="83" t="s">
        <v>86</v>
      </c>
      <c r="C81" s="86"/>
      <c r="D81" s="128">
        <v>14823920.949999999</v>
      </c>
      <c r="E81" s="128">
        <v>127443.61</v>
      </c>
      <c r="F81" s="128">
        <v>3727637.3900000011</v>
      </c>
      <c r="G81" s="128">
        <v>6436</v>
      </c>
      <c r="H81" s="128">
        <v>1675304.3100000026</v>
      </c>
      <c r="I81" s="128">
        <v>648</v>
      </c>
      <c r="J81" s="128">
        <v>3314278.77</v>
      </c>
      <c r="K81" s="128">
        <v>10855.48</v>
      </c>
      <c r="L81" s="128">
        <v>78</v>
      </c>
      <c r="M81" s="128">
        <v>3408829.4699999997</v>
      </c>
      <c r="N81" s="128">
        <v>9733.4500000000007</v>
      </c>
      <c r="O81" s="128">
        <v>12</v>
      </c>
      <c r="P81" s="128">
        <v>2488544.56</v>
      </c>
      <c r="Q81" s="128">
        <v>5643.5599999999995</v>
      </c>
      <c r="R81" s="128">
        <v>2</v>
      </c>
      <c r="S81" s="128">
        <v>31219.799999999996</v>
      </c>
      <c r="T81" s="87"/>
      <c r="U81" s="128">
        <v>58</v>
      </c>
      <c r="V81" s="128">
        <v>8209.6700000000019</v>
      </c>
      <c r="W81" s="128">
        <v>22.6</v>
      </c>
      <c r="X81" s="128">
        <v>113</v>
      </c>
      <c r="Y81" s="128">
        <v>130661.32</v>
      </c>
      <c r="Z81" s="128">
        <v>319.27</v>
      </c>
      <c r="AA81" s="128">
        <v>1</v>
      </c>
      <c r="AB81"/>
      <c r="AC81" s="130">
        <f t="shared" si="0"/>
        <v>7177</v>
      </c>
      <c r="AD81"/>
      <c r="AE81" s="128"/>
      <c r="AF81" s="128"/>
      <c r="AG81" s="128"/>
      <c r="AI81" s="128">
        <v>4675331.34</v>
      </c>
      <c r="AJ81" s="128">
        <v>11642.33</v>
      </c>
    </row>
    <row r="82" spans="1:36" x14ac:dyDescent="0.2">
      <c r="A82" s="82">
        <v>2017</v>
      </c>
      <c r="B82" s="83" t="s">
        <v>87</v>
      </c>
      <c r="C82" s="86"/>
      <c r="D82" s="128">
        <v>15176795.18</v>
      </c>
      <c r="E82" s="128">
        <v>76466.039999999994</v>
      </c>
      <c r="F82" s="128">
        <v>3825209.1699999915</v>
      </c>
      <c r="G82" s="128">
        <v>6451</v>
      </c>
      <c r="H82" s="128">
        <v>1664761.0899999966</v>
      </c>
      <c r="I82" s="128">
        <v>647</v>
      </c>
      <c r="J82" s="128">
        <v>3414745.8499999996</v>
      </c>
      <c r="K82" s="128">
        <v>10436.410000000002</v>
      </c>
      <c r="L82" s="128">
        <v>78</v>
      </c>
      <c r="M82" s="128">
        <v>3144378.7300000004</v>
      </c>
      <c r="N82" s="128">
        <v>9259.5499999999993</v>
      </c>
      <c r="O82" s="128">
        <v>12</v>
      </c>
      <c r="P82" s="128">
        <v>2610689.3600000003</v>
      </c>
      <c r="Q82" s="128">
        <v>5535.12</v>
      </c>
      <c r="R82" s="128">
        <v>2</v>
      </c>
      <c r="S82" s="128">
        <v>29773.030000000002</v>
      </c>
      <c r="T82" s="87"/>
      <c r="U82" s="128">
        <v>57</v>
      </c>
      <c r="V82" s="128">
        <v>8500.1700000000019</v>
      </c>
      <c r="W82" s="128">
        <v>24.550000000000004</v>
      </c>
      <c r="X82" s="128">
        <v>113</v>
      </c>
      <c r="Y82" s="128">
        <v>138483.51</v>
      </c>
      <c r="Z82" s="128">
        <v>319.27</v>
      </c>
      <c r="AA82" s="128">
        <v>1</v>
      </c>
      <c r="AB82"/>
      <c r="AC82" s="130">
        <f t="shared" si="0"/>
        <v>7191</v>
      </c>
      <c r="AD82"/>
      <c r="AE82" s="128"/>
      <c r="AF82" s="128"/>
      <c r="AG82" s="128"/>
      <c r="AI82" s="128">
        <v>4727682.0600000005</v>
      </c>
      <c r="AJ82" s="128">
        <v>11199.9</v>
      </c>
    </row>
    <row r="83" spans="1:36" x14ac:dyDescent="0.2">
      <c r="A83" s="82">
        <v>2017</v>
      </c>
      <c r="B83" s="83" t="s">
        <v>88</v>
      </c>
      <c r="C83" s="86"/>
      <c r="D83" s="128">
        <v>15312049.84</v>
      </c>
      <c r="E83" s="128">
        <v>29462.42</v>
      </c>
      <c r="F83" s="128">
        <v>4595954.4399999995</v>
      </c>
      <c r="G83" s="128">
        <v>6450</v>
      </c>
      <c r="H83" s="128">
        <v>1879594.5</v>
      </c>
      <c r="I83" s="128">
        <v>646</v>
      </c>
      <c r="J83" s="128">
        <v>3417405.0899999994</v>
      </c>
      <c r="K83" s="128">
        <v>9815.6999999999989</v>
      </c>
      <c r="L83" s="128">
        <v>79</v>
      </c>
      <c r="M83" s="128">
        <v>2747179.61</v>
      </c>
      <c r="N83" s="128">
        <v>9091.16</v>
      </c>
      <c r="O83" s="128">
        <v>12</v>
      </c>
      <c r="P83" s="128">
        <v>2015539.2</v>
      </c>
      <c r="Q83" s="128">
        <v>5652.17</v>
      </c>
      <c r="R83" s="128">
        <v>2</v>
      </c>
      <c r="S83" s="128">
        <v>30198.030000000002</v>
      </c>
      <c r="T83" s="87"/>
      <c r="U83" s="128">
        <v>58</v>
      </c>
      <c r="V83" s="128">
        <v>9255.9900000000016</v>
      </c>
      <c r="W83" s="128">
        <v>24.45</v>
      </c>
      <c r="X83" s="128">
        <v>113</v>
      </c>
      <c r="Y83" s="128">
        <v>150696.76</v>
      </c>
      <c r="Z83" s="128">
        <v>319.27</v>
      </c>
      <c r="AA83" s="128">
        <v>1</v>
      </c>
      <c r="AB83"/>
      <c r="AC83" s="130">
        <f t="shared" si="0"/>
        <v>7190</v>
      </c>
      <c r="AD83"/>
      <c r="AE83" s="128"/>
      <c r="AF83" s="128"/>
      <c r="AG83" s="128"/>
      <c r="AI83" s="128">
        <v>3893203.5300000003</v>
      </c>
      <c r="AJ83" s="128">
        <v>11144.36</v>
      </c>
    </row>
    <row r="84" spans="1:36" x14ac:dyDescent="0.2">
      <c r="A84" s="82">
        <v>2018</v>
      </c>
      <c r="B84" s="83" t="s">
        <v>78</v>
      </c>
      <c r="C84" s="86"/>
      <c r="D84" s="127">
        <v>16892328.899999995</v>
      </c>
      <c r="E84" s="127">
        <v>37099.270000000004</v>
      </c>
      <c r="F84" s="127">
        <v>4679737.5899999831</v>
      </c>
      <c r="G84" s="127">
        <v>6457</v>
      </c>
      <c r="H84" s="127">
        <v>1869572.2500000014</v>
      </c>
      <c r="I84" s="127">
        <v>648</v>
      </c>
      <c r="J84" s="127">
        <v>3652943.4300000011</v>
      </c>
      <c r="K84" s="127">
        <v>9763.9599999999991</v>
      </c>
      <c r="L84" s="127">
        <v>79</v>
      </c>
      <c r="M84" s="127">
        <v>3281582.99</v>
      </c>
      <c r="N84" s="127">
        <v>9179.11</v>
      </c>
      <c r="O84" s="127">
        <v>12</v>
      </c>
      <c r="P84" s="127">
        <v>2617422.3199999998</v>
      </c>
      <c r="Q84" s="127">
        <v>5636.39</v>
      </c>
      <c r="R84" s="127">
        <v>2</v>
      </c>
      <c r="S84" s="127">
        <v>27404.590000000004</v>
      </c>
      <c r="T84" s="85"/>
      <c r="U84" s="127">
        <v>89</v>
      </c>
      <c r="V84" s="127">
        <v>8173.7</v>
      </c>
      <c r="W84" s="127">
        <v>17.709999999999997</v>
      </c>
      <c r="X84" s="127">
        <v>112</v>
      </c>
      <c r="Y84" s="127">
        <v>148460.54999999999</v>
      </c>
      <c r="Z84" s="127">
        <v>319.27</v>
      </c>
      <c r="AA84" s="127">
        <v>1</v>
      </c>
      <c r="AB84"/>
      <c r="AC84" s="130">
        <f t="shared" si="0"/>
        <v>7199</v>
      </c>
      <c r="AD84"/>
      <c r="AE84" s="127"/>
      <c r="AF84" s="127"/>
      <c r="AG84" s="127"/>
      <c r="AI84" s="127">
        <v>4832859.3899999997</v>
      </c>
      <c r="AJ84" s="127">
        <v>11209</v>
      </c>
    </row>
    <row r="85" spans="1:36" x14ac:dyDescent="0.2">
      <c r="A85" s="82">
        <v>2018</v>
      </c>
      <c r="B85" s="83" t="s">
        <v>79</v>
      </c>
      <c r="C85" s="86"/>
      <c r="D85" s="128">
        <v>14940711.98</v>
      </c>
      <c r="E85" s="128">
        <v>50870.44</v>
      </c>
      <c r="F85" s="128">
        <v>3899916.5800000266</v>
      </c>
      <c r="G85" s="128">
        <v>6461</v>
      </c>
      <c r="H85" s="128">
        <v>1527996.4600000002</v>
      </c>
      <c r="I85" s="128">
        <v>647</v>
      </c>
      <c r="J85" s="128">
        <v>3249207.33</v>
      </c>
      <c r="K85" s="128">
        <v>10594.639999999998</v>
      </c>
      <c r="L85" s="128">
        <v>79</v>
      </c>
      <c r="M85" s="128">
        <v>2914549.9299999997</v>
      </c>
      <c r="N85" s="128">
        <v>9242.9599999999991</v>
      </c>
      <c r="O85" s="128">
        <v>12</v>
      </c>
      <c r="P85" s="128">
        <v>2491632.7200000002</v>
      </c>
      <c r="Q85" s="128">
        <v>5773.58</v>
      </c>
      <c r="R85" s="128">
        <v>2</v>
      </c>
      <c r="S85" s="128">
        <v>27894.91</v>
      </c>
      <c r="T85" s="87"/>
      <c r="U85" s="128">
        <v>57</v>
      </c>
      <c r="V85" s="128">
        <v>7351.3400000000011</v>
      </c>
      <c r="W85" s="128">
        <v>20.880000000000003</v>
      </c>
      <c r="X85" s="128">
        <v>112</v>
      </c>
      <c r="Y85" s="128">
        <v>134093.4</v>
      </c>
      <c r="Z85" s="128">
        <v>319.27</v>
      </c>
      <c r="AA85" s="128">
        <v>1</v>
      </c>
      <c r="AB85"/>
      <c r="AC85" s="130">
        <f t="shared" si="0"/>
        <v>7202</v>
      </c>
      <c r="AD85"/>
      <c r="AE85" s="128"/>
      <c r="AF85" s="128"/>
      <c r="AG85" s="128"/>
      <c r="AI85" s="128">
        <v>4439150.66</v>
      </c>
      <c r="AJ85" s="128">
        <v>11405.72</v>
      </c>
    </row>
    <row r="86" spans="1:36" x14ac:dyDescent="0.2">
      <c r="A86" s="82">
        <v>2018</v>
      </c>
      <c r="B86" s="83" t="s">
        <v>80</v>
      </c>
      <c r="C86" s="86"/>
      <c r="D86" s="128">
        <v>15870053.460000001</v>
      </c>
      <c r="E86" s="128">
        <v>157401.99</v>
      </c>
      <c r="F86" s="128">
        <v>4086281.3600000017</v>
      </c>
      <c r="G86" s="128">
        <v>6473</v>
      </c>
      <c r="H86" s="128">
        <v>1937484.5500000049</v>
      </c>
      <c r="I86" s="128">
        <v>645</v>
      </c>
      <c r="J86" s="128">
        <v>3600836.7899999991</v>
      </c>
      <c r="K86" s="128">
        <v>10840.199999999997</v>
      </c>
      <c r="L86" s="128">
        <v>79</v>
      </c>
      <c r="M86" s="128">
        <v>3256687.47</v>
      </c>
      <c r="N86" s="128">
        <v>9171.18</v>
      </c>
      <c r="O86" s="128">
        <v>12</v>
      </c>
      <c r="P86" s="128">
        <v>2648442.16</v>
      </c>
      <c r="Q86" s="128">
        <v>5849.93</v>
      </c>
      <c r="R86" s="128">
        <v>2</v>
      </c>
      <c r="S86" s="128">
        <v>30285.46</v>
      </c>
      <c r="T86" s="87"/>
      <c r="U86" s="128">
        <v>57</v>
      </c>
      <c r="V86" s="128">
        <v>8138.9799999999987</v>
      </c>
      <c r="W86" s="128">
        <v>22.910000000000004</v>
      </c>
      <c r="X86" s="128">
        <v>112</v>
      </c>
      <c r="Y86" s="128">
        <v>124116.37</v>
      </c>
      <c r="Z86" s="128">
        <v>319.27</v>
      </c>
      <c r="AA86" s="128">
        <v>1</v>
      </c>
      <c r="AB86"/>
      <c r="AC86" s="130">
        <f t="shared" si="0"/>
        <v>7212</v>
      </c>
      <c r="AD86"/>
      <c r="AE86" s="128"/>
      <c r="AF86" s="128"/>
      <c r="AG86" s="128"/>
      <c r="AI86" s="128">
        <v>4732142.5600000005</v>
      </c>
      <c r="AJ86" s="128">
        <v>11405.839999999998</v>
      </c>
    </row>
    <row r="87" spans="1:36" x14ac:dyDescent="0.2">
      <c r="A87" s="82">
        <v>2018</v>
      </c>
      <c r="B87" s="83" t="s">
        <v>81</v>
      </c>
      <c r="C87" s="86"/>
      <c r="D87" s="128">
        <v>14690754.840000002</v>
      </c>
      <c r="E87" s="128">
        <v>155665.48000000001</v>
      </c>
      <c r="F87" s="128">
        <v>3764974.6000000113</v>
      </c>
      <c r="G87" s="128">
        <v>6481</v>
      </c>
      <c r="H87" s="128">
        <v>1599821.1799999992</v>
      </c>
      <c r="I87" s="128">
        <v>645</v>
      </c>
      <c r="J87" s="128">
        <v>3425443.4700000007</v>
      </c>
      <c r="K87" s="128">
        <v>10491.81</v>
      </c>
      <c r="L87" s="128">
        <v>79</v>
      </c>
      <c r="M87" s="128">
        <v>2888116.2</v>
      </c>
      <c r="N87" s="128">
        <v>8976.25</v>
      </c>
      <c r="O87" s="128">
        <v>12</v>
      </c>
      <c r="P87" s="128">
        <v>2507678.6399999997</v>
      </c>
      <c r="Q87" s="128">
        <v>5611.2199999999993</v>
      </c>
      <c r="R87" s="128">
        <v>2</v>
      </c>
      <c r="S87" s="128">
        <v>27623.82</v>
      </c>
      <c r="T87" s="87"/>
      <c r="U87" s="128">
        <v>57</v>
      </c>
      <c r="V87" s="128">
        <v>7876.44</v>
      </c>
      <c r="W87" s="128">
        <v>20.890000000000004</v>
      </c>
      <c r="X87" s="128">
        <v>112</v>
      </c>
      <c r="Y87" s="128">
        <v>105838.01</v>
      </c>
      <c r="Z87" s="128">
        <v>319.27</v>
      </c>
      <c r="AA87" s="128">
        <v>1</v>
      </c>
      <c r="AB87"/>
      <c r="AC87" s="130">
        <f t="shared" si="0"/>
        <v>7220</v>
      </c>
      <c r="AD87"/>
      <c r="AE87" s="128"/>
      <c r="AF87" s="128"/>
      <c r="AG87" s="128"/>
      <c r="AI87" s="128">
        <v>4436095.1500000004</v>
      </c>
      <c r="AJ87" s="128">
        <v>10782.85</v>
      </c>
    </row>
    <row r="88" spans="1:36" x14ac:dyDescent="0.2">
      <c r="A88" s="82">
        <v>2018</v>
      </c>
      <c r="B88" s="83" t="s">
        <v>52</v>
      </c>
      <c r="C88" s="86"/>
      <c r="D88" s="128">
        <v>15199975.959999999</v>
      </c>
      <c r="E88" s="128">
        <v>229192.52000000002</v>
      </c>
      <c r="F88" s="128">
        <v>3776753.9099999913</v>
      </c>
      <c r="G88" s="128">
        <v>6487</v>
      </c>
      <c r="H88" s="128">
        <v>1677138.7700000003</v>
      </c>
      <c r="I88" s="128">
        <v>649</v>
      </c>
      <c r="J88" s="128">
        <v>3475570.7899999996</v>
      </c>
      <c r="K88" s="128">
        <v>11082.58</v>
      </c>
      <c r="L88" s="128">
        <v>79</v>
      </c>
      <c r="M88" s="128">
        <v>3328251.6100000003</v>
      </c>
      <c r="N88" s="128">
        <v>9165.19</v>
      </c>
      <c r="O88" s="128">
        <v>12</v>
      </c>
      <c r="P88" s="128">
        <v>2564934.16</v>
      </c>
      <c r="Q88" s="128">
        <v>5781.2</v>
      </c>
      <c r="R88" s="128">
        <v>2</v>
      </c>
      <c r="S88" s="128">
        <v>29949.27</v>
      </c>
      <c r="T88" s="87"/>
      <c r="U88" s="128">
        <v>57</v>
      </c>
      <c r="V88" s="128">
        <v>8138.989999999998</v>
      </c>
      <c r="W88" s="128">
        <v>21.48</v>
      </c>
      <c r="X88" s="128">
        <v>112</v>
      </c>
      <c r="Y88" s="128">
        <v>96898.37</v>
      </c>
      <c r="Z88" s="128">
        <v>319.27</v>
      </c>
      <c r="AA88" s="128">
        <v>1</v>
      </c>
      <c r="AB88"/>
      <c r="AC88" s="130">
        <f t="shared" si="0"/>
        <v>7230</v>
      </c>
      <c r="AD88"/>
      <c r="AE88" s="128"/>
      <c r="AF88" s="128"/>
      <c r="AG88" s="128"/>
      <c r="AI88" s="128">
        <v>4637784.51</v>
      </c>
      <c r="AJ88" s="128">
        <v>11098.53</v>
      </c>
    </row>
    <row r="89" spans="1:36" x14ac:dyDescent="0.2">
      <c r="A89" s="82">
        <v>2018</v>
      </c>
      <c r="B89" s="83" t="s">
        <v>82</v>
      </c>
      <c r="C89" s="86"/>
      <c r="D89" s="128">
        <v>15726339.940000001</v>
      </c>
      <c r="E89" s="128">
        <v>208452.3</v>
      </c>
      <c r="F89" s="128">
        <v>4629952.9899999797</v>
      </c>
      <c r="G89" s="128">
        <v>6505</v>
      </c>
      <c r="H89" s="128">
        <v>1809140.7700000014</v>
      </c>
      <c r="I89" s="128">
        <v>648</v>
      </c>
      <c r="J89" s="128">
        <v>3558355.0699999994</v>
      </c>
      <c r="K89" s="128">
        <v>11506.579999999994</v>
      </c>
      <c r="L89" s="128">
        <v>79</v>
      </c>
      <c r="M89" s="128">
        <v>3170218.95</v>
      </c>
      <c r="N89" s="128">
        <v>9773.130000000001</v>
      </c>
      <c r="O89" s="128">
        <v>12</v>
      </c>
      <c r="P89" s="128">
        <v>2400446.16</v>
      </c>
      <c r="Q89" s="128">
        <v>5598.5</v>
      </c>
      <c r="R89" s="128">
        <v>2</v>
      </c>
      <c r="S89" s="128">
        <v>27960.320000000003</v>
      </c>
      <c r="T89" s="87"/>
      <c r="U89" s="128">
        <v>57</v>
      </c>
      <c r="V89" s="128">
        <v>7876.44</v>
      </c>
      <c r="W89" s="128">
        <v>21.47</v>
      </c>
      <c r="X89" s="128">
        <v>112</v>
      </c>
      <c r="Y89" s="128">
        <v>77475.11</v>
      </c>
      <c r="Z89" s="128">
        <v>286.14999999999998</v>
      </c>
      <c r="AA89" s="128">
        <v>1</v>
      </c>
      <c r="AB89"/>
      <c r="AC89" s="130">
        <f t="shared" ref="AC89:AC142" si="1">G89+I89+L89+O89+R89+AA89</f>
        <v>7247</v>
      </c>
      <c r="AD89"/>
      <c r="AE89" s="128"/>
      <c r="AF89" s="128"/>
      <c r="AG89" s="128"/>
      <c r="AI89" s="128">
        <v>4343244.7</v>
      </c>
      <c r="AJ89" s="128">
        <v>11321.71</v>
      </c>
    </row>
    <row r="90" spans="1:36" x14ac:dyDescent="0.2">
      <c r="A90" s="82">
        <v>2018</v>
      </c>
      <c r="B90" s="83" t="s">
        <v>83</v>
      </c>
      <c r="C90" s="86"/>
      <c r="D90" s="128">
        <v>17253025.84</v>
      </c>
      <c r="E90" s="128">
        <v>237873.48</v>
      </c>
      <c r="F90" s="128">
        <v>5586071.3299999796</v>
      </c>
      <c r="G90" s="128">
        <v>6526</v>
      </c>
      <c r="H90" s="128">
        <v>2081147.2800000003</v>
      </c>
      <c r="I90" s="128">
        <v>649</v>
      </c>
      <c r="J90" s="128">
        <v>3660394.26</v>
      </c>
      <c r="K90" s="128">
        <v>11704.979999999996</v>
      </c>
      <c r="L90" s="128">
        <v>80</v>
      </c>
      <c r="M90" s="128">
        <v>3045205.3699999996</v>
      </c>
      <c r="N90" s="128">
        <v>9992.44</v>
      </c>
      <c r="O90" s="128">
        <v>12</v>
      </c>
      <c r="P90" s="128">
        <v>2238738.4</v>
      </c>
      <c r="Q90" s="128">
        <v>5481.81</v>
      </c>
      <c r="R90" s="128">
        <v>2</v>
      </c>
      <c r="S90" s="128">
        <v>29743.329999999998</v>
      </c>
      <c r="T90" s="87"/>
      <c r="U90" s="128">
        <v>57</v>
      </c>
      <c r="V90" s="128">
        <v>8134.4299999999994</v>
      </c>
      <c r="W90" s="128">
        <v>21.58</v>
      </c>
      <c r="X90" s="128">
        <v>112</v>
      </c>
      <c r="Y90" s="128">
        <v>69227.070000000007</v>
      </c>
      <c r="Z90" s="128">
        <v>241.63</v>
      </c>
      <c r="AA90" s="128">
        <v>1</v>
      </c>
      <c r="AB90"/>
      <c r="AC90" s="130">
        <f t="shared" si="1"/>
        <v>7270</v>
      </c>
      <c r="AD90"/>
      <c r="AE90" s="128"/>
      <c r="AF90" s="128"/>
      <c r="AG90" s="128"/>
      <c r="AI90" s="128">
        <v>4189312.98</v>
      </c>
      <c r="AJ90" s="128">
        <v>11266.74</v>
      </c>
    </row>
    <row r="91" spans="1:36" x14ac:dyDescent="0.2">
      <c r="A91" s="82">
        <v>2018</v>
      </c>
      <c r="B91" s="83" t="s">
        <v>84</v>
      </c>
      <c r="C91" s="86"/>
      <c r="D91" s="128">
        <v>17560844.650000006</v>
      </c>
      <c r="E91" s="128">
        <v>198710.13</v>
      </c>
      <c r="F91" s="128">
        <v>5518344.8000000231</v>
      </c>
      <c r="G91" s="128">
        <v>6544</v>
      </c>
      <c r="H91" s="128">
        <v>2046841.330000001</v>
      </c>
      <c r="I91" s="128">
        <v>649</v>
      </c>
      <c r="J91" s="128">
        <v>3787770.97</v>
      </c>
      <c r="K91" s="128">
        <v>11642.560000000003</v>
      </c>
      <c r="L91" s="128">
        <v>81</v>
      </c>
      <c r="M91" s="128">
        <v>3330568.88</v>
      </c>
      <c r="N91" s="128">
        <v>9748.69</v>
      </c>
      <c r="O91" s="128">
        <v>12</v>
      </c>
      <c r="P91" s="128">
        <v>2311146.7199999997</v>
      </c>
      <c r="Q91" s="128">
        <v>5295.31</v>
      </c>
      <c r="R91" s="128">
        <v>2</v>
      </c>
      <c r="S91" s="128">
        <v>28630.95</v>
      </c>
      <c r="T91" s="87"/>
      <c r="U91" s="128">
        <v>56</v>
      </c>
      <c r="V91" s="128">
        <v>8138.99</v>
      </c>
      <c r="W91" s="128">
        <v>21.750000000000004</v>
      </c>
      <c r="X91" s="128">
        <v>112</v>
      </c>
      <c r="Y91" s="128">
        <v>69940.73</v>
      </c>
      <c r="Z91" s="128">
        <v>215.7</v>
      </c>
      <c r="AA91" s="128">
        <v>1</v>
      </c>
      <c r="AB91"/>
      <c r="AC91" s="130">
        <f t="shared" si="1"/>
        <v>7289</v>
      </c>
      <c r="AD91"/>
      <c r="AE91" s="128"/>
      <c r="AF91" s="128"/>
      <c r="AG91" s="128"/>
      <c r="AI91" s="128">
        <v>4350827.2699999996</v>
      </c>
      <c r="AJ91" s="128">
        <v>10928.82</v>
      </c>
    </row>
    <row r="92" spans="1:36" x14ac:dyDescent="0.2">
      <c r="A92" s="82">
        <v>2018</v>
      </c>
      <c r="B92" s="83" t="s">
        <v>85</v>
      </c>
      <c r="C92" s="86"/>
      <c r="D92" s="128">
        <v>15504314.149999997</v>
      </c>
      <c r="E92" s="128">
        <v>151817.58000000002</v>
      </c>
      <c r="F92" s="128">
        <v>4480226.4400000181</v>
      </c>
      <c r="G92" s="128">
        <v>6552</v>
      </c>
      <c r="H92" s="128">
        <v>1756996.7300000004</v>
      </c>
      <c r="I92" s="128">
        <v>648</v>
      </c>
      <c r="J92" s="128">
        <v>3478371.86</v>
      </c>
      <c r="K92" s="128">
        <v>11886.309999999994</v>
      </c>
      <c r="L92" s="128">
        <v>81</v>
      </c>
      <c r="M92" s="128">
        <v>3113097.5199999996</v>
      </c>
      <c r="N92" s="128">
        <v>10124.74</v>
      </c>
      <c r="O92" s="128">
        <v>13</v>
      </c>
      <c r="P92" s="128">
        <v>2261266.7999999998</v>
      </c>
      <c r="Q92" s="128">
        <v>5635.6</v>
      </c>
      <c r="R92" s="128">
        <v>2</v>
      </c>
      <c r="S92" s="128">
        <v>27365.969999999998</v>
      </c>
      <c r="T92" s="87"/>
      <c r="U92" s="128">
        <v>56</v>
      </c>
      <c r="V92" s="128">
        <v>7876.4400000000005</v>
      </c>
      <c r="W92" s="128">
        <v>22.410000000000004</v>
      </c>
      <c r="X92" s="128">
        <v>112</v>
      </c>
      <c r="Y92" s="128">
        <v>68142.5</v>
      </c>
      <c r="Z92" s="128">
        <v>194</v>
      </c>
      <c r="AA92" s="128">
        <v>1</v>
      </c>
      <c r="AB92"/>
      <c r="AC92" s="130">
        <f t="shared" si="1"/>
        <v>7297</v>
      </c>
      <c r="AD92"/>
      <c r="AE92" s="128"/>
      <c r="AF92" s="128"/>
      <c r="AG92" s="128"/>
      <c r="AI92" s="128">
        <v>4169153.07</v>
      </c>
      <c r="AJ92" s="128">
        <v>11446.000000000002</v>
      </c>
    </row>
    <row r="93" spans="1:36" x14ac:dyDescent="0.2">
      <c r="A93" s="82">
        <v>2018</v>
      </c>
      <c r="B93" s="83" t="s">
        <v>86</v>
      </c>
      <c r="C93" s="86"/>
      <c r="D93" s="128">
        <v>15079922.620000003</v>
      </c>
      <c r="E93" s="128">
        <v>103570.98</v>
      </c>
      <c r="F93" s="128">
        <v>3896481.059999974</v>
      </c>
      <c r="G93" s="128">
        <v>6565</v>
      </c>
      <c r="H93" s="128">
        <v>1605720.5299999986</v>
      </c>
      <c r="I93" s="128">
        <v>648</v>
      </c>
      <c r="J93" s="128">
        <v>3574917.6999999988</v>
      </c>
      <c r="K93" s="128">
        <v>11094.33</v>
      </c>
      <c r="L93" s="128">
        <v>80</v>
      </c>
      <c r="M93" s="128">
        <v>3158443.5300000003</v>
      </c>
      <c r="N93" s="128">
        <v>9774.24</v>
      </c>
      <c r="O93" s="128">
        <v>13</v>
      </c>
      <c r="P93" s="128">
        <v>2412551.6</v>
      </c>
      <c r="Q93" s="128">
        <v>5405.08</v>
      </c>
      <c r="R93" s="128">
        <v>2</v>
      </c>
      <c r="S93" s="128">
        <v>29565.97</v>
      </c>
      <c r="T93" s="87"/>
      <c r="U93" s="128">
        <v>56</v>
      </c>
      <c r="V93" s="128">
        <v>8138.99</v>
      </c>
      <c r="W93" s="128">
        <v>21.930000000000003</v>
      </c>
      <c r="X93" s="128">
        <v>112</v>
      </c>
      <c r="Y93" s="128">
        <v>75302</v>
      </c>
      <c r="Z93" s="128">
        <v>184</v>
      </c>
      <c r="AA93" s="128">
        <v>1</v>
      </c>
      <c r="AB93"/>
      <c r="AC93" s="130">
        <f t="shared" si="1"/>
        <v>7309</v>
      </c>
      <c r="AD93"/>
      <c r="AE93" s="128"/>
      <c r="AF93" s="128"/>
      <c r="AG93" s="128"/>
      <c r="AI93" s="128">
        <v>4394916.3099999996</v>
      </c>
      <c r="AJ93" s="128">
        <v>11070.960000000001</v>
      </c>
    </row>
    <row r="94" spans="1:36" x14ac:dyDescent="0.2">
      <c r="A94" s="82">
        <v>2018</v>
      </c>
      <c r="B94" s="83" t="s">
        <v>87</v>
      </c>
      <c r="C94" s="86"/>
      <c r="D94" s="128">
        <v>15240429.750000002</v>
      </c>
      <c r="E94" s="128">
        <v>36530.949999999997</v>
      </c>
      <c r="F94" s="128">
        <v>4052050.9199999864</v>
      </c>
      <c r="G94" s="128">
        <v>6566</v>
      </c>
      <c r="H94" s="128">
        <v>1671900.7100000009</v>
      </c>
      <c r="I94" s="128">
        <v>647</v>
      </c>
      <c r="J94" s="128">
        <v>3593017</v>
      </c>
      <c r="K94" s="128">
        <v>10378.86</v>
      </c>
      <c r="L94" s="128">
        <v>80</v>
      </c>
      <c r="M94" s="128">
        <v>2992505.92</v>
      </c>
      <c r="N94" s="128">
        <v>9186.0299999999988</v>
      </c>
      <c r="O94" s="128">
        <v>13</v>
      </c>
      <c r="P94" s="128">
        <v>2379631.5999999996</v>
      </c>
      <c r="Q94" s="128">
        <v>5305.7199999999993</v>
      </c>
      <c r="R94" s="128">
        <v>2</v>
      </c>
      <c r="S94" s="128">
        <v>27753.599999999999</v>
      </c>
      <c r="T94" s="87"/>
      <c r="U94" s="128">
        <v>56</v>
      </c>
      <c r="V94" s="128">
        <v>7876.4400000000005</v>
      </c>
      <c r="W94" s="128">
        <v>21.73</v>
      </c>
      <c r="X94" s="128">
        <v>112</v>
      </c>
      <c r="Y94" s="128">
        <v>70701.25</v>
      </c>
      <c r="Z94" s="128">
        <v>163</v>
      </c>
      <c r="AA94" s="128">
        <v>1</v>
      </c>
      <c r="AB94"/>
      <c r="AC94" s="130">
        <f t="shared" si="1"/>
        <v>7309</v>
      </c>
      <c r="AD94"/>
      <c r="AE94" s="128"/>
      <c r="AF94" s="128"/>
      <c r="AG94" s="128"/>
      <c r="AI94" s="128">
        <v>4286187.92</v>
      </c>
      <c r="AJ94" s="128">
        <v>10674.419999999998</v>
      </c>
    </row>
    <row r="95" spans="1:36" x14ac:dyDescent="0.2">
      <c r="A95" s="82">
        <v>2018</v>
      </c>
      <c r="B95" s="83" t="s">
        <v>88</v>
      </c>
      <c r="C95" s="86"/>
      <c r="D95" s="128">
        <v>14436070.189999999</v>
      </c>
      <c r="E95" s="128">
        <v>31997.420000000002</v>
      </c>
      <c r="F95" s="128">
        <v>4498644.7799999975</v>
      </c>
      <c r="G95" s="128">
        <v>6579</v>
      </c>
      <c r="H95" s="128">
        <v>1734915.8199999994</v>
      </c>
      <c r="I95" s="128">
        <v>653</v>
      </c>
      <c r="J95" s="128">
        <v>3338000.5400000005</v>
      </c>
      <c r="K95" s="128">
        <v>10478.92</v>
      </c>
      <c r="L95" s="128">
        <v>81</v>
      </c>
      <c r="M95" s="128">
        <v>2445992.8499999996</v>
      </c>
      <c r="N95" s="128">
        <v>9107.02</v>
      </c>
      <c r="O95" s="128">
        <v>13</v>
      </c>
      <c r="P95" s="128">
        <v>1853633.2000000002</v>
      </c>
      <c r="Q95" s="128">
        <v>5211.66</v>
      </c>
      <c r="R95" s="128">
        <v>2</v>
      </c>
      <c r="S95" s="128">
        <v>27687.63</v>
      </c>
      <c r="T95" s="87"/>
      <c r="U95" s="128">
        <v>56</v>
      </c>
      <c r="V95" s="128">
        <v>8093.3899999999994</v>
      </c>
      <c r="W95" s="128">
        <v>21.700000000000006</v>
      </c>
      <c r="X95" s="128">
        <v>112</v>
      </c>
      <c r="Y95" s="128">
        <v>76936</v>
      </c>
      <c r="Z95" s="128">
        <v>163</v>
      </c>
      <c r="AA95" s="128">
        <v>1</v>
      </c>
      <c r="AB95"/>
      <c r="AC95" s="130">
        <f t="shared" si="1"/>
        <v>7329</v>
      </c>
      <c r="AD95"/>
      <c r="AE95" s="128"/>
      <c r="AF95" s="128"/>
      <c r="AG95" s="128"/>
      <c r="AI95" s="128">
        <v>3400164.7600000002</v>
      </c>
      <c r="AJ95" s="128">
        <v>10668.53</v>
      </c>
    </row>
    <row r="96" spans="1:36" x14ac:dyDescent="0.2">
      <c r="A96" s="82">
        <v>2019</v>
      </c>
      <c r="B96" s="83" t="s">
        <v>78</v>
      </c>
      <c r="C96" s="86"/>
      <c r="D96" s="127">
        <v>16295154.600000001</v>
      </c>
      <c r="E96" s="127">
        <v>46539.969999999994</v>
      </c>
      <c r="F96" s="127">
        <v>4708105.3399999971</v>
      </c>
      <c r="G96" s="127">
        <v>6592</v>
      </c>
      <c r="H96" s="127">
        <v>1935959.6399999994</v>
      </c>
      <c r="I96" s="127">
        <v>652</v>
      </c>
      <c r="J96" s="127">
        <v>3894827.92</v>
      </c>
      <c r="K96" s="127">
        <v>11129.14</v>
      </c>
      <c r="L96" s="127">
        <v>76</v>
      </c>
      <c r="M96" s="127">
        <v>2615008.4900000002</v>
      </c>
      <c r="N96" s="127">
        <v>7760.8799999999992</v>
      </c>
      <c r="O96" s="127">
        <v>12</v>
      </c>
      <c r="P96" s="127">
        <v>2526074.4</v>
      </c>
      <c r="Q96" s="127">
        <v>5390.05</v>
      </c>
      <c r="R96" s="127">
        <v>2</v>
      </c>
      <c r="S96" s="127">
        <v>29538.05</v>
      </c>
      <c r="T96" s="85"/>
      <c r="U96" s="127">
        <v>56</v>
      </c>
      <c r="V96" s="127">
        <v>6726.7599999999993</v>
      </c>
      <c r="W96" s="127">
        <v>18.199999999999996</v>
      </c>
      <c r="X96" s="127">
        <v>112</v>
      </c>
      <c r="Y96" s="127">
        <v>72435</v>
      </c>
      <c r="Z96" s="127">
        <v>163</v>
      </c>
      <c r="AA96" s="127">
        <v>1</v>
      </c>
      <c r="AB96"/>
      <c r="AC96" s="130">
        <f t="shared" si="1"/>
        <v>7335</v>
      </c>
      <c r="AD96"/>
      <c r="AE96" s="127"/>
      <c r="AF96" s="127"/>
      <c r="AG96" s="127"/>
      <c r="AI96" s="127">
        <v>4090441.4</v>
      </c>
      <c r="AJ96" s="127">
        <v>9896.4500000000007</v>
      </c>
    </row>
    <row r="97" spans="1:36" x14ac:dyDescent="0.2">
      <c r="A97" s="82">
        <v>2019</v>
      </c>
      <c r="B97" s="83" t="s">
        <v>79</v>
      </c>
      <c r="C97" s="86"/>
      <c r="D97" s="128">
        <v>14247811.720000001</v>
      </c>
      <c r="E97" s="128">
        <v>62626.71</v>
      </c>
      <c r="F97" s="128">
        <v>4224617.4700000053</v>
      </c>
      <c r="G97" s="128">
        <v>6600</v>
      </c>
      <c r="H97" s="128">
        <v>1728345.7500000023</v>
      </c>
      <c r="I97" s="128">
        <v>652</v>
      </c>
      <c r="J97" s="128">
        <v>3473628.4799999991</v>
      </c>
      <c r="K97" s="128">
        <v>10989.490000000002</v>
      </c>
      <c r="L97" s="128">
        <v>76</v>
      </c>
      <c r="M97" s="128">
        <v>2171919.0699999998</v>
      </c>
      <c r="N97" s="128">
        <v>7545.66</v>
      </c>
      <c r="O97" s="128">
        <v>12</v>
      </c>
      <c r="P97" s="128">
        <v>2249014.7999999998</v>
      </c>
      <c r="Q97" s="128">
        <v>5480.15</v>
      </c>
      <c r="R97" s="128">
        <v>2</v>
      </c>
      <c r="S97" s="128">
        <v>25493.49</v>
      </c>
      <c r="T97" s="87"/>
      <c r="U97" s="128">
        <v>56</v>
      </c>
      <c r="V97" s="128">
        <v>6112.84</v>
      </c>
      <c r="W97" s="128">
        <v>17.899999999999999</v>
      </c>
      <c r="X97" s="128">
        <v>112</v>
      </c>
      <c r="Y97" s="128">
        <v>51780</v>
      </c>
      <c r="Z97" s="128">
        <v>155</v>
      </c>
      <c r="AA97" s="128">
        <v>1</v>
      </c>
      <c r="AB97"/>
      <c r="AC97" s="130">
        <f t="shared" si="1"/>
        <v>7343</v>
      </c>
      <c r="AD97"/>
      <c r="AE97" s="128"/>
      <c r="AF97" s="128"/>
      <c r="AG97" s="128"/>
      <c r="AI97" s="128">
        <v>3573066.4899999998</v>
      </c>
      <c r="AJ97" s="128">
        <v>9750.49</v>
      </c>
    </row>
    <row r="98" spans="1:36" x14ac:dyDescent="0.2">
      <c r="A98" s="82">
        <v>2019</v>
      </c>
      <c r="B98" s="83" t="s">
        <v>80</v>
      </c>
      <c r="C98" s="86"/>
      <c r="D98" s="128">
        <v>14861723.25</v>
      </c>
      <c r="E98" s="128">
        <v>152139.06</v>
      </c>
      <c r="F98" s="128">
        <v>4226400.349999995</v>
      </c>
      <c r="G98" s="128">
        <v>6604</v>
      </c>
      <c r="H98" s="128">
        <v>1803161.4900000009</v>
      </c>
      <c r="I98" s="128">
        <v>652</v>
      </c>
      <c r="J98" s="128">
        <v>3702294.6899999985</v>
      </c>
      <c r="K98" s="128">
        <v>10554.819999999998</v>
      </c>
      <c r="L98" s="128">
        <v>76</v>
      </c>
      <c r="M98" s="128">
        <v>2315287.04</v>
      </c>
      <c r="N98" s="128">
        <v>7718.45</v>
      </c>
      <c r="O98" s="128">
        <v>12</v>
      </c>
      <c r="P98" s="128">
        <v>2386074.7999999998</v>
      </c>
      <c r="Q98" s="128">
        <v>5118.68</v>
      </c>
      <c r="R98" s="128">
        <v>2</v>
      </c>
      <c r="S98" s="128">
        <v>30062.19</v>
      </c>
      <c r="T98" s="87"/>
      <c r="U98" s="128">
        <v>56</v>
      </c>
      <c r="V98" s="128">
        <v>6767.79</v>
      </c>
      <c r="W98" s="128">
        <v>19.420000000000005</v>
      </c>
      <c r="X98" s="128">
        <v>112</v>
      </c>
      <c r="Y98" s="128">
        <v>45872.5</v>
      </c>
      <c r="Z98" s="128">
        <v>118</v>
      </c>
      <c r="AA98" s="128">
        <v>1</v>
      </c>
      <c r="AB98"/>
      <c r="AC98" s="130">
        <f t="shared" si="1"/>
        <v>7347</v>
      </c>
      <c r="AD98"/>
      <c r="AE98" s="128"/>
      <c r="AF98" s="128"/>
      <c r="AG98" s="128"/>
      <c r="AI98" s="128">
        <v>3716139.2800000003</v>
      </c>
      <c r="AJ98" s="128">
        <v>9354.26</v>
      </c>
    </row>
    <row r="99" spans="1:36" x14ac:dyDescent="0.2">
      <c r="A99" s="82">
        <v>2019</v>
      </c>
      <c r="B99" s="83" t="s">
        <v>81</v>
      </c>
      <c r="C99" s="86"/>
      <c r="D99" s="128">
        <v>13124081.850000001</v>
      </c>
      <c r="E99" s="128">
        <v>151196.49</v>
      </c>
      <c r="F99" s="128">
        <v>3673267.4599999925</v>
      </c>
      <c r="G99" s="128">
        <v>6614</v>
      </c>
      <c r="H99" s="128">
        <v>1568546.8799999985</v>
      </c>
      <c r="I99" s="128">
        <v>652</v>
      </c>
      <c r="J99" s="128">
        <v>3297536.370000001</v>
      </c>
      <c r="K99" s="128">
        <v>10435.070000000002</v>
      </c>
      <c r="L99" s="128">
        <v>77</v>
      </c>
      <c r="M99" s="128">
        <v>2098894.3099999996</v>
      </c>
      <c r="N99" s="128">
        <v>6914.69</v>
      </c>
      <c r="O99" s="128">
        <v>12</v>
      </c>
      <c r="P99" s="128">
        <v>2189873.2000000002</v>
      </c>
      <c r="Q99" s="128">
        <v>5108.18</v>
      </c>
      <c r="R99" s="128">
        <v>2</v>
      </c>
      <c r="S99" s="128">
        <v>27866.39</v>
      </c>
      <c r="T99" s="87"/>
      <c r="U99" s="128">
        <v>56</v>
      </c>
      <c r="V99" s="128">
        <v>6549.4900000000007</v>
      </c>
      <c r="W99" s="128">
        <v>17.929999999999996</v>
      </c>
      <c r="X99" s="128">
        <v>112</v>
      </c>
      <c r="Y99" s="128">
        <v>39117</v>
      </c>
      <c r="Z99" s="128">
        <v>118</v>
      </c>
      <c r="AA99" s="128">
        <v>1</v>
      </c>
      <c r="AB99"/>
      <c r="AC99" s="130">
        <f t="shared" si="1"/>
        <v>7358</v>
      </c>
      <c r="AD99"/>
      <c r="AE99" s="128"/>
      <c r="AF99" s="128"/>
      <c r="AG99" s="128"/>
      <c r="AI99" s="128">
        <v>3382220.7700000005</v>
      </c>
      <c r="AJ99" s="128">
        <v>8779.91</v>
      </c>
    </row>
    <row r="100" spans="1:36" x14ac:dyDescent="0.2">
      <c r="A100" s="82">
        <v>2019</v>
      </c>
      <c r="B100" s="83" t="s">
        <v>52</v>
      </c>
      <c r="C100" s="86"/>
      <c r="D100" s="128">
        <v>13301422.26</v>
      </c>
      <c r="E100" s="128">
        <v>191845.86</v>
      </c>
      <c r="F100" s="128">
        <v>3577125.600000001</v>
      </c>
      <c r="G100" s="128">
        <v>6622</v>
      </c>
      <c r="H100" s="128">
        <v>1574248.0599999998</v>
      </c>
      <c r="I100" s="128">
        <v>652</v>
      </c>
      <c r="J100" s="128">
        <v>3458084.4299999983</v>
      </c>
      <c r="K100" s="128">
        <v>10843.6</v>
      </c>
      <c r="L100" s="128">
        <v>78</v>
      </c>
      <c r="M100" s="128">
        <v>2095932.86</v>
      </c>
      <c r="N100" s="128">
        <v>7625.23</v>
      </c>
      <c r="O100" s="128">
        <v>12</v>
      </c>
      <c r="P100" s="128">
        <v>2322234.7999999998</v>
      </c>
      <c r="Q100" s="128">
        <v>4998.4399999999996</v>
      </c>
      <c r="R100" s="128">
        <v>2</v>
      </c>
      <c r="S100" s="128">
        <v>29206.83</v>
      </c>
      <c r="T100" s="87"/>
      <c r="U100" s="128">
        <v>57</v>
      </c>
      <c r="V100" s="128">
        <v>6767.7900000000009</v>
      </c>
      <c r="W100" s="128">
        <v>18.259999999999998</v>
      </c>
      <c r="X100" s="128">
        <v>112</v>
      </c>
      <c r="Y100" s="128">
        <v>35813</v>
      </c>
      <c r="Z100" s="128">
        <v>118</v>
      </c>
      <c r="AA100" s="128">
        <v>1</v>
      </c>
      <c r="AB100"/>
      <c r="AC100" s="130">
        <f t="shared" si="1"/>
        <v>7367</v>
      </c>
      <c r="AD100"/>
      <c r="AE100" s="128"/>
      <c r="AF100" s="128"/>
      <c r="AG100" s="128"/>
      <c r="AI100" s="128">
        <v>3514365.9099999997</v>
      </c>
      <c r="AJ100" s="128">
        <v>9155.39</v>
      </c>
    </row>
    <row r="101" spans="1:36" x14ac:dyDescent="0.2">
      <c r="A101" s="82">
        <v>2019</v>
      </c>
      <c r="B101" s="83" t="s">
        <v>82</v>
      </c>
      <c r="C101" s="86"/>
      <c r="D101" s="128">
        <v>14098153.719999997</v>
      </c>
      <c r="E101" s="128">
        <v>205535.26000000004</v>
      </c>
      <c r="F101" s="128">
        <v>4256489.3299999954</v>
      </c>
      <c r="G101" s="128">
        <v>6635</v>
      </c>
      <c r="H101" s="128">
        <v>1709348.8599999985</v>
      </c>
      <c r="I101" s="128">
        <v>654</v>
      </c>
      <c r="J101" s="128">
        <v>3517761.8600000013</v>
      </c>
      <c r="K101" s="128">
        <v>11261.859999999999</v>
      </c>
      <c r="L101" s="128">
        <v>78</v>
      </c>
      <c r="M101" s="128">
        <v>2284125.21</v>
      </c>
      <c r="N101" s="128">
        <v>7682.99</v>
      </c>
      <c r="O101" s="128">
        <v>12</v>
      </c>
      <c r="P101" s="128">
        <v>2160682.7999999998</v>
      </c>
      <c r="Q101" s="128">
        <v>4960.03</v>
      </c>
      <c r="R101" s="128">
        <v>2</v>
      </c>
      <c r="S101" s="128">
        <v>27364.539999999997</v>
      </c>
      <c r="T101" s="87"/>
      <c r="U101" s="128">
        <v>57</v>
      </c>
      <c r="V101" s="128">
        <v>6549.4699999999984</v>
      </c>
      <c r="W101" s="128">
        <v>18.23</v>
      </c>
      <c r="X101" s="128">
        <v>112</v>
      </c>
      <c r="Y101" s="128">
        <v>31948.5</v>
      </c>
      <c r="Z101" s="128">
        <v>118</v>
      </c>
      <c r="AA101" s="128">
        <v>1</v>
      </c>
      <c r="AB101"/>
      <c r="AC101" s="130">
        <f t="shared" si="1"/>
        <v>7382</v>
      </c>
      <c r="AD101"/>
      <c r="AE101" s="128"/>
      <c r="AF101" s="128"/>
      <c r="AG101" s="128"/>
      <c r="AI101" s="128">
        <v>3431331.8</v>
      </c>
      <c r="AJ101" s="128">
        <v>8953.64</v>
      </c>
    </row>
    <row r="102" spans="1:36" x14ac:dyDescent="0.2">
      <c r="A102" s="82">
        <v>2019</v>
      </c>
      <c r="B102" s="83" t="s">
        <v>83</v>
      </c>
      <c r="C102" s="86"/>
      <c r="D102" s="128">
        <v>17237421.399999999</v>
      </c>
      <c r="E102" s="128">
        <v>234680.17</v>
      </c>
      <c r="F102" s="128">
        <v>5731579.9999999059</v>
      </c>
      <c r="G102" s="128">
        <v>6636</v>
      </c>
      <c r="H102" s="128">
        <v>2107462.6200000024</v>
      </c>
      <c r="I102" s="128">
        <v>653</v>
      </c>
      <c r="J102" s="128">
        <v>3781755.5999999996</v>
      </c>
      <c r="K102" s="128">
        <v>11483.69</v>
      </c>
      <c r="L102" s="128">
        <v>79</v>
      </c>
      <c r="M102" s="128">
        <v>2714461.33</v>
      </c>
      <c r="N102" s="128">
        <v>8087.6500000000005</v>
      </c>
      <c r="O102" s="128">
        <v>12</v>
      </c>
      <c r="P102" s="128">
        <v>2180466.4</v>
      </c>
      <c r="Q102" s="128">
        <v>4946.49</v>
      </c>
      <c r="R102" s="128">
        <v>2</v>
      </c>
      <c r="S102" s="128">
        <v>29565.280000000002</v>
      </c>
      <c r="T102" s="87"/>
      <c r="U102" s="128">
        <v>57</v>
      </c>
      <c r="V102" s="128">
        <v>6767.8100000000013</v>
      </c>
      <c r="W102" s="128">
        <v>18.29</v>
      </c>
      <c r="X102" s="128">
        <v>112</v>
      </c>
      <c r="Y102" s="128">
        <v>33807</v>
      </c>
      <c r="Z102" s="128">
        <v>118</v>
      </c>
      <c r="AA102" s="128">
        <v>1</v>
      </c>
      <c r="AB102"/>
      <c r="AC102" s="130">
        <f t="shared" si="1"/>
        <v>7383</v>
      </c>
      <c r="AD102"/>
      <c r="AE102" s="128"/>
      <c r="AF102" s="128"/>
      <c r="AG102" s="128"/>
      <c r="AI102" s="128">
        <v>3615394.99</v>
      </c>
      <c r="AJ102" s="128">
        <v>9137.6</v>
      </c>
    </row>
    <row r="103" spans="1:36" x14ac:dyDescent="0.2">
      <c r="A103" s="82">
        <v>2019</v>
      </c>
      <c r="B103" s="83" t="s">
        <v>84</v>
      </c>
      <c r="C103" s="86"/>
      <c r="D103" s="128">
        <v>16150313.539999997</v>
      </c>
      <c r="E103" s="128">
        <v>220608.79000000004</v>
      </c>
      <c r="F103" s="128">
        <v>5134277.1500000544</v>
      </c>
      <c r="G103" s="128">
        <v>6656</v>
      </c>
      <c r="H103" s="128">
        <v>1940825.1699999997</v>
      </c>
      <c r="I103" s="128">
        <v>659</v>
      </c>
      <c r="J103" s="128">
        <v>3684849.1599999997</v>
      </c>
      <c r="K103" s="128">
        <v>11265.220000000001</v>
      </c>
      <c r="L103" s="128">
        <v>79</v>
      </c>
      <c r="M103" s="128">
        <v>2731035.81</v>
      </c>
      <c r="N103" s="128">
        <v>8158.1399999999994</v>
      </c>
      <c r="O103" s="128">
        <v>12</v>
      </c>
      <c r="P103" s="128">
        <v>2259014.4</v>
      </c>
      <c r="Q103" s="128">
        <v>4872.62</v>
      </c>
      <c r="R103" s="128">
        <v>2</v>
      </c>
      <c r="S103" s="128">
        <v>28588.27</v>
      </c>
      <c r="T103" s="87"/>
      <c r="U103" s="128">
        <v>57</v>
      </c>
      <c r="V103" s="128">
        <v>6767.79</v>
      </c>
      <c r="W103" s="128">
        <v>18.11</v>
      </c>
      <c r="X103" s="128">
        <v>112</v>
      </c>
      <c r="Y103" s="128">
        <v>38261.5</v>
      </c>
      <c r="Z103" s="128">
        <v>118</v>
      </c>
      <c r="AA103" s="128">
        <v>1</v>
      </c>
      <c r="AB103"/>
      <c r="AC103" s="130">
        <f t="shared" si="1"/>
        <v>7409</v>
      </c>
      <c r="AD103"/>
      <c r="AE103" s="128"/>
      <c r="AF103" s="128"/>
      <c r="AG103" s="128"/>
      <c r="AI103" s="128">
        <v>3593450.64</v>
      </c>
      <c r="AJ103" s="128">
        <v>8904.2800000000007</v>
      </c>
    </row>
    <row r="104" spans="1:36" x14ac:dyDescent="0.2">
      <c r="A104" s="82">
        <v>2019</v>
      </c>
      <c r="B104" s="83" t="s">
        <v>85</v>
      </c>
      <c r="C104" s="86"/>
      <c r="D104" s="128">
        <v>14159844.92</v>
      </c>
      <c r="E104" s="128">
        <v>176014.12</v>
      </c>
      <c r="F104" s="128">
        <v>4023295.290000021</v>
      </c>
      <c r="G104" s="128">
        <v>6695</v>
      </c>
      <c r="H104" s="128">
        <v>1659163.3299999994</v>
      </c>
      <c r="I104" s="128">
        <v>658</v>
      </c>
      <c r="J104" s="128">
        <v>3489880.89</v>
      </c>
      <c r="K104" s="128">
        <v>11062.81</v>
      </c>
      <c r="L104" s="128">
        <v>79</v>
      </c>
      <c r="M104" s="128">
        <v>2483347</v>
      </c>
      <c r="N104" s="128">
        <v>8017.24</v>
      </c>
      <c r="O104" s="128">
        <v>11</v>
      </c>
      <c r="P104" s="128">
        <v>2256083.5999999996</v>
      </c>
      <c r="Q104" s="128">
        <v>4880.83</v>
      </c>
      <c r="R104" s="128">
        <v>2</v>
      </c>
      <c r="S104" s="128">
        <v>27434.37</v>
      </c>
      <c r="T104" s="87"/>
      <c r="U104" s="128">
        <v>57</v>
      </c>
      <c r="V104" s="128">
        <v>6549.4900000000007</v>
      </c>
      <c r="W104" s="128">
        <v>17.920000000000002</v>
      </c>
      <c r="X104" s="128">
        <v>112</v>
      </c>
      <c r="Y104" s="128">
        <v>41447.5</v>
      </c>
      <c r="Z104" s="128">
        <v>118</v>
      </c>
      <c r="AA104" s="128">
        <v>1</v>
      </c>
      <c r="AB104"/>
      <c r="AC104" s="130">
        <f t="shared" si="1"/>
        <v>7446</v>
      </c>
      <c r="AD104"/>
      <c r="AE104" s="128"/>
      <c r="AF104" s="128"/>
      <c r="AG104" s="128"/>
      <c r="AI104" s="128">
        <v>3563069.1900000004</v>
      </c>
      <c r="AJ104" s="128">
        <v>9127.1</v>
      </c>
    </row>
    <row r="105" spans="1:36" x14ac:dyDescent="0.2">
      <c r="A105" s="82">
        <v>2019</v>
      </c>
      <c r="B105" s="83" t="s">
        <v>86</v>
      </c>
      <c r="C105" s="86"/>
      <c r="D105" s="128">
        <v>13763436.57</v>
      </c>
      <c r="E105" s="128">
        <v>131016.67999999998</v>
      </c>
      <c r="F105" s="128">
        <v>3721603.9999999939</v>
      </c>
      <c r="G105" s="128">
        <v>6705</v>
      </c>
      <c r="H105" s="128">
        <v>1595161.2600000005</v>
      </c>
      <c r="I105" s="128">
        <v>658</v>
      </c>
      <c r="J105" s="128">
        <v>3466963.5599999987</v>
      </c>
      <c r="K105" s="128">
        <v>10886.89</v>
      </c>
      <c r="L105" s="128">
        <v>79</v>
      </c>
      <c r="M105" s="128">
        <v>2344092.41</v>
      </c>
      <c r="N105" s="128">
        <v>7930.24</v>
      </c>
      <c r="O105" s="128">
        <v>11</v>
      </c>
      <c r="P105" s="128">
        <v>2306013.6</v>
      </c>
      <c r="Q105" s="128">
        <v>4858.3099999999995</v>
      </c>
      <c r="R105" s="128">
        <v>2</v>
      </c>
      <c r="S105" s="128">
        <v>28956.639999999999</v>
      </c>
      <c r="T105" s="87"/>
      <c r="U105" s="128">
        <v>57</v>
      </c>
      <c r="V105" s="128">
        <v>6767.7899999999991</v>
      </c>
      <c r="W105" s="128">
        <v>17.489999999999998</v>
      </c>
      <c r="X105" s="128">
        <v>112</v>
      </c>
      <c r="Y105" s="128">
        <v>48291.5</v>
      </c>
      <c r="Z105" s="128">
        <v>118</v>
      </c>
      <c r="AA105" s="128">
        <v>1</v>
      </c>
      <c r="AB105"/>
      <c r="AC105" s="130">
        <f t="shared" si="1"/>
        <v>7456</v>
      </c>
      <c r="AD105"/>
      <c r="AE105" s="128"/>
      <c r="AF105" s="128"/>
      <c r="AG105" s="128"/>
      <c r="AI105" s="128">
        <v>3573946.1500000004</v>
      </c>
      <c r="AJ105" s="128">
        <v>8870.82</v>
      </c>
    </row>
    <row r="106" spans="1:36" x14ac:dyDescent="0.2">
      <c r="A106" s="82">
        <v>2019</v>
      </c>
      <c r="B106" s="83" t="s">
        <v>87</v>
      </c>
      <c r="C106" s="86"/>
      <c r="D106" s="128">
        <v>14270971.950000003</v>
      </c>
      <c r="E106" s="128">
        <v>54537.3</v>
      </c>
      <c r="F106" s="128">
        <v>4122745.410000002</v>
      </c>
      <c r="G106" s="128">
        <v>6728</v>
      </c>
      <c r="H106" s="128">
        <v>1741520.7100000032</v>
      </c>
      <c r="I106" s="128">
        <v>657</v>
      </c>
      <c r="J106" s="128">
        <v>3536598.7000000011</v>
      </c>
      <c r="K106" s="128">
        <v>10611.130000000003</v>
      </c>
      <c r="L106" s="128">
        <v>80</v>
      </c>
      <c r="M106" s="128">
        <v>2317821.65</v>
      </c>
      <c r="N106" s="128">
        <v>7028.7199999999993</v>
      </c>
      <c r="O106" s="128">
        <v>11</v>
      </c>
      <c r="P106" s="128">
        <v>2120202.4000000004</v>
      </c>
      <c r="Q106" s="128">
        <v>4934.84</v>
      </c>
      <c r="R106" s="128">
        <v>2</v>
      </c>
      <c r="S106" s="128">
        <v>26864.18</v>
      </c>
      <c r="T106" s="87"/>
      <c r="U106" s="128">
        <v>57</v>
      </c>
      <c r="V106" s="128">
        <v>6549.49</v>
      </c>
      <c r="W106" s="128">
        <v>16.920000000000002</v>
      </c>
      <c r="X106" s="128">
        <v>112</v>
      </c>
      <c r="Y106" s="128">
        <v>51182.5</v>
      </c>
      <c r="Z106" s="128">
        <v>118</v>
      </c>
      <c r="AA106" s="128">
        <v>1</v>
      </c>
      <c r="AB106"/>
      <c r="AC106" s="130">
        <f t="shared" si="1"/>
        <v>7479</v>
      </c>
      <c r="AD106"/>
      <c r="AE106" s="128"/>
      <c r="AF106" s="128"/>
      <c r="AG106" s="128"/>
      <c r="AI106" s="128">
        <v>3339995.3099999996</v>
      </c>
      <c r="AJ106" s="128">
        <v>8769.36</v>
      </c>
    </row>
    <row r="107" spans="1:36" x14ac:dyDescent="0.2">
      <c r="A107" s="82">
        <v>2019</v>
      </c>
      <c r="B107" s="83" t="s">
        <v>88</v>
      </c>
      <c r="C107" s="86"/>
      <c r="D107" s="128">
        <v>14104425.360000001</v>
      </c>
      <c r="E107" s="128">
        <v>40652.15</v>
      </c>
      <c r="F107" s="128">
        <v>4549509.4199999897</v>
      </c>
      <c r="G107" s="128">
        <v>6737</v>
      </c>
      <c r="H107" s="128">
        <v>1803713.8599999978</v>
      </c>
      <c r="I107" s="128">
        <v>659</v>
      </c>
      <c r="J107" s="128">
        <v>3421229.5200000019</v>
      </c>
      <c r="K107" s="128">
        <v>10862.5</v>
      </c>
      <c r="L107" s="128">
        <v>80</v>
      </c>
      <c r="M107" s="128">
        <v>1987207.22</v>
      </c>
      <c r="N107" s="128">
        <v>6845.369999999999</v>
      </c>
      <c r="O107" s="128">
        <v>10</v>
      </c>
      <c r="P107" s="128">
        <v>1764671.2000000002</v>
      </c>
      <c r="Q107" s="128">
        <v>5011.09</v>
      </c>
      <c r="R107" s="128">
        <v>2</v>
      </c>
      <c r="S107" s="128">
        <v>29363.829999999998</v>
      </c>
      <c r="T107" s="87"/>
      <c r="U107" s="128">
        <v>57</v>
      </c>
      <c r="V107" s="128">
        <v>6767.8</v>
      </c>
      <c r="W107" s="128">
        <v>17.949999999999996</v>
      </c>
      <c r="X107" s="128">
        <v>112</v>
      </c>
      <c r="Y107" s="128">
        <v>55696</v>
      </c>
      <c r="Z107" s="128">
        <v>118</v>
      </c>
      <c r="AA107" s="128">
        <v>1</v>
      </c>
      <c r="AB107"/>
      <c r="AC107" s="130">
        <f t="shared" si="1"/>
        <v>7489</v>
      </c>
      <c r="AD107"/>
      <c r="AE107" s="128"/>
      <c r="AF107" s="128"/>
      <c r="AG107" s="128"/>
      <c r="AI107" s="128">
        <v>2832420.64</v>
      </c>
      <c r="AJ107" s="128">
        <v>8679.75</v>
      </c>
    </row>
    <row r="108" spans="1:36" x14ac:dyDescent="0.2">
      <c r="A108" s="82">
        <v>2020</v>
      </c>
      <c r="B108" s="83" t="s">
        <v>78</v>
      </c>
      <c r="C108" s="86"/>
      <c r="D108" s="127">
        <v>15014091.720000003</v>
      </c>
      <c r="E108" s="127">
        <v>35136.76</v>
      </c>
      <c r="F108" s="127">
        <v>4521242.9700000128</v>
      </c>
      <c r="G108" s="127">
        <v>6751</v>
      </c>
      <c r="H108" s="127">
        <v>1897918.2300000023</v>
      </c>
      <c r="I108" s="127">
        <v>668</v>
      </c>
      <c r="J108" s="127">
        <v>3791013.1299999994</v>
      </c>
      <c r="K108" s="127">
        <v>11756.03</v>
      </c>
      <c r="L108" s="127">
        <v>78</v>
      </c>
      <c r="M108" s="127">
        <v>2188578.2599999998</v>
      </c>
      <c r="N108" s="127">
        <v>6396.95</v>
      </c>
      <c r="O108" s="127">
        <v>8</v>
      </c>
      <c r="P108" s="127">
        <v>2120934.7999999998</v>
      </c>
      <c r="Q108" s="127">
        <v>5067.17</v>
      </c>
      <c r="R108" s="127">
        <v>2</v>
      </c>
      <c r="S108" s="127">
        <v>28118.290000000005</v>
      </c>
      <c r="T108" s="85"/>
      <c r="U108" s="127">
        <v>57</v>
      </c>
      <c r="V108" s="127">
        <v>6767.7999999999984</v>
      </c>
      <c r="W108" s="127">
        <v>18.249999999999996</v>
      </c>
      <c r="X108" s="127">
        <v>112</v>
      </c>
      <c r="Y108" s="127">
        <v>54870</v>
      </c>
      <c r="Z108" s="127">
        <v>118</v>
      </c>
      <c r="AA108" s="127">
        <v>1</v>
      </c>
      <c r="AB108"/>
      <c r="AC108" s="130">
        <f t="shared" si="1"/>
        <v>7508</v>
      </c>
      <c r="AD108"/>
      <c r="AE108" s="127"/>
      <c r="AF108" s="127"/>
      <c r="AG108" s="127"/>
      <c r="AI108" s="127">
        <v>3346832.0300000003</v>
      </c>
      <c r="AJ108" s="127">
        <v>8833.82</v>
      </c>
    </row>
    <row r="109" spans="1:36" x14ac:dyDescent="0.2">
      <c r="A109" s="82">
        <v>2020</v>
      </c>
      <c r="B109" s="83" t="s">
        <v>79</v>
      </c>
      <c r="C109" s="86"/>
      <c r="D109" s="128">
        <v>14192237.660000002</v>
      </c>
      <c r="E109" s="128">
        <v>77809.59</v>
      </c>
      <c r="F109" s="128">
        <v>4156130.0599999917</v>
      </c>
      <c r="G109" s="128">
        <v>6765</v>
      </c>
      <c r="H109" s="128">
        <v>1745936.7100000021</v>
      </c>
      <c r="I109" s="128">
        <v>665</v>
      </c>
      <c r="J109" s="128">
        <v>3719560.43</v>
      </c>
      <c r="K109" s="128">
        <v>11311.78</v>
      </c>
      <c r="L109" s="128">
        <v>81</v>
      </c>
      <c r="M109" s="128">
        <v>1944399.8399999999</v>
      </c>
      <c r="N109" s="128">
        <v>6462.57</v>
      </c>
      <c r="O109" s="128">
        <v>8</v>
      </c>
      <c r="P109" s="128">
        <v>2140137.2000000002</v>
      </c>
      <c r="Q109" s="128">
        <v>4976.3900000000003</v>
      </c>
      <c r="R109" s="128">
        <v>2</v>
      </c>
      <c r="S109" s="128">
        <v>26756.62</v>
      </c>
      <c r="T109" s="87"/>
      <c r="U109" s="128">
        <v>57</v>
      </c>
      <c r="V109" s="128">
        <v>5943.26</v>
      </c>
      <c r="W109" s="128">
        <v>17.099999999999998</v>
      </c>
      <c r="X109" s="128">
        <v>112</v>
      </c>
      <c r="Y109" s="128">
        <v>51330</v>
      </c>
      <c r="Z109" s="128">
        <v>118</v>
      </c>
      <c r="AA109" s="128">
        <v>1</v>
      </c>
      <c r="AB109"/>
      <c r="AC109" s="130">
        <f t="shared" si="1"/>
        <v>7522</v>
      </c>
      <c r="AD109"/>
      <c r="AE109" s="128"/>
      <c r="AF109" s="128"/>
      <c r="AG109" s="128"/>
      <c r="AI109" s="128">
        <v>3269623.1700000004</v>
      </c>
      <c r="AJ109" s="128">
        <v>8654.65</v>
      </c>
    </row>
    <row r="110" spans="1:36" x14ac:dyDescent="0.2">
      <c r="A110" s="82">
        <v>2020</v>
      </c>
      <c r="B110" s="83" t="s">
        <v>80</v>
      </c>
      <c r="C110" s="86"/>
      <c r="D110" s="128">
        <v>13448796.610000001</v>
      </c>
      <c r="E110" s="128">
        <v>139741.92000000001</v>
      </c>
      <c r="F110" s="128">
        <v>4228883.5300000031</v>
      </c>
      <c r="G110" s="128">
        <v>6777</v>
      </c>
      <c r="H110" s="128">
        <v>1627101.8799999983</v>
      </c>
      <c r="I110" s="128">
        <v>665</v>
      </c>
      <c r="J110" s="128">
        <v>3707727.22</v>
      </c>
      <c r="K110" s="128">
        <v>11310.290000000003</v>
      </c>
      <c r="L110" s="128">
        <v>81</v>
      </c>
      <c r="M110" s="128">
        <v>1923199.44</v>
      </c>
      <c r="N110" s="128">
        <v>6140.34</v>
      </c>
      <c r="O110" s="128">
        <v>8</v>
      </c>
      <c r="P110" s="128">
        <v>1658605.6</v>
      </c>
      <c r="Q110" s="128">
        <v>5032.83</v>
      </c>
      <c r="R110" s="128">
        <v>2</v>
      </c>
      <c r="S110" s="128">
        <v>30173.8</v>
      </c>
      <c r="T110" s="87"/>
      <c r="U110" s="128">
        <v>57</v>
      </c>
      <c r="V110" s="128">
        <v>6339.0199999999995</v>
      </c>
      <c r="W110" s="128">
        <v>17.440000000000001</v>
      </c>
      <c r="X110" s="128">
        <v>113</v>
      </c>
      <c r="Y110" s="128">
        <v>45872.5</v>
      </c>
      <c r="Z110" s="128">
        <v>118</v>
      </c>
      <c r="AA110" s="128">
        <v>1</v>
      </c>
      <c r="AB110"/>
      <c r="AC110" s="130">
        <f t="shared" si="1"/>
        <v>7534</v>
      </c>
      <c r="AD110"/>
      <c r="AE110" s="128"/>
      <c r="AF110" s="128"/>
      <c r="AG110" s="128"/>
      <c r="AI110" s="128">
        <v>2761550.29</v>
      </c>
      <c r="AJ110" s="128">
        <v>8736.380000000001</v>
      </c>
    </row>
    <row r="111" spans="1:36" x14ac:dyDescent="0.2">
      <c r="A111" s="82">
        <v>2020</v>
      </c>
      <c r="B111" s="83" t="s">
        <v>81</v>
      </c>
      <c r="C111" s="86"/>
      <c r="D111" s="128">
        <v>10036078.820000004</v>
      </c>
      <c r="E111" s="128">
        <v>191301.65</v>
      </c>
      <c r="F111" s="128">
        <v>3930744.6700000158</v>
      </c>
      <c r="G111" s="128">
        <v>6791</v>
      </c>
      <c r="H111" s="128">
        <v>1319716.1900000013</v>
      </c>
      <c r="I111" s="128">
        <v>664</v>
      </c>
      <c r="J111" s="128">
        <v>2915063.5699999994</v>
      </c>
      <c r="K111" s="128">
        <v>9361.75</v>
      </c>
      <c r="L111" s="128">
        <v>81</v>
      </c>
      <c r="M111" s="128">
        <v>1259837.4099999999</v>
      </c>
      <c r="N111" s="128">
        <v>4535.75</v>
      </c>
      <c r="O111" s="128">
        <v>8</v>
      </c>
      <c r="P111" s="128">
        <v>324565.59999999998</v>
      </c>
      <c r="Q111" s="128">
        <v>1393.71</v>
      </c>
      <c r="R111" s="128">
        <v>2</v>
      </c>
      <c r="S111" s="128">
        <v>27756.959999999995</v>
      </c>
      <c r="T111" s="87"/>
      <c r="U111" s="128">
        <v>57</v>
      </c>
      <c r="V111" s="128">
        <v>6104.5200000000013</v>
      </c>
      <c r="W111" s="128">
        <v>16.770000000000003</v>
      </c>
      <c r="X111" s="128">
        <v>112</v>
      </c>
      <c r="Y111" s="128">
        <v>39117</v>
      </c>
      <c r="Z111" s="128">
        <v>118</v>
      </c>
      <c r="AA111" s="128">
        <v>1</v>
      </c>
      <c r="AB111"/>
      <c r="AC111" s="130">
        <f t="shared" si="1"/>
        <v>7547</v>
      </c>
      <c r="AD111"/>
      <c r="AE111" s="128"/>
      <c r="AF111" s="128"/>
      <c r="AG111" s="128"/>
      <c r="AI111" s="128">
        <v>1111297.6100000001</v>
      </c>
      <c r="AJ111" s="128">
        <v>4272.4799999999996</v>
      </c>
    </row>
    <row r="112" spans="1:36" x14ac:dyDescent="0.2">
      <c r="A112" s="82">
        <v>2020</v>
      </c>
      <c r="B112" s="83" t="s">
        <v>52</v>
      </c>
      <c r="C112" s="86"/>
      <c r="D112" s="128">
        <v>11027735.910000004</v>
      </c>
      <c r="E112" s="128">
        <v>221551.47</v>
      </c>
      <c r="F112" s="128">
        <v>4231502.6499999808</v>
      </c>
      <c r="G112" s="128">
        <v>6798</v>
      </c>
      <c r="H112" s="128">
        <v>1396766.9499999988</v>
      </c>
      <c r="I112" s="128">
        <v>662</v>
      </c>
      <c r="J112" s="128">
        <v>3045613.6199999992</v>
      </c>
      <c r="K112" s="128">
        <v>11108.91</v>
      </c>
      <c r="L112" s="128">
        <v>79</v>
      </c>
      <c r="M112" s="128">
        <v>1461837.6500000001</v>
      </c>
      <c r="N112" s="128">
        <v>6677.64</v>
      </c>
      <c r="O112" s="128">
        <v>8</v>
      </c>
      <c r="P112" s="128">
        <v>640198.39999999991</v>
      </c>
      <c r="Q112" s="128">
        <v>3553.6</v>
      </c>
      <c r="R112" s="128">
        <v>2</v>
      </c>
      <c r="S112" s="128">
        <v>27685.360000000004</v>
      </c>
      <c r="T112" s="87"/>
      <c r="U112" s="128">
        <v>57</v>
      </c>
      <c r="V112" s="128">
        <v>6308</v>
      </c>
      <c r="W112" s="128">
        <v>17.220000000000002</v>
      </c>
      <c r="X112" s="128">
        <v>112</v>
      </c>
      <c r="Y112" s="128">
        <v>35813</v>
      </c>
      <c r="Z112" s="128">
        <v>118</v>
      </c>
      <c r="AA112" s="128">
        <v>1</v>
      </c>
      <c r="AB112"/>
      <c r="AC112" s="130">
        <f t="shared" si="1"/>
        <v>7550</v>
      </c>
      <c r="AD112"/>
      <c r="AE112" s="128"/>
      <c r="AF112" s="128"/>
      <c r="AG112" s="128"/>
      <c r="AI112" s="128">
        <v>1449522.43</v>
      </c>
      <c r="AJ112" s="128">
        <v>7185.9400000000005</v>
      </c>
    </row>
    <row r="113" spans="1:36" x14ac:dyDescent="0.2">
      <c r="A113" s="82">
        <v>2020</v>
      </c>
      <c r="B113" s="83" t="s">
        <v>82</v>
      </c>
      <c r="C113" s="86"/>
      <c r="D113" s="128">
        <v>15117286.629999997</v>
      </c>
      <c r="E113" s="128">
        <v>271293.49</v>
      </c>
      <c r="F113" s="128">
        <v>5438662.8000000017</v>
      </c>
      <c r="G113" s="128">
        <v>6808</v>
      </c>
      <c r="H113" s="128">
        <v>1724143.2800000019</v>
      </c>
      <c r="I113" s="128">
        <v>659</v>
      </c>
      <c r="J113" s="128">
        <v>3718390.3099999991</v>
      </c>
      <c r="K113" s="128">
        <v>11753.979999999998</v>
      </c>
      <c r="L113" s="128">
        <v>79</v>
      </c>
      <c r="M113" s="128">
        <v>2296515.9500000002</v>
      </c>
      <c r="N113" s="128">
        <v>7202.73</v>
      </c>
      <c r="O113" s="128">
        <v>8</v>
      </c>
      <c r="P113" s="128">
        <v>1919987.6</v>
      </c>
      <c r="Q113" s="128">
        <v>5003.2</v>
      </c>
      <c r="R113" s="128">
        <v>2</v>
      </c>
      <c r="S113" s="128">
        <v>29217.899999999998</v>
      </c>
      <c r="T113" s="87"/>
      <c r="U113" s="128">
        <v>57</v>
      </c>
      <c r="V113" s="128">
        <v>6104.5300000000007</v>
      </c>
      <c r="W113" s="128">
        <v>16.750000000000004</v>
      </c>
      <c r="X113" s="128">
        <v>112</v>
      </c>
      <c r="Y113" s="128">
        <v>31948.5</v>
      </c>
      <c r="Z113" s="128">
        <v>118</v>
      </c>
      <c r="AA113" s="128">
        <v>1</v>
      </c>
      <c r="AB113"/>
      <c r="AC113" s="130">
        <f t="shared" si="1"/>
        <v>7557</v>
      </c>
      <c r="AD113"/>
      <c r="AE113" s="128"/>
      <c r="AF113" s="128"/>
      <c r="AG113" s="128"/>
      <c r="AI113" s="128">
        <v>2971857.54</v>
      </c>
      <c r="AJ113" s="128">
        <v>8718.3499999999985</v>
      </c>
    </row>
    <row r="114" spans="1:36" x14ac:dyDescent="0.2">
      <c r="A114" s="82">
        <v>2020</v>
      </c>
      <c r="B114" s="83" t="s">
        <v>83</v>
      </c>
      <c r="C114" s="86"/>
      <c r="D114" s="128">
        <v>18014751.010000002</v>
      </c>
      <c r="E114" s="128">
        <v>250058.56000000003</v>
      </c>
      <c r="F114" s="128">
        <v>6440146.9700000193</v>
      </c>
      <c r="G114" s="128">
        <v>6814</v>
      </c>
      <c r="H114" s="128">
        <v>2104456.4899999988</v>
      </c>
      <c r="I114" s="128">
        <v>662</v>
      </c>
      <c r="J114" s="128">
        <v>4139273.72</v>
      </c>
      <c r="K114" s="128">
        <v>12262.140000000001</v>
      </c>
      <c r="L114" s="128">
        <v>79</v>
      </c>
      <c r="M114" s="128">
        <v>2352157.0700000003</v>
      </c>
      <c r="N114" s="128">
        <v>7090.12</v>
      </c>
      <c r="O114" s="128">
        <v>8</v>
      </c>
      <c r="P114" s="128">
        <v>2001990.8</v>
      </c>
      <c r="Q114" s="128">
        <v>4728</v>
      </c>
      <c r="R114" s="128">
        <v>2</v>
      </c>
      <c r="S114" s="128">
        <v>29083.68</v>
      </c>
      <c r="T114" s="87"/>
      <c r="U114" s="128">
        <v>57</v>
      </c>
      <c r="V114" s="128">
        <v>6308.0099999999984</v>
      </c>
      <c r="W114" s="128">
        <v>16.790000000000003</v>
      </c>
      <c r="X114" s="128">
        <v>112</v>
      </c>
      <c r="Y114" s="128">
        <v>33807</v>
      </c>
      <c r="Z114" s="128">
        <v>118</v>
      </c>
      <c r="AA114" s="128">
        <v>1</v>
      </c>
      <c r="AB114"/>
      <c r="AC114" s="130">
        <f t="shared" si="1"/>
        <v>7566</v>
      </c>
      <c r="AD114"/>
      <c r="AE114" s="128"/>
      <c r="AF114" s="128"/>
      <c r="AG114" s="128"/>
      <c r="AI114" s="128">
        <v>3182803.4800000004</v>
      </c>
      <c r="AJ114" s="128">
        <v>8793.31</v>
      </c>
    </row>
    <row r="115" spans="1:36" x14ac:dyDescent="0.2">
      <c r="A115" s="82">
        <v>2020</v>
      </c>
      <c r="B115" s="83" t="s">
        <v>84</v>
      </c>
      <c r="C115" s="86"/>
      <c r="D115" s="128">
        <v>16733868.93</v>
      </c>
      <c r="E115" s="128">
        <v>221686.43</v>
      </c>
      <c r="F115" s="128">
        <v>5616290.9599999972</v>
      </c>
      <c r="G115" s="128">
        <v>6823</v>
      </c>
      <c r="H115" s="128">
        <v>2040106.2099999997</v>
      </c>
      <c r="I115" s="128">
        <v>666</v>
      </c>
      <c r="J115" s="128">
        <v>3858952.28</v>
      </c>
      <c r="K115" s="128">
        <v>12204.59</v>
      </c>
      <c r="L115" s="128">
        <v>81</v>
      </c>
      <c r="M115" s="128">
        <v>2537082.46</v>
      </c>
      <c r="N115" s="128">
        <v>7169.26</v>
      </c>
      <c r="O115" s="128">
        <v>8</v>
      </c>
      <c r="P115" s="128">
        <v>2057922.4</v>
      </c>
      <c r="Q115" s="128">
        <v>4696</v>
      </c>
      <c r="R115" s="128">
        <v>2</v>
      </c>
      <c r="S115" s="128">
        <v>29268.629999999997</v>
      </c>
      <c r="T115" s="87"/>
      <c r="U115" s="128">
        <v>55</v>
      </c>
      <c r="V115" s="128">
        <v>6307.989999999998</v>
      </c>
      <c r="W115" s="128">
        <v>16.850000000000001</v>
      </c>
      <c r="X115" s="128">
        <v>112</v>
      </c>
      <c r="Y115" s="128">
        <v>38261.5</v>
      </c>
      <c r="Z115" s="128">
        <v>118</v>
      </c>
      <c r="AA115" s="128">
        <v>1</v>
      </c>
      <c r="AB115"/>
      <c r="AC115" s="130">
        <f t="shared" si="1"/>
        <v>7581</v>
      </c>
      <c r="AD115"/>
      <c r="AE115" s="128"/>
      <c r="AF115" s="128"/>
      <c r="AG115" s="128"/>
      <c r="AI115" s="128">
        <v>3173531.7</v>
      </c>
      <c r="AJ115" s="128">
        <v>8706.98</v>
      </c>
    </row>
    <row r="116" spans="1:36" x14ac:dyDescent="0.2">
      <c r="A116" s="82">
        <v>2020</v>
      </c>
      <c r="B116" s="83" t="s">
        <v>85</v>
      </c>
      <c r="C116" s="86"/>
      <c r="D116" s="128">
        <v>14451425.119999997</v>
      </c>
      <c r="E116" s="128">
        <v>189577.9</v>
      </c>
      <c r="F116" s="128">
        <v>4220628.0700000096</v>
      </c>
      <c r="G116" s="128">
        <v>6833</v>
      </c>
      <c r="H116" s="128">
        <v>1821384.6300000015</v>
      </c>
      <c r="I116" s="128">
        <v>669</v>
      </c>
      <c r="J116" s="128">
        <v>3694123.709999999</v>
      </c>
      <c r="K116" s="128">
        <v>12077.930000000002</v>
      </c>
      <c r="L116" s="128">
        <v>83</v>
      </c>
      <c r="M116" s="128">
        <v>2430466.73</v>
      </c>
      <c r="N116" s="128">
        <v>6801.42</v>
      </c>
      <c r="O116" s="128">
        <v>8</v>
      </c>
      <c r="P116" s="128">
        <v>2083487.6</v>
      </c>
      <c r="Q116" s="128">
        <v>4710.3999999999996</v>
      </c>
      <c r="R116" s="128">
        <v>2</v>
      </c>
      <c r="S116" s="128">
        <v>26115.180000000004</v>
      </c>
      <c r="T116" s="87"/>
      <c r="U116" s="128">
        <v>57</v>
      </c>
      <c r="V116" s="128">
        <v>6104.5199999999995</v>
      </c>
      <c r="W116" s="128">
        <v>16.509999999999998</v>
      </c>
      <c r="X116" s="128">
        <v>112</v>
      </c>
      <c r="Y116" s="128">
        <v>41447.5</v>
      </c>
      <c r="Z116" s="128">
        <v>118</v>
      </c>
      <c r="AA116" s="128">
        <v>1</v>
      </c>
      <c r="AB116"/>
      <c r="AC116" s="130">
        <f t="shared" si="1"/>
        <v>7596</v>
      </c>
      <c r="AD116"/>
      <c r="AE116" s="128"/>
      <c r="AF116" s="128"/>
      <c r="AG116" s="128"/>
      <c r="AI116" s="128">
        <v>3226217.4699999997</v>
      </c>
      <c r="AJ116" s="128">
        <v>8647.1299999999992</v>
      </c>
    </row>
    <row r="117" spans="1:36" x14ac:dyDescent="0.2">
      <c r="A117" s="82">
        <v>2020</v>
      </c>
      <c r="B117" s="83" t="s">
        <v>86</v>
      </c>
      <c r="C117" s="86"/>
      <c r="D117" s="128">
        <v>14304932.470000003</v>
      </c>
      <c r="E117" s="128">
        <v>116353.45999999999</v>
      </c>
      <c r="F117" s="128">
        <v>3920551.8400000073</v>
      </c>
      <c r="G117" s="128">
        <v>6888</v>
      </c>
      <c r="H117" s="128">
        <v>1766128.3400000003</v>
      </c>
      <c r="I117" s="128">
        <v>668</v>
      </c>
      <c r="J117" s="128">
        <v>3736184.0899999989</v>
      </c>
      <c r="K117" s="128">
        <v>11585.52</v>
      </c>
      <c r="L117" s="128">
        <v>83</v>
      </c>
      <c r="M117" s="128">
        <v>2412910.5099999998</v>
      </c>
      <c r="N117" s="128">
        <v>6379.36</v>
      </c>
      <c r="O117" s="128">
        <v>8</v>
      </c>
      <c r="P117" s="128">
        <v>2047636.7999999998</v>
      </c>
      <c r="Q117" s="128">
        <v>4592</v>
      </c>
      <c r="R117" s="128">
        <v>2</v>
      </c>
      <c r="S117" s="128">
        <v>29137.960000000003</v>
      </c>
      <c r="T117" s="87"/>
      <c r="U117" s="128">
        <v>57</v>
      </c>
      <c r="V117" s="128">
        <v>6308.01</v>
      </c>
      <c r="W117" s="128">
        <v>16.850000000000001</v>
      </c>
      <c r="X117" s="128">
        <v>112</v>
      </c>
      <c r="Y117" s="128">
        <v>48291.5</v>
      </c>
      <c r="Z117" s="128">
        <v>118</v>
      </c>
      <c r="AA117" s="128">
        <v>1</v>
      </c>
      <c r="AB117"/>
      <c r="AC117" s="130">
        <f t="shared" si="1"/>
        <v>7650</v>
      </c>
      <c r="AD117"/>
      <c r="AE117" s="128"/>
      <c r="AF117" s="128"/>
      <c r="AG117" s="128"/>
      <c r="AI117" s="128">
        <v>3165104.1999999997</v>
      </c>
      <c r="AJ117" s="128">
        <v>8340.02</v>
      </c>
    </row>
    <row r="118" spans="1:36" x14ac:dyDescent="0.2">
      <c r="A118" s="82">
        <v>2020</v>
      </c>
      <c r="B118" s="83" t="s">
        <v>87</v>
      </c>
      <c r="C118" s="86"/>
      <c r="D118" s="128">
        <v>14279909.410000002</v>
      </c>
      <c r="E118" s="128">
        <v>82903.28</v>
      </c>
      <c r="F118" s="128">
        <v>4096179.2099999897</v>
      </c>
      <c r="G118" s="128">
        <v>6904</v>
      </c>
      <c r="H118" s="128">
        <v>1884222.6999999969</v>
      </c>
      <c r="I118" s="128">
        <v>666</v>
      </c>
      <c r="J118" s="128">
        <v>3658168.8000000012</v>
      </c>
      <c r="K118" s="128">
        <v>11587.069999999994</v>
      </c>
      <c r="L118" s="128">
        <v>84</v>
      </c>
      <c r="M118" s="128">
        <v>2267174.08</v>
      </c>
      <c r="N118" s="128">
        <v>5959.7300000000005</v>
      </c>
      <c r="O118" s="128">
        <v>8</v>
      </c>
      <c r="P118" s="128">
        <v>2051952.7999999998</v>
      </c>
      <c r="Q118" s="128">
        <v>4713.6000000000004</v>
      </c>
      <c r="R118" s="128">
        <v>2</v>
      </c>
      <c r="S118" s="128">
        <v>27433.759999999998</v>
      </c>
      <c r="T118" s="87"/>
      <c r="U118" s="128">
        <v>57</v>
      </c>
      <c r="V118" s="128">
        <v>6104.5199999999995</v>
      </c>
      <c r="W118" s="128">
        <v>16.489999999999998</v>
      </c>
      <c r="X118" s="128">
        <v>112</v>
      </c>
      <c r="Y118" s="128">
        <v>51182.5</v>
      </c>
      <c r="Z118" s="128">
        <v>118</v>
      </c>
      <c r="AA118" s="128">
        <v>1</v>
      </c>
      <c r="AB118"/>
      <c r="AC118" s="130">
        <f t="shared" si="1"/>
        <v>7665</v>
      </c>
      <c r="AD118"/>
      <c r="AE118" s="128"/>
      <c r="AF118" s="128"/>
      <c r="AG118" s="128"/>
      <c r="AI118" s="128">
        <v>3115749.61</v>
      </c>
      <c r="AJ118" s="128">
        <v>8543.69</v>
      </c>
    </row>
    <row r="119" spans="1:36" x14ac:dyDescent="0.2">
      <c r="A119" s="82">
        <v>2020</v>
      </c>
      <c r="B119" s="83" t="s">
        <v>88</v>
      </c>
      <c r="C119" s="86"/>
      <c r="D119" s="128">
        <v>14921507.26</v>
      </c>
      <c r="E119" s="128">
        <v>40422.69</v>
      </c>
      <c r="F119" s="128">
        <v>4840457.5100000054</v>
      </c>
      <c r="G119" s="128">
        <v>6929</v>
      </c>
      <c r="H119" s="128">
        <v>2069649.2900000003</v>
      </c>
      <c r="I119" s="128">
        <v>665</v>
      </c>
      <c r="J119" s="128">
        <v>3804518.5000000023</v>
      </c>
      <c r="K119" s="128">
        <v>11382.450000000003</v>
      </c>
      <c r="L119" s="128">
        <v>83</v>
      </c>
      <c r="M119" s="128">
        <v>2067932.7399999998</v>
      </c>
      <c r="N119" s="128">
        <v>5946.7</v>
      </c>
      <c r="O119" s="128">
        <v>8</v>
      </c>
      <c r="P119" s="128">
        <v>1517371.2000000002</v>
      </c>
      <c r="Q119" s="128">
        <v>4697.6000000000004</v>
      </c>
      <c r="R119" s="128">
        <v>2</v>
      </c>
      <c r="S119" s="128">
        <v>29747.88</v>
      </c>
      <c r="T119" s="87"/>
      <c r="U119" s="128">
        <v>57</v>
      </c>
      <c r="V119" s="128">
        <v>6307.9999999999991</v>
      </c>
      <c r="W119" s="128">
        <v>15.47</v>
      </c>
      <c r="X119" s="128">
        <v>112</v>
      </c>
      <c r="Y119" s="128">
        <v>55696</v>
      </c>
      <c r="Z119" s="128">
        <v>118</v>
      </c>
      <c r="AA119" s="128">
        <v>1</v>
      </c>
      <c r="AB119"/>
      <c r="AC119" s="130">
        <f t="shared" si="1"/>
        <v>7688</v>
      </c>
      <c r="AD119"/>
      <c r="AE119" s="128"/>
      <c r="AF119" s="128"/>
      <c r="AG119" s="128"/>
      <c r="AI119" s="128">
        <v>2559998.35</v>
      </c>
      <c r="AJ119" s="128">
        <v>8500.74</v>
      </c>
    </row>
    <row r="120" spans="1:36" x14ac:dyDescent="0.2">
      <c r="A120" s="82">
        <v>2021</v>
      </c>
      <c r="B120" s="83" t="s">
        <v>78</v>
      </c>
      <c r="C120" s="86"/>
      <c r="D120" s="127">
        <v>15381838.239999998</v>
      </c>
      <c r="E120" s="127">
        <v>41700.25</v>
      </c>
      <c r="F120" s="127">
        <v>4993299.8599999733</v>
      </c>
      <c r="G120" s="127">
        <v>6963</v>
      </c>
      <c r="H120" s="127">
        <v>1742307.3700000008</v>
      </c>
      <c r="I120" s="127">
        <v>669</v>
      </c>
      <c r="J120" s="127">
        <v>3840319.5100000012</v>
      </c>
      <c r="K120" s="127">
        <v>11235.119999999999</v>
      </c>
      <c r="L120" s="127">
        <v>76</v>
      </c>
      <c r="M120" s="127">
        <v>2523553.9500000002</v>
      </c>
      <c r="N120" s="127">
        <v>7007.1699999999992</v>
      </c>
      <c r="O120" s="127">
        <v>9</v>
      </c>
      <c r="P120" s="127">
        <v>1755354.8</v>
      </c>
      <c r="Q120" s="127">
        <v>4406.3999999999996</v>
      </c>
      <c r="R120" s="127">
        <v>2</v>
      </c>
      <c r="S120" s="127">
        <v>29003.15</v>
      </c>
      <c r="T120" s="85"/>
      <c r="U120" s="127">
        <v>57</v>
      </c>
      <c r="V120" s="127">
        <v>6308.01</v>
      </c>
      <c r="W120" s="127">
        <v>15.929999999999998</v>
      </c>
      <c r="X120" s="127">
        <v>112</v>
      </c>
      <c r="Y120" s="127">
        <v>54870</v>
      </c>
      <c r="Z120" s="127">
        <v>118</v>
      </c>
      <c r="AA120" s="127">
        <v>1</v>
      </c>
      <c r="AB120"/>
      <c r="AC120" s="130">
        <f t="shared" si="1"/>
        <v>7720</v>
      </c>
      <c r="AD120"/>
      <c r="AE120" s="127"/>
      <c r="AF120" s="127"/>
      <c r="AG120" s="127"/>
      <c r="AI120" s="127">
        <v>3196592.24</v>
      </c>
      <c r="AJ120" s="127">
        <v>8909.0300000000007</v>
      </c>
    </row>
    <row r="121" spans="1:36" x14ac:dyDescent="0.2">
      <c r="A121" s="82">
        <v>2021</v>
      </c>
      <c r="B121" s="83" t="s">
        <v>79</v>
      </c>
      <c r="C121" s="86"/>
      <c r="D121" s="128">
        <v>14338372.879999999</v>
      </c>
      <c r="E121" s="128">
        <v>36904.899999999994</v>
      </c>
      <c r="F121" s="128">
        <v>4624895.2400000235</v>
      </c>
      <c r="G121" s="128">
        <v>6981</v>
      </c>
      <c r="H121" s="128">
        <v>1675976.5799999989</v>
      </c>
      <c r="I121" s="128">
        <v>670</v>
      </c>
      <c r="J121" s="128">
        <v>3622525.9700000011</v>
      </c>
      <c r="K121" s="128">
        <v>11750.310000000003</v>
      </c>
      <c r="L121" s="128">
        <v>76</v>
      </c>
      <c r="M121" s="128">
        <v>2259259.77</v>
      </c>
      <c r="N121" s="128">
        <v>7167.12</v>
      </c>
      <c r="O121" s="128">
        <v>9</v>
      </c>
      <c r="P121" s="128">
        <v>1581675.6</v>
      </c>
      <c r="Q121" s="128">
        <v>4326.3999999999996</v>
      </c>
      <c r="R121" s="128">
        <v>2</v>
      </c>
      <c r="S121" s="128">
        <v>26277.55</v>
      </c>
      <c r="T121" s="87"/>
      <c r="U121" s="128">
        <v>57</v>
      </c>
      <c r="V121" s="128">
        <v>5697.5400000000009</v>
      </c>
      <c r="W121" s="128">
        <v>16.650000000000002</v>
      </c>
      <c r="X121" s="128">
        <v>112</v>
      </c>
      <c r="Y121" s="128">
        <v>55848</v>
      </c>
      <c r="Z121" s="128">
        <v>138.96</v>
      </c>
      <c r="AA121" s="128">
        <v>1</v>
      </c>
      <c r="AB121"/>
      <c r="AC121" s="130">
        <f t="shared" si="1"/>
        <v>7739</v>
      </c>
      <c r="AD121"/>
      <c r="AE121" s="128"/>
      <c r="AF121" s="128"/>
      <c r="AG121" s="128"/>
      <c r="AI121" s="128">
        <v>2869949.63</v>
      </c>
      <c r="AJ121" s="128">
        <v>8844.2199999999993</v>
      </c>
    </row>
    <row r="122" spans="1:36" x14ac:dyDescent="0.2">
      <c r="A122" s="82">
        <v>2021</v>
      </c>
      <c r="B122" s="83" t="s">
        <v>80</v>
      </c>
      <c r="C122" s="86"/>
      <c r="D122" s="128">
        <v>14839569.93</v>
      </c>
      <c r="E122" s="128">
        <v>197009.1</v>
      </c>
      <c r="F122" s="128">
        <v>4368689.6399999931</v>
      </c>
      <c r="G122" s="128">
        <v>7002</v>
      </c>
      <c r="H122" s="128">
        <v>1706777.9799999974</v>
      </c>
      <c r="I122" s="128">
        <v>673</v>
      </c>
      <c r="J122" s="128">
        <v>3882466.7600000007</v>
      </c>
      <c r="K122" s="128">
        <v>11578.779999999999</v>
      </c>
      <c r="L122" s="128">
        <v>77</v>
      </c>
      <c r="M122" s="128">
        <v>2596775.7800000003</v>
      </c>
      <c r="N122" s="128">
        <v>6856.8099999999995</v>
      </c>
      <c r="O122" s="128">
        <v>9</v>
      </c>
      <c r="P122" s="128">
        <v>1909799.2000000002</v>
      </c>
      <c r="Q122" s="128">
        <v>4382.3999999999996</v>
      </c>
      <c r="R122" s="128">
        <v>2</v>
      </c>
      <c r="S122" s="128">
        <v>29623.47</v>
      </c>
      <c r="T122" s="87"/>
      <c r="U122" s="128">
        <v>57</v>
      </c>
      <c r="V122" s="128">
        <v>6308.0000000000009</v>
      </c>
      <c r="W122" s="128">
        <v>17.28</v>
      </c>
      <c r="X122" s="128">
        <v>112</v>
      </c>
      <c r="Y122" s="128">
        <v>54368.1</v>
      </c>
      <c r="Z122" s="128">
        <v>138.96</v>
      </c>
      <c r="AA122" s="128">
        <v>1</v>
      </c>
      <c r="AB122"/>
      <c r="AC122" s="130">
        <f t="shared" si="1"/>
        <v>7764</v>
      </c>
      <c r="AD122"/>
      <c r="AE122" s="128"/>
      <c r="AF122" s="128"/>
      <c r="AG122" s="128"/>
      <c r="AI122" s="128">
        <v>3393106.7</v>
      </c>
      <c r="AJ122" s="128">
        <v>8938.86</v>
      </c>
    </row>
    <row r="123" spans="1:36" x14ac:dyDescent="0.2">
      <c r="A123" s="82">
        <v>2021</v>
      </c>
      <c r="B123" s="83" t="s">
        <v>81</v>
      </c>
      <c r="C123" s="86"/>
      <c r="D123" s="128">
        <v>12258026.33</v>
      </c>
      <c r="E123" s="128">
        <v>195594.22999999998</v>
      </c>
      <c r="F123" s="128">
        <v>3865116.220000017</v>
      </c>
      <c r="G123" s="128">
        <v>7030</v>
      </c>
      <c r="H123" s="128">
        <v>1461098.9700000016</v>
      </c>
      <c r="I123" s="128">
        <v>670</v>
      </c>
      <c r="J123" s="128">
        <v>3435340.3600000013</v>
      </c>
      <c r="K123" s="128">
        <v>11242.380000000001</v>
      </c>
      <c r="L123" s="128">
        <v>77</v>
      </c>
      <c r="M123" s="128">
        <v>2093278.3099999998</v>
      </c>
      <c r="N123" s="128">
        <v>6923.82</v>
      </c>
      <c r="O123" s="128">
        <v>9</v>
      </c>
      <c r="P123" s="128">
        <v>1236198</v>
      </c>
      <c r="Q123" s="128">
        <v>3750.7300000000005</v>
      </c>
      <c r="R123" s="128">
        <v>2</v>
      </c>
      <c r="S123" s="128">
        <v>27699.22</v>
      </c>
      <c r="T123" s="87"/>
      <c r="U123" s="128">
        <v>57</v>
      </c>
      <c r="V123" s="128">
        <v>6104.51</v>
      </c>
      <c r="W123" s="128">
        <v>16.589999999999996</v>
      </c>
      <c r="X123" s="128">
        <v>112</v>
      </c>
      <c r="Y123" s="128">
        <v>46065.24</v>
      </c>
      <c r="Z123" s="128">
        <v>138.96</v>
      </c>
      <c r="AA123" s="128">
        <v>1</v>
      </c>
      <c r="AB123"/>
      <c r="AC123" s="130">
        <f t="shared" si="1"/>
        <v>7789</v>
      </c>
      <c r="AD123"/>
      <c r="AE123" s="128"/>
      <c r="AF123" s="128"/>
      <c r="AG123" s="128"/>
      <c r="AI123" s="128">
        <v>2336568.6500000004</v>
      </c>
      <c r="AJ123" s="128">
        <v>7945.1500000000005</v>
      </c>
    </row>
    <row r="124" spans="1:36" x14ac:dyDescent="0.2">
      <c r="A124" s="82">
        <v>2021</v>
      </c>
      <c r="B124" s="83" t="s">
        <v>52</v>
      </c>
      <c r="C124" s="86"/>
      <c r="D124" s="128">
        <v>13244338.23</v>
      </c>
      <c r="E124" s="128">
        <v>234500.96000000002</v>
      </c>
      <c r="F124" s="128">
        <v>4411878.2600000026</v>
      </c>
      <c r="G124" s="128">
        <v>7053</v>
      </c>
      <c r="H124" s="128">
        <v>1555138.420000002</v>
      </c>
      <c r="I124" s="128">
        <v>669</v>
      </c>
      <c r="J124" s="128">
        <v>3651975.9700000011</v>
      </c>
      <c r="K124" s="128">
        <v>11865.729999999996</v>
      </c>
      <c r="L124" s="128">
        <v>77</v>
      </c>
      <c r="M124" s="128">
        <v>2168895.86</v>
      </c>
      <c r="N124" s="128">
        <v>6601.27</v>
      </c>
      <c r="O124" s="128">
        <v>9</v>
      </c>
      <c r="P124" s="128">
        <v>1334590.3999999999</v>
      </c>
      <c r="Q124" s="128">
        <v>3925.41</v>
      </c>
      <c r="R124" s="128">
        <v>2</v>
      </c>
      <c r="S124" s="128">
        <v>29523.839999999997</v>
      </c>
      <c r="T124" s="87"/>
      <c r="U124" s="128">
        <v>57</v>
      </c>
      <c r="V124" s="128">
        <v>6308.0099999999993</v>
      </c>
      <c r="W124" s="128">
        <v>16.87</v>
      </c>
      <c r="X124" s="128">
        <v>112</v>
      </c>
      <c r="Y124" s="128">
        <v>42174.36</v>
      </c>
      <c r="Z124" s="128">
        <v>138.96</v>
      </c>
      <c r="AA124" s="128">
        <v>1</v>
      </c>
      <c r="AB124"/>
      <c r="AC124" s="130">
        <f t="shared" si="1"/>
        <v>7811</v>
      </c>
      <c r="AD124"/>
      <c r="AE124" s="128"/>
      <c r="AF124" s="128"/>
      <c r="AG124" s="128"/>
      <c r="AI124" s="128">
        <v>2384594.4500000002</v>
      </c>
      <c r="AJ124" s="128">
        <v>7617.74</v>
      </c>
    </row>
    <row r="125" spans="1:36" x14ac:dyDescent="0.2">
      <c r="A125" s="82">
        <v>2021</v>
      </c>
      <c r="B125" s="83" t="s">
        <v>82</v>
      </c>
      <c r="C125" s="86"/>
      <c r="D125" s="128">
        <v>15554413.700000001</v>
      </c>
      <c r="E125" s="128">
        <v>235576.17000000004</v>
      </c>
      <c r="F125" s="128">
        <v>5173602.1400000034</v>
      </c>
      <c r="G125" s="128">
        <v>7086</v>
      </c>
      <c r="H125" s="128">
        <v>1820386.6899999974</v>
      </c>
      <c r="I125" s="128">
        <v>671</v>
      </c>
      <c r="J125" s="128">
        <v>4023482.48</v>
      </c>
      <c r="K125" s="128">
        <v>12817.780000000002</v>
      </c>
      <c r="L125" s="128">
        <v>77</v>
      </c>
      <c r="M125" s="128">
        <v>2349026.7599999998</v>
      </c>
      <c r="N125" s="128">
        <v>7461.3</v>
      </c>
      <c r="O125" s="128">
        <v>9</v>
      </c>
      <c r="P125" s="128">
        <v>1600706</v>
      </c>
      <c r="Q125" s="128">
        <v>4448.1099999999997</v>
      </c>
      <c r="R125" s="128">
        <v>2</v>
      </c>
      <c r="S125" s="128">
        <v>27343.690000000002</v>
      </c>
      <c r="T125" s="87"/>
      <c r="U125" s="128">
        <v>57</v>
      </c>
      <c r="V125" s="128">
        <v>6104.52</v>
      </c>
      <c r="W125" s="128">
        <v>16.459999999999997</v>
      </c>
      <c r="X125" s="128">
        <v>112</v>
      </c>
      <c r="Y125" s="128">
        <v>37623.42</v>
      </c>
      <c r="Z125" s="128">
        <v>138.96</v>
      </c>
      <c r="AA125" s="128">
        <v>1</v>
      </c>
      <c r="AB125"/>
      <c r="AC125" s="130">
        <f t="shared" si="1"/>
        <v>7846</v>
      </c>
      <c r="AD125"/>
      <c r="AE125" s="128"/>
      <c r="AF125" s="128"/>
      <c r="AG125" s="128"/>
      <c r="AI125" s="128">
        <v>2793752.57</v>
      </c>
      <c r="AJ125" s="128">
        <v>8376.52</v>
      </c>
    </row>
    <row r="126" spans="1:36" x14ac:dyDescent="0.2">
      <c r="A126" s="82">
        <v>2021</v>
      </c>
      <c r="B126" s="83" t="s">
        <v>83</v>
      </c>
      <c r="C126" s="86"/>
      <c r="D126" s="128">
        <v>15685342.790000003</v>
      </c>
      <c r="E126" s="128">
        <v>213581.17999999996</v>
      </c>
      <c r="F126" s="128">
        <v>5793093.0300000207</v>
      </c>
      <c r="G126" s="128">
        <v>7119</v>
      </c>
      <c r="H126" s="128">
        <v>2023194.1000000003</v>
      </c>
      <c r="I126" s="128">
        <v>675</v>
      </c>
      <c r="J126" s="128">
        <v>4140130.2100000004</v>
      </c>
      <c r="K126" s="128">
        <v>12826.24</v>
      </c>
      <c r="L126" s="128">
        <v>78</v>
      </c>
      <c r="M126" s="128">
        <v>2311900.38</v>
      </c>
      <c r="N126" s="128">
        <v>7124.9500000000007</v>
      </c>
      <c r="O126" s="128">
        <v>8</v>
      </c>
      <c r="P126" s="128">
        <v>1091871.2</v>
      </c>
      <c r="Q126" s="128">
        <v>3976.92</v>
      </c>
      <c r="R126" s="128">
        <v>2</v>
      </c>
      <c r="S126" s="128">
        <v>28553.200000000001</v>
      </c>
      <c r="T126" s="87"/>
      <c r="U126" s="128">
        <v>57</v>
      </c>
      <c r="V126" s="128">
        <v>5995.5300000000007</v>
      </c>
      <c r="W126" s="128">
        <v>16.8</v>
      </c>
      <c r="X126" s="128">
        <v>112</v>
      </c>
      <c r="Y126" s="128">
        <v>39812.04</v>
      </c>
      <c r="Z126" s="128">
        <v>138.96</v>
      </c>
      <c r="AA126" s="128">
        <v>1</v>
      </c>
      <c r="AB126"/>
      <c r="AC126" s="130">
        <f t="shared" si="1"/>
        <v>7883</v>
      </c>
      <c r="AD126"/>
      <c r="AE126" s="128"/>
      <c r="AF126" s="128"/>
      <c r="AG126" s="128"/>
      <c r="AI126" s="128">
        <v>2235041.04</v>
      </c>
      <c r="AJ126" s="128">
        <v>7816.3899999999994</v>
      </c>
    </row>
    <row r="127" spans="1:36" x14ac:dyDescent="0.2">
      <c r="A127" s="82">
        <v>2021</v>
      </c>
      <c r="B127" s="83" t="s">
        <v>84</v>
      </c>
      <c r="C127" s="86"/>
      <c r="D127" s="128">
        <v>17774632.540000003</v>
      </c>
      <c r="E127" s="128">
        <v>222339.34000000003</v>
      </c>
      <c r="F127" s="128">
        <v>5993226.6300000176</v>
      </c>
      <c r="G127" s="128">
        <v>7140</v>
      </c>
      <c r="H127" s="128">
        <v>2147707.4800000004</v>
      </c>
      <c r="I127" s="128">
        <v>672</v>
      </c>
      <c r="J127" s="128">
        <v>4499091.0900000017</v>
      </c>
      <c r="K127" s="128">
        <v>13229.239999999998</v>
      </c>
      <c r="L127" s="128">
        <v>78</v>
      </c>
      <c r="M127" s="128">
        <v>2439399.0700000003</v>
      </c>
      <c r="N127" s="128">
        <v>7285.52</v>
      </c>
      <c r="O127" s="128">
        <v>8</v>
      </c>
      <c r="P127" s="128">
        <v>1764286.8</v>
      </c>
      <c r="Q127" s="128">
        <v>4295.04</v>
      </c>
      <c r="R127" s="128">
        <v>2</v>
      </c>
      <c r="S127" s="128">
        <v>28017.829999999998</v>
      </c>
      <c r="T127" s="87"/>
      <c r="U127" s="128">
        <v>57</v>
      </c>
      <c r="V127" s="128">
        <v>5995.52</v>
      </c>
      <c r="W127" s="128">
        <v>17.009999999999998</v>
      </c>
      <c r="X127" s="128">
        <v>112</v>
      </c>
      <c r="Y127" s="128">
        <v>45057.78</v>
      </c>
      <c r="Z127" s="128">
        <v>138.96</v>
      </c>
      <c r="AA127" s="128">
        <v>1</v>
      </c>
      <c r="AB127"/>
      <c r="AC127" s="130">
        <f t="shared" si="1"/>
        <v>7901</v>
      </c>
      <c r="AD127"/>
      <c r="AE127" s="128"/>
      <c r="AF127" s="128"/>
      <c r="AG127" s="128"/>
      <c r="AI127" s="128">
        <v>3029650.33</v>
      </c>
      <c r="AJ127" s="128">
        <v>8258.9600000000009</v>
      </c>
    </row>
    <row r="128" spans="1:36" x14ac:dyDescent="0.2">
      <c r="A128" s="82">
        <v>2021</v>
      </c>
      <c r="B128" s="83" t="s">
        <v>85</v>
      </c>
      <c r="C128" s="86"/>
      <c r="D128" s="128">
        <v>14020372.270000001</v>
      </c>
      <c r="E128" s="128">
        <v>193179.75</v>
      </c>
      <c r="F128" s="128">
        <v>4802974.669999999</v>
      </c>
      <c r="G128" s="128">
        <v>7172</v>
      </c>
      <c r="H128" s="128">
        <v>1772497.4800000028</v>
      </c>
      <c r="I128" s="128">
        <v>673</v>
      </c>
      <c r="J128" s="128">
        <v>3873687.5700000008</v>
      </c>
      <c r="K128" s="128">
        <v>12704.099999999999</v>
      </c>
      <c r="L128" s="128">
        <v>78</v>
      </c>
      <c r="M128" s="128">
        <v>2132924.0099999998</v>
      </c>
      <c r="N128" s="128">
        <v>6708</v>
      </c>
      <c r="O128" s="128">
        <v>8</v>
      </c>
      <c r="P128" s="128">
        <v>1519409.6</v>
      </c>
      <c r="Q128" s="128">
        <v>4335.7299999999996</v>
      </c>
      <c r="R128" s="128">
        <v>2</v>
      </c>
      <c r="S128" s="128">
        <v>27692.460000000003</v>
      </c>
      <c r="T128" s="87"/>
      <c r="U128" s="128">
        <v>57</v>
      </c>
      <c r="V128" s="128">
        <v>5802.1200000000008</v>
      </c>
      <c r="W128" s="128">
        <v>16.79</v>
      </c>
      <c r="X128" s="128">
        <v>112</v>
      </c>
      <c r="Y128" s="128">
        <v>48809.7</v>
      </c>
      <c r="Z128" s="128">
        <v>138.96</v>
      </c>
      <c r="AA128" s="128">
        <v>1</v>
      </c>
      <c r="AB128"/>
      <c r="AC128" s="130">
        <f t="shared" si="1"/>
        <v>7934</v>
      </c>
      <c r="AD128"/>
      <c r="AE128" s="128"/>
      <c r="AF128" s="128"/>
      <c r="AG128" s="128"/>
      <c r="AI128" s="128">
        <v>2605677.4699999997</v>
      </c>
      <c r="AJ128" s="128">
        <v>8203.65</v>
      </c>
    </row>
    <row r="129" spans="1:36" x14ac:dyDescent="0.2">
      <c r="A129" s="82">
        <v>2021</v>
      </c>
      <c r="B129" s="83" t="s">
        <v>86</v>
      </c>
      <c r="C129" s="86"/>
      <c r="D129" s="128">
        <v>13896446.370000001</v>
      </c>
      <c r="E129" s="128">
        <v>100673.29000000002</v>
      </c>
      <c r="F129" s="128">
        <v>4216525.2599999933</v>
      </c>
      <c r="G129" s="128">
        <v>7213</v>
      </c>
      <c r="H129" s="128">
        <v>1649701.4700000002</v>
      </c>
      <c r="I129" s="128">
        <v>675</v>
      </c>
      <c r="J129" s="128">
        <v>3791139.6300000008</v>
      </c>
      <c r="K129" s="128">
        <v>12334.53</v>
      </c>
      <c r="L129" s="128">
        <v>78</v>
      </c>
      <c r="M129" s="128">
        <v>2214736.6100000003</v>
      </c>
      <c r="N129" s="128">
        <v>6869.1100000000006</v>
      </c>
      <c r="O129" s="128">
        <v>8</v>
      </c>
      <c r="P129" s="128">
        <v>1503959.6</v>
      </c>
      <c r="Q129" s="128">
        <v>4090.6899999999996</v>
      </c>
      <c r="R129" s="128">
        <v>2</v>
      </c>
      <c r="S129" s="128">
        <v>27803.46</v>
      </c>
      <c r="T129" s="87"/>
      <c r="U129" s="128">
        <v>55</v>
      </c>
      <c r="V129" s="128">
        <v>5995.5300000000016</v>
      </c>
      <c r="W129" s="128">
        <v>17.179999999999996</v>
      </c>
      <c r="X129" s="128">
        <v>112</v>
      </c>
      <c r="Y129" s="128">
        <v>56869.38</v>
      </c>
      <c r="Z129" s="128">
        <v>138.96</v>
      </c>
      <c r="AA129" s="128">
        <v>1</v>
      </c>
      <c r="AB129"/>
      <c r="AC129" s="130">
        <f t="shared" si="1"/>
        <v>7977</v>
      </c>
      <c r="AD129"/>
      <c r="AE129" s="128"/>
      <c r="AF129" s="128"/>
      <c r="AG129" s="128"/>
      <c r="AI129" s="128">
        <v>2583543.65</v>
      </c>
      <c r="AJ129" s="128">
        <v>7918.9400000000005</v>
      </c>
    </row>
    <row r="130" spans="1:36" x14ac:dyDescent="0.2">
      <c r="A130" s="82">
        <v>2021</v>
      </c>
      <c r="B130" s="83" t="s">
        <v>87</v>
      </c>
      <c r="C130" s="86"/>
      <c r="D130" s="128">
        <v>14538013.570000002</v>
      </c>
      <c r="E130" s="128">
        <v>75643.289999999994</v>
      </c>
      <c r="F130" s="128">
        <v>4473316.3500000285</v>
      </c>
      <c r="G130" s="128">
        <v>7249</v>
      </c>
      <c r="H130" s="128">
        <v>1698990.0900000024</v>
      </c>
      <c r="I130" s="128">
        <v>678</v>
      </c>
      <c r="J130" s="128">
        <v>4052535.2600000012</v>
      </c>
      <c r="K130" s="128">
        <v>12353.289999999995</v>
      </c>
      <c r="L130" s="128">
        <v>78</v>
      </c>
      <c r="M130" s="128">
        <v>2127046.85</v>
      </c>
      <c r="N130" s="128">
        <v>6548.96</v>
      </c>
      <c r="O130" s="128">
        <v>8</v>
      </c>
      <c r="P130" s="128">
        <v>1673078</v>
      </c>
      <c r="Q130" s="128">
        <v>4436.8</v>
      </c>
      <c r="R130" s="128">
        <v>2</v>
      </c>
      <c r="S130" s="128">
        <v>29792.13</v>
      </c>
      <c r="T130" s="87"/>
      <c r="U130" s="128">
        <v>57</v>
      </c>
      <c r="V130" s="128">
        <v>5802.1299999999992</v>
      </c>
      <c r="W130" s="128">
        <v>16.699999999999996</v>
      </c>
      <c r="X130" s="128">
        <v>112</v>
      </c>
      <c r="Y130" s="128">
        <v>60273.9</v>
      </c>
      <c r="Z130" s="128">
        <v>138.96</v>
      </c>
      <c r="AA130" s="128">
        <v>1</v>
      </c>
      <c r="AB130"/>
      <c r="AC130" s="130">
        <f t="shared" si="1"/>
        <v>8016</v>
      </c>
      <c r="AD130"/>
      <c r="AE130" s="128"/>
      <c r="AF130" s="128"/>
      <c r="AG130" s="128"/>
      <c r="AI130" s="128">
        <v>2752624.6</v>
      </c>
      <c r="AJ130" s="128">
        <v>8162.58</v>
      </c>
    </row>
    <row r="131" spans="1:36" x14ac:dyDescent="0.2">
      <c r="A131" s="82">
        <v>2021</v>
      </c>
      <c r="B131" s="83" t="s">
        <v>88</v>
      </c>
      <c r="C131" s="86"/>
      <c r="D131" s="128">
        <v>14738839.719999997</v>
      </c>
      <c r="E131" s="128">
        <v>46959.739999999991</v>
      </c>
      <c r="F131" s="128">
        <v>5091332.9399999771</v>
      </c>
      <c r="G131" s="128">
        <v>7281</v>
      </c>
      <c r="H131" s="128">
        <v>1809154.9199999985</v>
      </c>
      <c r="I131" s="128">
        <v>673</v>
      </c>
      <c r="J131" s="128">
        <v>3937545.1599999988</v>
      </c>
      <c r="K131" s="128">
        <v>12570.909999999996</v>
      </c>
      <c r="L131" s="128">
        <v>78</v>
      </c>
      <c r="M131" s="128">
        <v>1839188.75</v>
      </c>
      <c r="N131" s="128">
        <v>6282.55</v>
      </c>
      <c r="O131" s="128">
        <v>8</v>
      </c>
      <c r="P131" s="128">
        <v>1528307.2</v>
      </c>
      <c r="Q131" s="128">
        <v>4548.8</v>
      </c>
      <c r="R131" s="128">
        <v>2</v>
      </c>
      <c r="S131" s="128">
        <v>29429.81</v>
      </c>
      <c r="T131" s="87"/>
      <c r="U131" s="128">
        <v>57</v>
      </c>
      <c r="V131" s="128">
        <v>6016.58</v>
      </c>
      <c r="W131" s="128">
        <v>17.350000000000001</v>
      </c>
      <c r="X131" s="128">
        <v>112</v>
      </c>
      <c r="Y131" s="128">
        <v>65589.119999999995</v>
      </c>
      <c r="Z131" s="128">
        <v>138.96</v>
      </c>
      <c r="AA131" s="128">
        <v>1</v>
      </c>
      <c r="AB131"/>
      <c r="AC131" s="130">
        <f t="shared" si="1"/>
        <v>8043</v>
      </c>
      <c r="AD131"/>
      <c r="AE131" s="128"/>
      <c r="AF131" s="128"/>
      <c r="AG131" s="128"/>
      <c r="AI131" s="128">
        <v>2539364.25</v>
      </c>
      <c r="AJ131" s="128">
        <v>8184.45</v>
      </c>
    </row>
    <row r="132" spans="1:36" x14ac:dyDescent="0.2">
      <c r="A132" s="82">
        <v>2022</v>
      </c>
      <c r="B132" s="83" t="s">
        <v>78</v>
      </c>
      <c r="C132" s="86"/>
      <c r="D132" s="127">
        <v>16412005.120000001</v>
      </c>
      <c r="E132" s="127">
        <v>39551.119999999995</v>
      </c>
      <c r="F132" s="127">
        <v>5477139.820000018</v>
      </c>
      <c r="G132" s="127">
        <v>7302</v>
      </c>
      <c r="H132" s="127">
        <v>2018523.3899999987</v>
      </c>
      <c r="I132" s="127">
        <v>678</v>
      </c>
      <c r="J132" s="127">
        <v>4432565.54</v>
      </c>
      <c r="K132" s="127">
        <v>12871.199999999999</v>
      </c>
      <c r="L132" s="127">
        <v>73</v>
      </c>
      <c r="M132" s="127">
        <v>1837634.37</v>
      </c>
      <c r="N132" s="127">
        <v>5743.41</v>
      </c>
      <c r="O132" s="127">
        <v>6</v>
      </c>
      <c r="P132" s="127">
        <v>1862454.8</v>
      </c>
      <c r="Q132" s="127">
        <v>4467.2</v>
      </c>
      <c r="R132" s="127">
        <v>2</v>
      </c>
      <c r="S132" s="127">
        <v>27660.499999999996</v>
      </c>
      <c r="T132" s="85"/>
      <c r="U132" s="127">
        <v>57</v>
      </c>
      <c r="V132" s="127">
        <v>6213.1400000000012</v>
      </c>
      <c r="W132" s="127">
        <v>17.62</v>
      </c>
      <c r="X132" s="127">
        <v>116</v>
      </c>
      <c r="Y132" s="127">
        <v>64616.4</v>
      </c>
      <c r="Z132" s="127">
        <v>138.96</v>
      </c>
      <c r="AA132" s="127">
        <v>1</v>
      </c>
      <c r="AB132"/>
      <c r="AC132" s="130">
        <f t="shared" si="1"/>
        <v>8062</v>
      </c>
      <c r="AD132"/>
      <c r="AE132" s="127"/>
      <c r="AF132" s="127"/>
      <c r="AG132" s="127"/>
      <c r="AI132" s="127">
        <v>2934568.9799999995</v>
      </c>
      <c r="AJ132" s="127">
        <v>8166.6</v>
      </c>
    </row>
    <row r="133" spans="1:36" x14ac:dyDescent="0.2">
      <c r="A133" s="82">
        <v>2022</v>
      </c>
      <c r="B133" s="83" t="s">
        <v>79</v>
      </c>
      <c r="C133" s="86"/>
      <c r="D133" s="128">
        <v>14716423.85</v>
      </c>
      <c r="E133" s="128">
        <v>71042.73</v>
      </c>
      <c r="F133" s="128">
        <v>4793761.4599999813</v>
      </c>
      <c r="G133" s="128">
        <v>7324</v>
      </c>
      <c r="H133" s="128">
        <v>1857251.91</v>
      </c>
      <c r="I133" s="128">
        <v>679</v>
      </c>
      <c r="J133" s="128">
        <v>4083591.74</v>
      </c>
      <c r="K133" s="128">
        <v>12605.550000000001</v>
      </c>
      <c r="L133" s="128">
        <v>74</v>
      </c>
      <c r="M133" s="128">
        <v>1699700.99</v>
      </c>
      <c r="N133" s="128">
        <v>5736.7000000000007</v>
      </c>
      <c r="O133" s="128">
        <v>6</v>
      </c>
      <c r="P133" s="128">
        <v>1669743.2</v>
      </c>
      <c r="Q133" s="128">
        <v>4228.8</v>
      </c>
      <c r="R133" s="128">
        <v>2</v>
      </c>
      <c r="S133" s="128">
        <v>26025.56</v>
      </c>
      <c r="T133" s="87"/>
      <c r="U133" s="128">
        <v>56</v>
      </c>
      <c r="V133" s="128">
        <v>5611.8799999999992</v>
      </c>
      <c r="W133" s="128">
        <v>16.07</v>
      </c>
      <c r="X133" s="128">
        <v>116</v>
      </c>
      <c r="Y133" s="128">
        <v>58363.199999999997</v>
      </c>
      <c r="Z133" s="128">
        <v>138.96</v>
      </c>
      <c r="AA133" s="128">
        <v>1</v>
      </c>
      <c r="AB133"/>
      <c r="AC133" s="130">
        <f t="shared" si="1"/>
        <v>8086</v>
      </c>
      <c r="AD133"/>
      <c r="AE133" s="128"/>
      <c r="AF133" s="128"/>
      <c r="AG133" s="128"/>
      <c r="AI133" s="128">
        <v>2674491.9299999997</v>
      </c>
      <c r="AJ133" s="128">
        <v>7817.6800000000012</v>
      </c>
    </row>
    <row r="134" spans="1:36" x14ac:dyDescent="0.2">
      <c r="A134" s="82">
        <v>2022</v>
      </c>
      <c r="B134" s="83" t="s">
        <v>80</v>
      </c>
      <c r="C134" s="86"/>
      <c r="D134" s="128">
        <v>15784695.399999995</v>
      </c>
      <c r="E134" s="128">
        <v>118490.18000000001</v>
      </c>
      <c r="F134" s="128">
        <v>4837986.9599999646</v>
      </c>
      <c r="G134" s="128">
        <v>7330</v>
      </c>
      <c r="H134" s="128">
        <v>1940554.4</v>
      </c>
      <c r="I134" s="128">
        <v>680</v>
      </c>
      <c r="J134" s="128">
        <v>4730615.04</v>
      </c>
      <c r="K134" s="128">
        <v>12881.68</v>
      </c>
      <c r="L134" s="128">
        <v>74</v>
      </c>
      <c r="M134" s="128">
        <v>2033769.65</v>
      </c>
      <c r="N134" s="128">
        <v>6131.63</v>
      </c>
      <c r="O134" s="128">
        <v>6</v>
      </c>
      <c r="P134" s="128">
        <v>1717891.2</v>
      </c>
      <c r="Q134" s="128">
        <v>4099.2</v>
      </c>
      <c r="R134" s="128">
        <v>2</v>
      </c>
      <c r="S134" s="128">
        <v>29189.210000000003</v>
      </c>
      <c r="T134" s="87"/>
      <c r="U134" s="128">
        <v>56</v>
      </c>
      <c r="V134" s="128">
        <v>6213.1500000000005</v>
      </c>
      <c r="W134" s="128">
        <v>17.060000000000002</v>
      </c>
      <c r="X134" s="128">
        <v>116</v>
      </c>
      <c r="Y134" s="128">
        <v>54368.1</v>
      </c>
      <c r="Z134" s="128">
        <v>138.96</v>
      </c>
      <c r="AA134" s="128">
        <v>1</v>
      </c>
      <c r="AB134"/>
      <c r="AC134" s="130">
        <f t="shared" si="1"/>
        <v>8093</v>
      </c>
      <c r="AD134"/>
      <c r="AE134" s="128"/>
      <c r="AF134" s="128"/>
      <c r="AG134" s="128"/>
      <c r="AI134" s="128">
        <v>2908552.2800000003</v>
      </c>
      <c r="AJ134" s="128">
        <v>7827.1900000000005</v>
      </c>
    </row>
    <row r="135" spans="1:36" x14ac:dyDescent="0.2">
      <c r="A135" s="82">
        <v>2022</v>
      </c>
      <c r="B135" s="83" t="s">
        <v>81</v>
      </c>
      <c r="C135" s="86"/>
      <c r="D135" s="128">
        <v>13400986.82</v>
      </c>
      <c r="E135" s="128">
        <v>183397.94000000003</v>
      </c>
      <c r="F135" s="128">
        <v>4202221.0799999898</v>
      </c>
      <c r="G135" s="128">
        <v>7343</v>
      </c>
      <c r="H135" s="128">
        <v>1681265.3499999987</v>
      </c>
      <c r="I135" s="128">
        <v>680</v>
      </c>
      <c r="J135" s="128">
        <v>4082344.169999999</v>
      </c>
      <c r="K135" s="128">
        <v>12918.510000000002</v>
      </c>
      <c r="L135" s="128">
        <v>74</v>
      </c>
      <c r="M135" s="128">
        <v>1772356.98</v>
      </c>
      <c r="N135" s="128">
        <v>6242.2</v>
      </c>
      <c r="O135" s="128">
        <v>6</v>
      </c>
      <c r="P135" s="128">
        <v>1319653.2000000002</v>
      </c>
      <c r="Q135" s="128">
        <v>3408</v>
      </c>
      <c r="R135" s="128">
        <v>2</v>
      </c>
      <c r="S135" s="128">
        <v>28405.599999999999</v>
      </c>
      <c r="T135" s="87"/>
      <c r="U135" s="128">
        <v>53</v>
      </c>
      <c r="V135" s="128">
        <v>5999.8400000000011</v>
      </c>
      <c r="W135" s="128">
        <v>17.64</v>
      </c>
      <c r="X135" s="128">
        <v>116</v>
      </c>
      <c r="Y135" s="128">
        <v>46065.24</v>
      </c>
      <c r="Z135" s="128">
        <v>138.96</v>
      </c>
      <c r="AA135" s="128">
        <v>1</v>
      </c>
      <c r="AB135"/>
      <c r="AC135" s="130">
        <f t="shared" si="1"/>
        <v>8106</v>
      </c>
      <c r="AD135"/>
      <c r="AE135" s="128"/>
      <c r="AF135" s="128"/>
      <c r="AG135" s="128"/>
      <c r="AI135" s="128">
        <v>2339369.9700000002</v>
      </c>
      <c r="AJ135" s="128">
        <v>7051.28</v>
      </c>
    </row>
    <row r="136" spans="1:36" x14ac:dyDescent="0.2">
      <c r="A136" s="82">
        <v>2022</v>
      </c>
      <c r="B136" s="83" t="s">
        <v>52</v>
      </c>
      <c r="C136" s="86"/>
      <c r="D136" s="128">
        <v>14301607.030000005</v>
      </c>
      <c r="E136" s="128">
        <v>237124.88999999996</v>
      </c>
      <c r="F136" s="128">
        <v>4645740.909999989</v>
      </c>
      <c r="G136" s="128">
        <v>7355</v>
      </c>
      <c r="H136" s="128">
        <v>1804695.4899999993</v>
      </c>
      <c r="I136" s="128">
        <v>681</v>
      </c>
      <c r="J136" s="128">
        <v>4547025.459999999</v>
      </c>
      <c r="K136" s="128">
        <v>14135.51</v>
      </c>
      <c r="L136" s="128">
        <v>74</v>
      </c>
      <c r="M136" s="128">
        <v>1930492.54</v>
      </c>
      <c r="N136" s="128">
        <v>6411.84</v>
      </c>
      <c r="O136" s="128">
        <v>6</v>
      </c>
      <c r="P136" s="128">
        <v>1297085.6000000001</v>
      </c>
      <c r="Q136" s="128">
        <v>3582.4</v>
      </c>
      <c r="R136" s="128">
        <v>2</v>
      </c>
      <c r="S136" s="128">
        <v>28162.13</v>
      </c>
      <c r="T136" s="87"/>
      <c r="U136" s="128">
        <v>58</v>
      </c>
      <c r="V136" s="128">
        <v>6017.24</v>
      </c>
      <c r="W136" s="128">
        <v>17.399999999999999</v>
      </c>
      <c r="X136" s="128">
        <v>116</v>
      </c>
      <c r="Y136" s="128">
        <v>42174.36</v>
      </c>
      <c r="Z136" s="128">
        <v>138.96</v>
      </c>
      <c r="AA136" s="128">
        <v>1</v>
      </c>
      <c r="AB136"/>
      <c r="AC136" s="130">
        <f t="shared" si="1"/>
        <v>8119</v>
      </c>
      <c r="AD136"/>
      <c r="AE136" s="128"/>
      <c r="AF136" s="128"/>
      <c r="AG136" s="128"/>
      <c r="AI136" s="128">
        <v>2339920.3899999997</v>
      </c>
      <c r="AJ136" s="128">
        <v>7445.6900000000005</v>
      </c>
    </row>
    <row r="137" spans="1:36" x14ac:dyDescent="0.2">
      <c r="A137" s="82">
        <v>2022</v>
      </c>
      <c r="B137" s="83" t="s">
        <v>82</v>
      </c>
      <c r="C137" s="86"/>
      <c r="D137" s="128">
        <v>15576117.430000002</v>
      </c>
      <c r="E137" s="128">
        <v>248877.21999999997</v>
      </c>
      <c r="F137" s="128">
        <v>4949047.6100000134</v>
      </c>
      <c r="G137" s="128">
        <v>7400</v>
      </c>
      <c r="H137" s="128">
        <v>2007756.9200000018</v>
      </c>
      <c r="I137" s="128">
        <v>683</v>
      </c>
      <c r="J137" s="128">
        <v>4636283.3100000005</v>
      </c>
      <c r="K137" s="128">
        <v>14616.630000000001</v>
      </c>
      <c r="L137" s="128">
        <v>74</v>
      </c>
      <c r="M137" s="128">
        <v>2032458.5899999999</v>
      </c>
      <c r="N137" s="128">
        <v>6328.27</v>
      </c>
      <c r="O137" s="128">
        <v>6</v>
      </c>
      <c r="P137" s="128">
        <v>1447688</v>
      </c>
      <c r="Q137" s="128">
        <v>4516.46</v>
      </c>
      <c r="R137" s="128">
        <v>2</v>
      </c>
      <c r="S137" s="128">
        <v>28800.399999999998</v>
      </c>
      <c r="T137" s="87"/>
      <c r="U137" s="128">
        <v>56</v>
      </c>
      <c r="V137" s="128">
        <v>5991.1400000000012</v>
      </c>
      <c r="W137" s="128">
        <v>17.490000000000002</v>
      </c>
      <c r="X137" s="128">
        <v>116</v>
      </c>
      <c r="Y137" s="128">
        <v>37623.42</v>
      </c>
      <c r="Z137" s="128">
        <v>138.96</v>
      </c>
      <c r="AA137" s="128">
        <v>1</v>
      </c>
      <c r="AB137"/>
      <c r="AC137" s="130">
        <f t="shared" si="1"/>
        <v>8166</v>
      </c>
      <c r="AD137"/>
      <c r="AE137" s="128"/>
      <c r="AF137" s="128"/>
      <c r="AG137" s="128"/>
      <c r="AI137" s="128">
        <v>2565190.25</v>
      </c>
      <c r="AJ137" s="128">
        <v>8633.0500000000011</v>
      </c>
    </row>
    <row r="138" spans="1:36" x14ac:dyDescent="0.2">
      <c r="A138" s="82">
        <v>2022</v>
      </c>
      <c r="B138" s="83" t="s">
        <v>83</v>
      </c>
      <c r="C138" s="86"/>
      <c r="D138" s="128">
        <v>17012436.870000001</v>
      </c>
      <c r="E138" s="128">
        <v>229151.86</v>
      </c>
      <c r="F138" s="128">
        <v>6165869.7399999863</v>
      </c>
      <c r="G138" s="128">
        <v>7426</v>
      </c>
      <c r="H138" s="128">
        <v>2236158.580000001</v>
      </c>
      <c r="I138" s="128">
        <v>683</v>
      </c>
      <c r="J138" s="128">
        <v>4825864.5499999989</v>
      </c>
      <c r="K138" s="128">
        <v>14174.190000000008</v>
      </c>
      <c r="L138" s="128">
        <v>74</v>
      </c>
      <c r="M138" s="128">
        <v>1934978.2400000002</v>
      </c>
      <c r="N138" s="128">
        <v>6469.54</v>
      </c>
      <c r="O138" s="128">
        <v>6</v>
      </c>
      <c r="P138" s="128">
        <v>1394588.4</v>
      </c>
      <c r="Q138" s="128">
        <v>4067.76</v>
      </c>
      <c r="R138" s="128">
        <v>2</v>
      </c>
      <c r="S138" s="128">
        <v>28769.85</v>
      </c>
      <c r="T138" s="87"/>
      <c r="U138" s="128">
        <v>55</v>
      </c>
      <c r="V138" s="128">
        <v>6078.84</v>
      </c>
      <c r="W138" s="128">
        <v>17.53</v>
      </c>
      <c r="X138" s="128">
        <v>116</v>
      </c>
      <c r="Y138" s="128">
        <v>39812.04</v>
      </c>
      <c r="Z138" s="128">
        <v>138.96</v>
      </c>
      <c r="AA138" s="128">
        <v>1</v>
      </c>
      <c r="AB138"/>
      <c r="AC138" s="130">
        <f t="shared" si="1"/>
        <v>8192</v>
      </c>
      <c r="AD138"/>
      <c r="AE138" s="128"/>
      <c r="AF138" s="128"/>
      <c r="AG138" s="128"/>
      <c r="AI138" s="128">
        <v>2522388.0499999998</v>
      </c>
      <c r="AJ138" s="128">
        <v>8047.6399999999994</v>
      </c>
    </row>
    <row r="139" spans="1:36" x14ac:dyDescent="0.2">
      <c r="A139" s="82">
        <v>2022</v>
      </c>
      <c r="B139" s="83" t="s">
        <v>84</v>
      </c>
      <c r="C139" s="86"/>
      <c r="D139" s="128">
        <v>17747489.990000002</v>
      </c>
      <c r="E139" s="128">
        <v>216120.18</v>
      </c>
      <c r="F139" s="128">
        <v>5934473.780000004</v>
      </c>
      <c r="G139" s="128">
        <v>7453</v>
      </c>
      <c r="H139" s="128">
        <v>2199402.1300000018</v>
      </c>
      <c r="I139" s="128">
        <v>685</v>
      </c>
      <c r="J139" s="128">
        <v>5014403.0900000008</v>
      </c>
      <c r="K139" s="128">
        <v>14082.189999999999</v>
      </c>
      <c r="L139" s="128">
        <v>74</v>
      </c>
      <c r="M139" s="128">
        <v>2281746.5299999998</v>
      </c>
      <c r="N139" s="128">
        <v>6455.4299999999994</v>
      </c>
      <c r="O139" s="128">
        <v>6</v>
      </c>
      <c r="P139" s="128">
        <v>1728016.8</v>
      </c>
      <c r="Q139" s="128">
        <v>4151.87</v>
      </c>
      <c r="R139" s="128">
        <v>2</v>
      </c>
      <c r="S139" s="128">
        <v>28751.29</v>
      </c>
      <c r="T139" s="87"/>
      <c r="U139" s="128">
        <v>58</v>
      </c>
      <c r="V139" s="128">
        <v>5996.1100000000024</v>
      </c>
      <c r="W139" s="128">
        <v>17.349999999999998</v>
      </c>
      <c r="X139" s="128">
        <v>116</v>
      </c>
      <c r="Y139" s="128">
        <v>45057.78</v>
      </c>
      <c r="Z139" s="128">
        <v>138.96</v>
      </c>
      <c r="AA139" s="128">
        <v>1</v>
      </c>
      <c r="AB139"/>
      <c r="AC139" s="130">
        <f t="shared" si="1"/>
        <v>8221</v>
      </c>
      <c r="AD139"/>
      <c r="AE139" s="128"/>
      <c r="AF139" s="128"/>
      <c r="AG139" s="128"/>
      <c r="AI139" s="128">
        <v>2960784.4699999997</v>
      </c>
      <c r="AJ139" s="128">
        <v>8090.78</v>
      </c>
    </row>
    <row r="140" spans="1:36" x14ac:dyDescent="0.2">
      <c r="A140" s="82">
        <v>2022</v>
      </c>
      <c r="B140" s="83" t="s">
        <v>85</v>
      </c>
      <c r="C140" s="86"/>
      <c r="D140" s="128">
        <v>14825218.609999998</v>
      </c>
      <c r="E140" s="128">
        <v>177422.69</v>
      </c>
      <c r="F140" s="128">
        <v>4679539.0600000015</v>
      </c>
      <c r="G140" s="128">
        <v>7476</v>
      </c>
      <c r="H140" s="128">
        <v>1854665.2400000009</v>
      </c>
      <c r="I140" s="128">
        <v>685</v>
      </c>
      <c r="J140" s="128">
        <v>4464950.9099999992</v>
      </c>
      <c r="K140" s="128">
        <v>13483.1</v>
      </c>
      <c r="L140" s="128">
        <v>74</v>
      </c>
      <c r="M140" s="128">
        <v>2140775.77</v>
      </c>
      <c r="N140" s="128">
        <v>6285.86</v>
      </c>
      <c r="O140" s="128">
        <v>6</v>
      </c>
      <c r="P140" s="128">
        <v>1377140.8</v>
      </c>
      <c r="Q140" s="128">
        <v>4073.58</v>
      </c>
      <c r="R140" s="128">
        <v>2</v>
      </c>
      <c r="S140" s="128">
        <v>27629.97</v>
      </c>
      <c r="T140" s="87"/>
      <c r="U140" s="128">
        <v>49</v>
      </c>
      <c r="V140" s="128">
        <v>5965.8000000000011</v>
      </c>
      <c r="W140" s="128">
        <v>16.819999999999997</v>
      </c>
      <c r="X140" s="128">
        <v>116</v>
      </c>
      <c r="Y140" s="128">
        <v>48809.7</v>
      </c>
      <c r="Z140" s="128">
        <v>138.96</v>
      </c>
      <c r="AA140" s="128">
        <v>1</v>
      </c>
      <c r="AB140"/>
      <c r="AC140" s="130">
        <f t="shared" si="1"/>
        <v>8244</v>
      </c>
      <c r="AD140"/>
      <c r="AE140" s="128"/>
      <c r="AF140" s="128"/>
      <c r="AG140" s="128"/>
      <c r="AI140" s="128">
        <v>2469973.7000000002</v>
      </c>
      <c r="AJ140" s="128">
        <v>7904</v>
      </c>
    </row>
    <row r="141" spans="1:36" x14ac:dyDescent="0.2">
      <c r="A141" s="82">
        <v>2022</v>
      </c>
      <c r="B141" s="83" t="s">
        <v>86</v>
      </c>
      <c r="C141" s="86"/>
      <c r="D141" s="128">
        <v>13962206.960000001</v>
      </c>
      <c r="E141" s="128">
        <v>150969.89999999997</v>
      </c>
      <c r="F141" s="128">
        <v>4183786.8000000073</v>
      </c>
      <c r="G141" s="128">
        <v>7520</v>
      </c>
      <c r="H141" s="128">
        <v>1704880.0399999991</v>
      </c>
      <c r="I141" s="128">
        <v>685</v>
      </c>
      <c r="J141" s="128">
        <v>4385549.78</v>
      </c>
      <c r="K141" s="128">
        <v>12776.789999999997</v>
      </c>
      <c r="L141" s="128">
        <v>74</v>
      </c>
      <c r="M141" s="128">
        <v>2068666.9300000002</v>
      </c>
      <c r="N141" s="128">
        <v>6250.63</v>
      </c>
      <c r="O141" s="128">
        <v>6</v>
      </c>
      <c r="P141" s="128">
        <v>1261226.45</v>
      </c>
      <c r="Q141" s="128">
        <v>3651.73</v>
      </c>
      <c r="R141" s="128">
        <v>2</v>
      </c>
      <c r="S141" s="128">
        <v>26731.219999999998</v>
      </c>
      <c r="T141" s="87"/>
      <c r="U141" s="128">
        <v>57</v>
      </c>
      <c r="V141" s="128">
        <v>6000.8000000000011</v>
      </c>
      <c r="W141" s="128">
        <v>15.160000000000002</v>
      </c>
      <c r="X141" s="128">
        <v>116</v>
      </c>
      <c r="Y141" s="128">
        <v>56869.38</v>
      </c>
      <c r="Z141" s="128">
        <v>138.96</v>
      </c>
      <c r="AA141" s="128">
        <v>1</v>
      </c>
      <c r="AB141"/>
      <c r="AC141" s="130">
        <f t="shared" si="1"/>
        <v>8288</v>
      </c>
      <c r="AD141"/>
      <c r="AE141" s="128"/>
      <c r="AF141" s="128"/>
      <c r="AG141" s="128"/>
      <c r="AI141" s="128">
        <v>2345996.61</v>
      </c>
      <c r="AJ141" s="128">
        <v>7313.9899999999989</v>
      </c>
    </row>
    <row r="142" spans="1:36" x14ac:dyDescent="0.2">
      <c r="A142" s="82">
        <v>2022</v>
      </c>
      <c r="B142" s="83" t="s">
        <v>87</v>
      </c>
      <c r="C142" s="86"/>
      <c r="D142" s="128">
        <v>14546118.099999998</v>
      </c>
      <c r="E142" s="128">
        <v>89129.83</v>
      </c>
      <c r="F142" s="128">
        <v>4516455.0099999923</v>
      </c>
      <c r="G142" s="128">
        <v>7532</v>
      </c>
      <c r="H142" s="128">
        <v>1774518.9500000009</v>
      </c>
      <c r="I142" s="128">
        <v>685</v>
      </c>
      <c r="J142" s="128">
        <v>4483335.6899999985</v>
      </c>
      <c r="K142" s="128">
        <v>12955.39</v>
      </c>
      <c r="L142" s="128">
        <v>75</v>
      </c>
      <c r="M142" s="128">
        <v>1842557.25</v>
      </c>
      <c r="N142" s="128">
        <v>6195.91</v>
      </c>
      <c r="O142" s="128">
        <v>6</v>
      </c>
      <c r="P142" s="128">
        <v>1496039.6</v>
      </c>
      <c r="Q142" s="128">
        <v>3921.0299999999997</v>
      </c>
      <c r="R142" s="128">
        <v>2</v>
      </c>
      <c r="S142" s="128">
        <v>29006.21</v>
      </c>
      <c r="T142" s="87"/>
      <c r="U142" s="128">
        <v>58</v>
      </c>
      <c r="V142" s="128">
        <v>5950.71</v>
      </c>
      <c r="W142" s="128">
        <v>15.309999999999999</v>
      </c>
      <c r="X142" s="128">
        <v>116</v>
      </c>
      <c r="Y142" s="128">
        <v>60273.9</v>
      </c>
      <c r="Z142" s="128">
        <v>138.96</v>
      </c>
      <c r="AA142" s="128">
        <v>1</v>
      </c>
      <c r="AB142"/>
      <c r="AC142" s="130">
        <f t="shared" si="1"/>
        <v>8301</v>
      </c>
      <c r="AD142"/>
      <c r="AE142" s="128"/>
      <c r="AF142" s="128"/>
      <c r="AG142" s="128"/>
      <c r="AI142" s="128">
        <v>2611589.88</v>
      </c>
      <c r="AJ142" s="128">
        <v>7543.58</v>
      </c>
    </row>
    <row r="143" spans="1:36" ht="13.5" thickBot="1" x14ac:dyDescent="0.25">
      <c r="A143" s="82">
        <v>2022</v>
      </c>
      <c r="B143" s="83" t="s">
        <v>88</v>
      </c>
      <c r="C143" s="86"/>
      <c r="D143" s="128">
        <v>15060786.930000003</v>
      </c>
      <c r="E143" s="128">
        <v>37383.910000000003</v>
      </c>
      <c r="F143" s="128">
        <v>5243334.9000000218</v>
      </c>
      <c r="G143" s="128">
        <v>7547</v>
      </c>
      <c r="H143" s="128">
        <v>1920836.9799999953</v>
      </c>
      <c r="I143" s="128">
        <v>683</v>
      </c>
      <c r="J143" s="128">
        <v>4392983.1899999995</v>
      </c>
      <c r="K143" s="128">
        <v>12985.649999999996</v>
      </c>
      <c r="L143" s="128">
        <v>76</v>
      </c>
      <c r="M143" s="128">
        <v>1545340.32</v>
      </c>
      <c r="N143" s="128">
        <v>5108.7400000000007</v>
      </c>
      <c r="O143" s="128">
        <v>6</v>
      </c>
      <c r="P143" s="128">
        <v>1228625.2</v>
      </c>
      <c r="Q143" s="128">
        <v>3906.2400000000002</v>
      </c>
      <c r="R143" s="128">
        <v>2</v>
      </c>
      <c r="S143" s="128">
        <v>29758.050000000003</v>
      </c>
      <c r="T143" s="88"/>
      <c r="U143" s="128">
        <v>58</v>
      </c>
      <c r="V143" s="128">
        <v>6052.68</v>
      </c>
      <c r="W143" s="128">
        <v>16.12</v>
      </c>
      <c r="X143" s="128">
        <v>116</v>
      </c>
      <c r="Y143" s="128">
        <v>65589.119999999995</v>
      </c>
      <c r="Z143" s="128">
        <v>138.96</v>
      </c>
      <c r="AA143" s="128">
        <v>1</v>
      </c>
      <c r="AB143"/>
      <c r="AC143" s="130">
        <f>G143+I143+L143+O143+R143+AA143</f>
        <v>8315</v>
      </c>
      <c r="AD143"/>
      <c r="AE143" s="128"/>
      <c r="AF143" s="128"/>
      <c r="AG143" s="128"/>
      <c r="AI143" s="128">
        <v>2244485.73</v>
      </c>
      <c r="AJ143" s="128">
        <v>7426.59</v>
      </c>
    </row>
    <row r="144" spans="1:36" ht="13.5" thickBot="1" x14ac:dyDescent="0.25">
      <c r="A144" s="82">
        <v>2023</v>
      </c>
      <c r="B144" s="83" t="s">
        <v>78</v>
      </c>
      <c r="C144"/>
      <c r="D144" s="128">
        <v>15764179.122748416</v>
      </c>
      <c r="E144" s="128">
        <v>27611.989999999998</v>
      </c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88"/>
      <c r="U144" s="128"/>
      <c r="V144" s="128"/>
      <c r="W144" s="128"/>
      <c r="X144" s="128">
        <v>112</v>
      </c>
      <c r="Y144" s="128"/>
      <c r="Z144" s="128"/>
      <c r="AA144" s="128">
        <v>1</v>
      </c>
      <c r="AB144"/>
      <c r="AC144" s="130">
        <f t="shared" ref="AC144:AC155" si="2">G144+I144+L144+O144+R144+AA144</f>
        <v>1</v>
      </c>
      <c r="AD144"/>
      <c r="AE144" s="128"/>
      <c r="AF144" s="128"/>
      <c r="AG144" s="128"/>
      <c r="AI144" s="128">
        <v>2662038.7200000002</v>
      </c>
      <c r="AJ144" s="128">
        <v>7414.79</v>
      </c>
    </row>
    <row r="145" spans="1:36" ht="13.5" thickBot="1" x14ac:dyDescent="0.25">
      <c r="A145" s="82">
        <v>2023</v>
      </c>
      <c r="B145" s="83" t="s">
        <v>79</v>
      </c>
      <c r="C145"/>
      <c r="D145" s="128">
        <v>14136641.043564996</v>
      </c>
      <c r="E145" s="128">
        <v>64932.92</v>
      </c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88"/>
      <c r="U145" s="128"/>
      <c r="V145" s="128"/>
      <c r="W145" s="128"/>
      <c r="X145" s="128">
        <v>112</v>
      </c>
      <c r="Y145" s="128"/>
      <c r="Z145" s="128"/>
      <c r="AA145" s="128">
        <v>1</v>
      </c>
      <c r="AB145"/>
      <c r="AC145" s="130">
        <f t="shared" si="2"/>
        <v>1</v>
      </c>
      <c r="AD145"/>
      <c r="AE145" s="128"/>
      <c r="AF145" s="128"/>
      <c r="AG145" s="128"/>
      <c r="AI145" s="128">
        <v>2424443.54</v>
      </c>
      <c r="AJ145" s="128">
        <v>7202.52</v>
      </c>
    </row>
    <row r="146" spans="1:36" ht="13.5" thickBot="1" x14ac:dyDescent="0.25">
      <c r="A146" s="82">
        <v>2023</v>
      </c>
      <c r="B146" s="83" t="s">
        <v>80</v>
      </c>
      <c r="C146"/>
      <c r="D146" s="128">
        <v>15486309.284900974</v>
      </c>
      <c r="E146" s="128">
        <v>96594.64</v>
      </c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88"/>
      <c r="U146" s="128"/>
      <c r="V146" s="128"/>
      <c r="W146" s="128"/>
      <c r="X146" s="128">
        <v>112</v>
      </c>
      <c r="Y146" s="128"/>
      <c r="Z146" s="128"/>
      <c r="AA146" s="128">
        <v>1</v>
      </c>
      <c r="AB146"/>
      <c r="AC146" s="130">
        <f t="shared" si="2"/>
        <v>1</v>
      </c>
      <c r="AD146"/>
      <c r="AE146" s="128"/>
      <c r="AF146" s="128"/>
      <c r="AG146" s="128"/>
      <c r="AI146" s="128">
        <v>2847086.92</v>
      </c>
      <c r="AJ146" s="128">
        <v>7426.96</v>
      </c>
    </row>
    <row r="147" spans="1:36" ht="13.5" thickBot="1" x14ac:dyDescent="0.25">
      <c r="A147" s="82">
        <v>2023</v>
      </c>
      <c r="B147" s="83" t="s">
        <v>81</v>
      </c>
      <c r="C147"/>
      <c r="D147" s="128">
        <v>13612691.13400103</v>
      </c>
      <c r="E147" s="128">
        <v>169996.45</v>
      </c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88"/>
      <c r="U147" s="128"/>
      <c r="V147" s="128"/>
      <c r="W147" s="128"/>
      <c r="X147" s="128">
        <v>112</v>
      </c>
      <c r="Y147" s="128"/>
      <c r="Z147" s="128"/>
      <c r="AA147" s="128">
        <v>1</v>
      </c>
      <c r="AB147"/>
      <c r="AC147" s="130">
        <f t="shared" si="2"/>
        <v>1</v>
      </c>
      <c r="AD147"/>
      <c r="AE147" s="128"/>
      <c r="AF147" s="128"/>
      <c r="AG147" s="128"/>
      <c r="AI147" s="128">
        <v>2352437.29</v>
      </c>
      <c r="AJ147" s="128">
        <v>7677.6</v>
      </c>
    </row>
    <row r="148" spans="1:36" ht="13.5" thickBot="1" x14ac:dyDescent="0.25">
      <c r="A148" s="82">
        <v>2023</v>
      </c>
      <c r="B148" s="83" t="s">
        <v>52</v>
      </c>
      <c r="C148"/>
      <c r="D148" s="128">
        <v>14486939.494704532</v>
      </c>
      <c r="E148" s="128">
        <v>244919.24000000002</v>
      </c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88"/>
      <c r="U148" s="128"/>
      <c r="V148" s="128"/>
      <c r="W148" s="128"/>
      <c r="X148" s="128">
        <v>112</v>
      </c>
      <c r="Y148" s="128"/>
      <c r="Z148" s="128"/>
      <c r="AA148" s="128">
        <v>1</v>
      </c>
      <c r="AB148"/>
      <c r="AC148" s="130">
        <f t="shared" si="2"/>
        <v>1</v>
      </c>
      <c r="AD148"/>
      <c r="AE148" s="128"/>
      <c r="AF148" s="128"/>
      <c r="AG148" s="128"/>
      <c r="AI148" s="128">
        <v>2446893.79</v>
      </c>
      <c r="AJ148" s="128">
        <v>7506.85</v>
      </c>
    </row>
    <row r="149" spans="1:36" ht="13.5" thickBot="1" x14ac:dyDescent="0.25">
      <c r="A149" s="82">
        <v>2023</v>
      </c>
      <c r="B149" s="83" t="s">
        <v>82</v>
      </c>
      <c r="C149"/>
      <c r="D149" s="128">
        <v>15530585.732628452</v>
      </c>
      <c r="E149" s="128">
        <v>213886.78000000003</v>
      </c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88"/>
      <c r="U149" s="128"/>
      <c r="V149" s="128"/>
      <c r="W149" s="128"/>
      <c r="X149" s="128">
        <v>112</v>
      </c>
      <c r="Y149" s="128"/>
      <c r="Z149" s="128"/>
      <c r="AA149" s="128">
        <v>1</v>
      </c>
      <c r="AB149"/>
      <c r="AC149" s="130">
        <f t="shared" si="2"/>
        <v>1</v>
      </c>
      <c r="AD149"/>
      <c r="AE149" s="128"/>
      <c r="AF149" s="128"/>
      <c r="AG149" s="128"/>
      <c r="AI149" s="128">
        <v>2555143.6599999997</v>
      </c>
      <c r="AJ149" s="128">
        <v>7361.91</v>
      </c>
    </row>
    <row r="150" spans="1:36" ht="13.5" thickBot="1" x14ac:dyDescent="0.25">
      <c r="A150" s="82">
        <v>2023</v>
      </c>
      <c r="B150" s="83" t="s">
        <v>83</v>
      </c>
      <c r="C150"/>
      <c r="D150" s="128">
        <v>17054339.358404133</v>
      </c>
      <c r="E150" s="128">
        <v>129654.62</v>
      </c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88"/>
      <c r="U150" s="128"/>
      <c r="V150" s="128"/>
      <c r="W150" s="128"/>
      <c r="X150" s="128">
        <v>112</v>
      </c>
      <c r="Y150" s="128"/>
      <c r="Z150" s="128"/>
      <c r="AA150" s="128">
        <v>1</v>
      </c>
      <c r="AB150"/>
      <c r="AC150" s="130">
        <f t="shared" si="2"/>
        <v>1</v>
      </c>
      <c r="AD150"/>
      <c r="AE150" s="128"/>
      <c r="AF150" s="128"/>
      <c r="AG150" s="128"/>
      <c r="AI150" s="128">
        <v>2382616.04</v>
      </c>
      <c r="AJ150" s="128">
        <v>7576.46</v>
      </c>
    </row>
    <row r="151" spans="1:36" ht="13.5" thickBot="1" x14ac:dyDescent="0.25">
      <c r="A151" s="82">
        <v>2023</v>
      </c>
      <c r="B151" s="83" t="s">
        <v>84</v>
      </c>
      <c r="C151"/>
      <c r="D151" s="128">
        <v>16860898.505161364</v>
      </c>
      <c r="E151" s="128">
        <v>178256.49</v>
      </c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88"/>
      <c r="U151" s="128"/>
      <c r="V151" s="128"/>
      <c r="W151" s="128"/>
      <c r="X151" s="128">
        <v>112</v>
      </c>
      <c r="Y151" s="128"/>
      <c r="Z151" s="128"/>
      <c r="AA151" s="128">
        <v>1</v>
      </c>
      <c r="AB151"/>
      <c r="AC151" s="130">
        <f t="shared" si="2"/>
        <v>1</v>
      </c>
      <c r="AD151"/>
      <c r="AE151" s="128"/>
      <c r="AF151" s="128"/>
      <c r="AG151" s="128"/>
      <c r="AI151" s="128">
        <v>2699374.0200000005</v>
      </c>
      <c r="AJ151" s="128">
        <v>7582.0499999999993</v>
      </c>
    </row>
    <row r="152" spans="1:36" ht="13.5" thickBot="1" x14ac:dyDescent="0.25">
      <c r="A152" s="82">
        <v>2023</v>
      </c>
      <c r="B152" s="83" t="s">
        <v>85</v>
      </c>
      <c r="C152"/>
      <c r="D152" s="128">
        <v>15223621.157050353</v>
      </c>
      <c r="E152" s="128">
        <v>162634.43</v>
      </c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88"/>
      <c r="U152" s="128"/>
      <c r="V152" s="128"/>
      <c r="W152" s="128"/>
      <c r="X152" s="128">
        <v>112</v>
      </c>
      <c r="Y152" s="128"/>
      <c r="Z152" s="128"/>
      <c r="AA152" s="128">
        <v>1</v>
      </c>
      <c r="AB152"/>
      <c r="AC152" s="130">
        <f t="shared" si="2"/>
        <v>1</v>
      </c>
      <c r="AD152"/>
      <c r="AE152" s="128"/>
      <c r="AF152" s="128"/>
      <c r="AG152" s="128"/>
      <c r="AI152" s="128">
        <v>2578882.92</v>
      </c>
      <c r="AJ152" s="128">
        <v>7788.47</v>
      </c>
    </row>
    <row r="153" spans="1:36" ht="13.5" thickBot="1" x14ac:dyDescent="0.25">
      <c r="A153" s="82">
        <v>2023</v>
      </c>
      <c r="B153" s="83" t="s">
        <v>86</v>
      </c>
      <c r="C153"/>
      <c r="D153" s="128">
        <v>14832443.876044633</v>
      </c>
      <c r="E153" s="128">
        <v>107189.81</v>
      </c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88"/>
      <c r="U153" s="128"/>
      <c r="V153" s="128"/>
      <c r="W153" s="128"/>
      <c r="X153" s="128">
        <v>112</v>
      </c>
      <c r="Y153" s="128"/>
      <c r="Z153" s="128"/>
      <c r="AA153" s="128">
        <v>1</v>
      </c>
      <c r="AB153"/>
      <c r="AC153" s="130">
        <f t="shared" si="2"/>
        <v>1</v>
      </c>
      <c r="AD153"/>
      <c r="AE153" s="128"/>
      <c r="AF153" s="128"/>
      <c r="AG153" s="128"/>
      <c r="AI153" s="128">
        <v>2594136.36</v>
      </c>
      <c r="AJ153" s="128">
        <v>7470.51</v>
      </c>
    </row>
    <row r="154" spans="1:36" ht="13.5" thickBot="1" x14ac:dyDescent="0.25">
      <c r="A154" s="82">
        <v>2023</v>
      </c>
      <c r="B154" s="83" t="s">
        <v>87</v>
      </c>
      <c r="C154"/>
      <c r="D154" s="128">
        <v>15091992.253819162</v>
      </c>
      <c r="E154" s="128">
        <v>66484.479999999996</v>
      </c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88"/>
      <c r="U154" s="128"/>
      <c r="V154" s="128"/>
      <c r="W154" s="128"/>
      <c r="X154" s="128">
        <v>112</v>
      </c>
      <c r="Y154" s="128"/>
      <c r="Z154" s="128"/>
      <c r="AA154" s="128">
        <v>1</v>
      </c>
      <c r="AB154"/>
      <c r="AC154" s="130">
        <f t="shared" si="2"/>
        <v>1</v>
      </c>
      <c r="AD154"/>
      <c r="AE154" s="128"/>
      <c r="AF154" s="128"/>
      <c r="AG154" s="128"/>
      <c r="AI154" s="128">
        <v>2537480</v>
      </c>
      <c r="AJ154" s="128">
        <v>7234.14</v>
      </c>
    </row>
    <row r="155" spans="1:36" ht="13.5" thickBot="1" x14ac:dyDescent="0.25">
      <c r="A155" s="82">
        <v>2023</v>
      </c>
      <c r="B155" s="83" t="s">
        <v>88</v>
      </c>
      <c r="C155"/>
      <c r="D155" s="128">
        <v>14764998.982675916</v>
      </c>
      <c r="E155" s="128">
        <v>34488.400000000001</v>
      </c>
      <c r="F155" s="128"/>
      <c r="G155" s="128">
        <v>7631</v>
      </c>
      <c r="H155" s="128"/>
      <c r="I155" s="128">
        <v>689</v>
      </c>
      <c r="J155" s="128"/>
      <c r="K155" s="128"/>
      <c r="L155" s="128">
        <v>76</v>
      </c>
      <c r="M155" s="128"/>
      <c r="N155" s="128"/>
      <c r="O155" s="128">
        <v>7</v>
      </c>
      <c r="P155" s="128"/>
      <c r="Q155" s="128"/>
      <c r="R155" s="128">
        <v>2</v>
      </c>
      <c r="S155" s="128"/>
      <c r="T155" s="88"/>
      <c r="U155" s="128"/>
      <c r="V155" s="128"/>
      <c r="W155" s="128"/>
      <c r="X155" s="128">
        <v>112</v>
      </c>
      <c r="Y155" s="128"/>
      <c r="Z155" s="128"/>
      <c r="AA155" s="128">
        <v>1</v>
      </c>
      <c r="AB155"/>
      <c r="AC155" s="130">
        <f t="shared" si="2"/>
        <v>8406</v>
      </c>
      <c r="AD155"/>
      <c r="AE155" s="128"/>
      <c r="AF155" s="128"/>
      <c r="AG155" s="128"/>
      <c r="AI155" s="128">
        <v>2105716.64</v>
      </c>
      <c r="AJ155" s="128">
        <v>6963.38</v>
      </c>
    </row>
    <row r="156" spans="1:36" ht="13.5" thickBot="1" x14ac:dyDescent="0.25">
      <c r="A156" s="82">
        <v>2024</v>
      </c>
      <c r="B156" s="83" t="s">
        <v>78</v>
      </c>
      <c r="C156"/>
      <c r="D156" s="128">
        <v>16534102.110555433</v>
      </c>
      <c r="E156" s="128">
        <v>27221.46</v>
      </c>
      <c r="F156" s="128"/>
      <c r="G156" s="128">
        <v>7654</v>
      </c>
      <c r="H156" s="128"/>
      <c r="I156" s="128">
        <v>695</v>
      </c>
      <c r="J156" s="128"/>
      <c r="K156" s="128"/>
      <c r="L156" s="128">
        <v>77</v>
      </c>
      <c r="M156" s="128"/>
      <c r="N156" s="128"/>
      <c r="O156" s="128">
        <v>7</v>
      </c>
      <c r="P156" s="128"/>
      <c r="Q156" s="128"/>
      <c r="R156" s="128">
        <v>2</v>
      </c>
      <c r="S156" s="128"/>
      <c r="T156" s="88"/>
      <c r="U156" s="128"/>
      <c r="V156" s="128"/>
      <c r="W156" s="128"/>
      <c r="X156" s="128"/>
      <c r="Y156" s="128"/>
      <c r="Z156" s="128"/>
      <c r="AA156" s="128">
        <v>1</v>
      </c>
      <c r="AB156"/>
      <c r="AC156" s="130">
        <f t="shared" ref="AC156:AC161" si="3">G156+I156+L156+O156+R156+AA156</f>
        <v>8436</v>
      </c>
      <c r="AD156"/>
      <c r="AE156" s="128"/>
      <c r="AF156" s="128"/>
      <c r="AG156" s="128"/>
      <c r="AI156" s="128">
        <v>2651169.0700000003</v>
      </c>
      <c r="AJ156" s="128">
        <v>7144.8200000000006</v>
      </c>
    </row>
    <row r="157" spans="1:36" ht="13.5" thickBot="1" x14ac:dyDescent="0.25">
      <c r="A157" s="82">
        <v>2024</v>
      </c>
      <c r="B157" s="83" t="s">
        <v>79</v>
      </c>
      <c r="C157"/>
      <c r="D157" s="128">
        <v>14760437.733178187</v>
      </c>
      <c r="E157" s="128">
        <v>93645.29</v>
      </c>
      <c r="F157" s="128"/>
      <c r="G157" s="128">
        <v>7657</v>
      </c>
      <c r="H157" s="128"/>
      <c r="I157" s="128">
        <v>696</v>
      </c>
      <c r="J157" s="128"/>
      <c r="K157" s="128"/>
      <c r="L157" s="128">
        <v>77</v>
      </c>
      <c r="M157" s="128"/>
      <c r="N157" s="128"/>
      <c r="O157" s="128">
        <v>7</v>
      </c>
      <c r="P157" s="128"/>
      <c r="Q157" s="128"/>
      <c r="R157" s="128">
        <v>2</v>
      </c>
      <c r="S157" s="128"/>
      <c r="T157" s="88"/>
      <c r="U157" s="128"/>
      <c r="V157" s="128"/>
      <c r="W157" s="128"/>
      <c r="X157" s="128"/>
      <c r="Y157" s="128"/>
      <c r="Z157" s="128"/>
      <c r="AA157" s="128">
        <v>1</v>
      </c>
      <c r="AB157"/>
      <c r="AC157" s="130">
        <f t="shared" si="3"/>
        <v>8440</v>
      </c>
      <c r="AD157"/>
      <c r="AE157" s="128"/>
      <c r="AF157" s="128"/>
      <c r="AG157" s="128"/>
      <c r="AI157" s="128">
        <v>2452155.4500000002</v>
      </c>
      <c r="AJ157" s="128">
        <v>6849.6399999999994</v>
      </c>
    </row>
    <row r="158" spans="1:36" ht="13.5" thickBot="1" x14ac:dyDescent="0.25">
      <c r="A158" s="82">
        <v>2024</v>
      </c>
      <c r="B158" s="83" t="s">
        <v>80</v>
      </c>
      <c r="C158"/>
      <c r="D158" s="128">
        <v>15024470.071688553</v>
      </c>
      <c r="E158" s="128">
        <v>129827.51</v>
      </c>
      <c r="F158" s="128"/>
      <c r="G158" s="128">
        <v>7660</v>
      </c>
      <c r="H158" s="128"/>
      <c r="I158" s="128">
        <v>695</v>
      </c>
      <c r="J158" s="128"/>
      <c r="K158" s="128"/>
      <c r="L158" s="128">
        <v>77</v>
      </c>
      <c r="M158" s="128"/>
      <c r="N158" s="128"/>
      <c r="O158" s="128">
        <v>7</v>
      </c>
      <c r="P158" s="128"/>
      <c r="Q158" s="128"/>
      <c r="R158" s="128">
        <v>2</v>
      </c>
      <c r="S158" s="128"/>
      <c r="T158" s="88"/>
      <c r="U158" s="128"/>
      <c r="V158" s="128"/>
      <c r="W158" s="128"/>
      <c r="X158" s="128"/>
      <c r="Y158" s="128"/>
      <c r="Z158" s="128"/>
      <c r="AA158" s="128">
        <v>1</v>
      </c>
      <c r="AB158"/>
      <c r="AC158" s="130">
        <f t="shared" si="3"/>
        <v>8442</v>
      </c>
      <c r="AD158"/>
      <c r="AE158" s="128"/>
      <c r="AF158" s="128"/>
      <c r="AG158" s="128"/>
      <c r="AI158" s="128">
        <v>2515743.84</v>
      </c>
      <c r="AJ158" s="128">
        <v>7152.84</v>
      </c>
    </row>
    <row r="159" spans="1:36" ht="13.5" thickBot="1" x14ac:dyDescent="0.25">
      <c r="A159" s="82">
        <v>2024</v>
      </c>
      <c r="B159" s="83" t="s">
        <v>81</v>
      </c>
      <c r="C159"/>
      <c r="D159" s="128">
        <v>14291771.432481281</v>
      </c>
      <c r="E159" s="128">
        <v>126561.07</v>
      </c>
      <c r="F159" s="128"/>
      <c r="G159" s="128">
        <v>7664</v>
      </c>
      <c r="H159" s="128"/>
      <c r="I159" s="128">
        <v>695</v>
      </c>
      <c r="J159" s="128"/>
      <c r="K159" s="128"/>
      <c r="L159" s="128">
        <v>77</v>
      </c>
      <c r="M159" s="128"/>
      <c r="N159" s="128"/>
      <c r="O159" s="128">
        <v>7</v>
      </c>
      <c r="P159" s="128"/>
      <c r="Q159" s="128"/>
      <c r="R159" s="128">
        <v>2</v>
      </c>
      <c r="S159" s="128"/>
      <c r="T159" s="88"/>
      <c r="U159" s="128"/>
      <c r="V159" s="128"/>
      <c r="W159" s="128"/>
      <c r="X159" s="128"/>
      <c r="Y159" s="128"/>
      <c r="Z159" s="128"/>
      <c r="AA159" s="128">
        <v>1</v>
      </c>
      <c r="AB159"/>
      <c r="AC159" s="130">
        <f t="shared" si="3"/>
        <v>8446</v>
      </c>
      <c r="AD159"/>
      <c r="AE159" s="128"/>
      <c r="AF159" s="128"/>
      <c r="AG159" s="128"/>
      <c r="AI159" s="128">
        <v>2597494.8499999996</v>
      </c>
      <c r="AJ159" s="128">
        <v>7258.0999999999995</v>
      </c>
    </row>
    <row r="160" spans="1:36" ht="13.5" thickBot="1" x14ac:dyDescent="0.25">
      <c r="A160" s="82">
        <v>2024</v>
      </c>
      <c r="B160" s="83" t="s">
        <v>52</v>
      </c>
      <c r="C160"/>
      <c r="D160" s="128">
        <v>15158175.05241408</v>
      </c>
      <c r="E160" s="128">
        <v>184786.31</v>
      </c>
      <c r="F160" s="128"/>
      <c r="G160" s="128">
        <v>7675</v>
      </c>
      <c r="H160" s="128"/>
      <c r="I160" s="128">
        <v>694</v>
      </c>
      <c r="J160" s="128"/>
      <c r="K160" s="128"/>
      <c r="L160" s="128">
        <v>77</v>
      </c>
      <c r="M160" s="128"/>
      <c r="N160" s="128"/>
      <c r="O160" s="128">
        <v>7</v>
      </c>
      <c r="P160" s="128"/>
      <c r="Q160" s="128"/>
      <c r="R160" s="128">
        <v>2</v>
      </c>
      <c r="S160" s="128"/>
      <c r="T160" s="88"/>
      <c r="U160" s="128"/>
      <c r="V160" s="128"/>
      <c r="W160" s="128"/>
      <c r="X160" s="128"/>
      <c r="Y160" s="128"/>
      <c r="Z160" s="128"/>
      <c r="AA160" s="128">
        <v>1</v>
      </c>
      <c r="AB160"/>
      <c r="AC160" s="130">
        <f t="shared" si="3"/>
        <v>8456</v>
      </c>
      <c r="AD160"/>
      <c r="AE160" s="128"/>
      <c r="AF160" s="128"/>
      <c r="AG160" s="128"/>
      <c r="AI160" s="128">
        <v>2572848.3100000005</v>
      </c>
      <c r="AJ160" s="128">
        <v>7106.88</v>
      </c>
    </row>
    <row r="161" spans="1:36" ht="13.5" thickBot="1" x14ac:dyDescent="0.25">
      <c r="A161" s="82">
        <v>2024</v>
      </c>
      <c r="B161" s="83" t="s">
        <v>82</v>
      </c>
      <c r="C161"/>
      <c r="D161" s="128">
        <v>16328490.095426783</v>
      </c>
      <c r="E161" s="128">
        <v>204911.08</v>
      </c>
      <c r="F161" s="128"/>
      <c r="G161" s="128">
        <v>7684</v>
      </c>
      <c r="H161" s="128"/>
      <c r="I161" s="128">
        <v>709</v>
      </c>
      <c r="J161" s="128"/>
      <c r="K161" s="128"/>
      <c r="L161" s="128">
        <v>77</v>
      </c>
      <c r="M161" s="128"/>
      <c r="N161" s="128"/>
      <c r="O161" s="128">
        <v>7</v>
      </c>
      <c r="P161" s="128"/>
      <c r="Q161" s="128"/>
      <c r="R161" s="128">
        <v>2</v>
      </c>
      <c r="S161" s="128"/>
      <c r="T161" s="88"/>
      <c r="U161" s="128"/>
      <c r="V161" s="128"/>
      <c r="W161" s="128"/>
      <c r="X161" s="128"/>
      <c r="Y161" s="128"/>
      <c r="Z161" s="128"/>
      <c r="AA161" s="128">
        <v>1</v>
      </c>
      <c r="AB161"/>
      <c r="AC161" s="130">
        <f t="shared" si="3"/>
        <v>8480</v>
      </c>
      <c r="AD161"/>
      <c r="AE161" s="128"/>
      <c r="AF161" s="128"/>
      <c r="AG161" s="128"/>
      <c r="AI161" s="128">
        <v>2367826.21</v>
      </c>
      <c r="AJ161" s="128">
        <v>7496.4499999999989</v>
      </c>
    </row>
    <row r="162" spans="1:36" ht="14.25" x14ac:dyDescent="0.2">
      <c r="A162" s="65"/>
      <c r="B162" s="65"/>
      <c r="C162" s="65"/>
      <c r="D162" s="65"/>
      <c r="E162" s="91"/>
      <c r="F162" s="92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84"/>
      <c r="V162" s="65"/>
      <c r="W162" s="65"/>
      <c r="X162" s="65"/>
      <c r="Y162" s="65"/>
      <c r="Z162" s="65"/>
      <c r="AA162" s="65"/>
      <c r="AB162" s="65"/>
      <c r="AC162" s="90"/>
      <c r="AD162" s="90"/>
      <c r="AE162" s="91"/>
      <c r="AF162" s="91"/>
      <c r="AG162" s="91"/>
    </row>
    <row r="163" spans="1:36" ht="14.25" x14ac:dyDescent="0.2">
      <c r="A163" s="65"/>
      <c r="B163" s="65"/>
      <c r="C163" s="65"/>
      <c r="D163" s="65"/>
      <c r="E163" s="91"/>
      <c r="F163" s="92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84"/>
      <c r="V163" s="65"/>
      <c r="W163" s="65"/>
      <c r="X163" s="65"/>
      <c r="Y163" s="65"/>
      <c r="Z163" s="65"/>
      <c r="AA163" s="65"/>
      <c r="AB163" s="65"/>
      <c r="AC163" s="90"/>
      <c r="AD163" s="90"/>
      <c r="AE163" s="91"/>
      <c r="AF163" s="91"/>
      <c r="AG163" s="91"/>
    </row>
    <row r="164" spans="1:36" x14ac:dyDescent="0.2">
      <c r="A164" s="84"/>
      <c r="B164" s="84"/>
      <c r="C164" s="84"/>
      <c r="D164" s="129">
        <f t="shared" ref="D164:AA164" si="4">SUM(D24:D143)</f>
        <v>1880813669.1575117</v>
      </c>
      <c r="E164" s="129">
        <f t="shared" si="4"/>
        <v>15063930.180000002</v>
      </c>
      <c r="F164" s="129">
        <f t="shared" si="4"/>
        <v>524811639</v>
      </c>
      <c r="G164" s="129">
        <f t="shared" si="4"/>
        <v>787689</v>
      </c>
      <c r="H164" s="129">
        <f t="shared" si="4"/>
        <v>215537732.31999996</v>
      </c>
      <c r="I164" s="129">
        <f t="shared" si="4"/>
        <v>77935</v>
      </c>
      <c r="J164" s="129">
        <f t="shared" si="4"/>
        <v>447908589.19000012</v>
      </c>
      <c r="K164" s="129">
        <f t="shared" si="4"/>
        <v>1381187.3099999996</v>
      </c>
      <c r="L164" s="129">
        <f t="shared" si="4"/>
        <v>9452</v>
      </c>
      <c r="M164" s="129">
        <f t="shared" si="4"/>
        <v>344048722.3499999</v>
      </c>
      <c r="N164" s="129">
        <f t="shared" si="4"/>
        <v>946679.82999999984</v>
      </c>
      <c r="O164" s="129">
        <f t="shared" si="4"/>
        <v>1158</v>
      </c>
      <c r="P164" s="129">
        <f t="shared" si="4"/>
        <v>288005696.88999999</v>
      </c>
      <c r="Q164" s="129">
        <f t="shared" si="4"/>
        <v>627041.36000000022</v>
      </c>
      <c r="R164" s="129">
        <f t="shared" si="4"/>
        <v>248</v>
      </c>
      <c r="S164" s="129">
        <f t="shared" si="4"/>
        <v>3622555.8400000012</v>
      </c>
      <c r="T164" s="129">
        <f t="shared" si="4"/>
        <v>0</v>
      </c>
      <c r="U164" s="129">
        <f t="shared" si="4"/>
        <v>6993</v>
      </c>
      <c r="V164" s="129">
        <f t="shared" si="4"/>
        <v>923773.1800000004</v>
      </c>
      <c r="W164" s="129">
        <f t="shared" si="4"/>
        <v>2520.5699999999997</v>
      </c>
      <c r="X164" s="129">
        <f>SUM(X24:X144)</f>
        <v>14139</v>
      </c>
      <c r="Y164" s="129">
        <f t="shared" si="4"/>
        <v>10532818.859999994</v>
      </c>
      <c r="Z164" s="129">
        <f t="shared" si="4"/>
        <v>28428.109999999997</v>
      </c>
      <c r="AA164" s="129">
        <f t="shared" si="4"/>
        <v>120</v>
      </c>
      <c r="AB164" s="140"/>
      <c r="AC164" s="129">
        <f>SUM(AC24:AC143)</f>
        <v>876602</v>
      </c>
      <c r="AD164" s="65"/>
      <c r="AE164" s="129">
        <f>SUM(AE24:AE143)</f>
        <v>0</v>
      </c>
      <c r="AF164" s="129">
        <f>SUM(AF24:AF143)</f>
        <v>0</v>
      </c>
      <c r="AG164" s="129">
        <f>SUM(AG24:AG143)</f>
        <v>0</v>
      </c>
    </row>
    <row r="165" spans="1:36" x14ac:dyDescent="0.2">
      <c r="A165" s="65"/>
      <c r="B165" s="65"/>
      <c r="C165" s="65"/>
      <c r="D165" s="129">
        <v>1880813669.1575117</v>
      </c>
      <c r="E165" s="129">
        <v>15063930.180000002</v>
      </c>
      <c r="F165" s="129">
        <v>524811639</v>
      </c>
      <c r="G165" s="129">
        <v>787689</v>
      </c>
      <c r="H165" s="129">
        <v>215537732.31999996</v>
      </c>
      <c r="I165" s="129">
        <v>77935</v>
      </c>
      <c r="J165" s="129">
        <v>447908589.19000012</v>
      </c>
      <c r="K165" s="129">
        <v>1381187.3099999996</v>
      </c>
      <c r="L165" s="129">
        <v>9452</v>
      </c>
      <c r="M165" s="129">
        <v>344048722.3499999</v>
      </c>
      <c r="N165" s="129">
        <v>946679.82999999984</v>
      </c>
      <c r="O165" s="129">
        <v>1158</v>
      </c>
      <c r="P165" s="129">
        <v>288005696.88999999</v>
      </c>
      <c r="Q165" s="129">
        <v>627041.36000000022</v>
      </c>
      <c r="R165" s="129">
        <v>248</v>
      </c>
      <c r="S165" s="129">
        <v>3622555.8400000012</v>
      </c>
      <c r="T165" s="129">
        <v>0</v>
      </c>
      <c r="U165" s="129">
        <v>6993</v>
      </c>
      <c r="V165" s="129">
        <v>923773.1800000004</v>
      </c>
      <c r="W165" s="129">
        <v>2520.5699999999997</v>
      </c>
      <c r="X165" s="129">
        <v>14027</v>
      </c>
      <c r="Y165" s="129">
        <v>10532818.859999994</v>
      </c>
      <c r="Z165" s="129">
        <v>28428.109999999997</v>
      </c>
      <c r="AA165" s="129">
        <v>120</v>
      </c>
      <c r="AB165" s="65"/>
      <c r="AC165" s="129">
        <f>SUM('Power Purchased Model'!L3:L86)</f>
        <v>629506</v>
      </c>
      <c r="AD165" s="65"/>
      <c r="AE165" s="129"/>
      <c r="AF165" s="129"/>
      <c r="AG165" s="129"/>
    </row>
    <row r="166" spans="1:36" x14ac:dyDescent="0.2">
      <c r="A166" s="65"/>
      <c r="B166" s="65"/>
      <c r="C166" s="65"/>
      <c r="D166" s="129">
        <f>D164-D165</f>
        <v>0</v>
      </c>
      <c r="E166" s="129">
        <f t="shared" ref="E166:F166" si="5">E164-E165</f>
        <v>0</v>
      </c>
      <c r="F166" s="129">
        <f t="shared" si="5"/>
        <v>0</v>
      </c>
      <c r="G166" s="129">
        <f t="shared" ref="G166" si="6">G164-G165</f>
        <v>0</v>
      </c>
      <c r="H166" s="129">
        <f t="shared" ref="H166" si="7">H164-H165</f>
        <v>0</v>
      </c>
      <c r="I166" s="129">
        <f t="shared" ref="I166" si="8">I164-I165</f>
        <v>0</v>
      </c>
      <c r="J166" s="129">
        <f t="shared" ref="J166" si="9">J164-J165</f>
        <v>0</v>
      </c>
      <c r="K166" s="129">
        <f t="shared" ref="K166" si="10">K164-K165</f>
        <v>0</v>
      </c>
      <c r="L166" s="129">
        <f t="shared" ref="L166" si="11">L164-L165</f>
        <v>0</v>
      </c>
      <c r="M166" s="129">
        <f t="shared" ref="M166" si="12">M164-M165</f>
        <v>0</v>
      </c>
      <c r="N166" s="129">
        <f t="shared" ref="N166" si="13">N164-N165</f>
        <v>0</v>
      </c>
      <c r="O166" s="129">
        <f t="shared" ref="O166" si="14">O164-O165</f>
        <v>0</v>
      </c>
      <c r="P166" s="129">
        <f t="shared" ref="P166" si="15">P164-P165</f>
        <v>0</v>
      </c>
      <c r="Q166" s="129">
        <f t="shared" ref="Q166" si="16">Q164-Q165</f>
        <v>0</v>
      </c>
      <c r="R166" s="129">
        <f t="shared" ref="R166" si="17">R164-R165</f>
        <v>0</v>
      </c>
      <c r="S166" s="129">
        <f t="shared" ref="S166" si="18">S164-S165</f>
        <v>0</v>
      </c>
      <c r="T166" s="129">
        <f t="shared" ref="T166" si="19">T164-T165</f>
        <v>0</v>
      </c>
      <c r="U166" s="129">
        <f t="shared" ref="U166" si="20">U164-U165</f>
        <v>0</v>
      </c>
      <c r="V166" s="129">
        <f t="shared" ref="V166" si="21">V164-V165</f>
        <v>0</v>
      </c>
      <c r="W166" s="129">
        <f t="shared" ref="W166" si="22">W164-W165</f>
        <v>0</v>
      </c>
      <c r="X166" s="129">
        <f t="shared" ref="X166" si="23">X164-X165</f>
        <v>112</v>
      </c>
      <c r="Y166" s="129">
        <f t="shared" ref="Y166" si="24">Y164-Y165</f>
        <v>0</v>
      </c>
      <c r="Z166" s="129">
        <f t="shared" ref="Z166" si="25">Z164-Z165</f>
        <v>0</v>
      </c>
      <c r="AA166" s="129">
        <f t="shared" ref="AA166:AC166" si="26">AA164-AA165</f>
        <v>0</v>
      </c>
      <c r="AB166" s="65"/>
      <c r="AC166" s="129">
        <f t="shared" si="26"/>
        <v>247096</v>
      </c>
      <c r="AD166" s="65"/>
      <c r="AE166" s="129"/>
      <c r="AF166" s="129"/>
      <c r="AG166" s="129"/>
    </row>
    <row r="167" spans="1:36" x14ac:dyDescent="0.2">
      <c r="A167" s="65"/>
      <c r="B167" s="65"/>
      <c r="C167" s="65"/>
      <c r="D167" s="65"/>
      <c r="E167" s="84"/>
      <c r="F167" s="89"/>
      <c r="G167" s="84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spans="1:36" x14ac:dyDescent="0.2">
      <c r="F168" s="129">
        <f>SUM(F60:F143)</f>
        <v>376727338.50000006</v>
      </c>
      <c r="H168" s="129">
        <f>SUM(H60:H143)</f>
        <v>150080146.77000007</v>
      </c>
      <c r="J168" s="129">
        <f>SUM(J60:J143)</f>
        <v>317001314.19</v>
      </c>
      <c r="K168" s="129">
        <f>SUM(K60:K143)</f>
        <v>988399.51000000036</v>
      </c>
      <c r="M168" s="129">
        <f>SUM(M60:M143)</f>
        <v>221818638.10999998</v>
      </c>
      <c r="N168" s="129">
        <f>SUM(N60:N143)</f>
        <v>647311.80999999994</v>
      </c>
      <c r="P168" s="129">
        <f>SUM(P60:P143)</f>
        <v>178590010.00999993</v>
      </c>
      <c r="Q168" s="129">
        <f>SUM(Q60:Q143)</f>
        <v>420039.43</v>
      </c>
      <c r="S168" s="129">
        <f>SUM(S60:S143)</f>
        <v>2455659.3399999994</v>
      </c>
      <c r="V168" s="129">
        <f>SUM(V60:V143)</f>
        <v>596034.48000000021</v>
      </c>
      <c r="W168" s="129">
        <f>SUM(W60:W143)</f>
        <v>1623.5899999999992</v>
      </c>
      <c r="Y168" s="129">
        <f>SUM(Y60:Y143)</f>
        <v>6267848.9300000016</v>
      </c>
      <c r="Z168" s="129">
        <f>SUM(Z60:Z143)</f>
        <v>16934.389999999989</v>
      </c>
      <c r="AE168" s="129"/>
      <c r="AF168" s="129"/>
    </row>
    <row r="169" spans="1:36" x14ac:dyDescent="0.2">
      <c r="F169" s="141">
        <f>SUM('Rate Class Energy Model'!H3:H9)</f>
        <v>376727338.5</v>
      </c>
      <c r="H169" s="141">
        <f>SUM('Rate Class Energy Model'!I3:I9)</f>
        <v>150080146.77000004</v>
      </c>
      <c r="J169" s="141">
        <f>SUM('Rate Class Energy Model'!J3:J9)</f>
        <v>317001314.19</v>
      </c>
      <c r="K169" s="129">
        <f>SUM('Rate Class Load Model'!B2:B8)</f>
        <v>988399.51</v>
      </c>
      <c r="M169" s="141">
        <f>SUM('Rate Class Energy Model'!K3:K9)</f>
        <v>221818638.10999998</v>
      </c>
      <c r="N169" s="129">
        <f>SUM('Rate Class Load Model'!C2:C8)</f>
        <v>647311.81000000017</v>
      </c>
      <c r="P169" s="141">
        <f>SUM('Rate Class Energy Model'!L3:L9)</f>
        <v>178590010.01000002</v>
      </c>
      <c r="Q169" s="129">
        <f>SUM('Rate Class Load Model'!D2:D8)</f>
        <v>420039.43</v>
      </c>
      <c r="S169" s="141">
        <f>SUM('Rate Class Energy Model'!M3:M9)</f>
        <v>2455659.34</v>
      </c>
      <c r="V169" s="141">
        <f>SUM('Rate Class Energy Model'!N3:N9)</f>
        <v>596034.48</v>
      </c>
      <c r="W169" s="129">
        <f>SUM('Rate Class Load Model'!E2:E8)</f>
        <v>1623.5899999999997</v>
      </c>
      <c r="Y169" s="141">
        <f>SUM('Rate Class Energy Model'!O3:O9)</f>
        <v>6267848.9299999997</v>
      </c>
      <c r="Z169" s="129">
        <f>SUM('Rate Class Load Model'!F2:F8)</f>
        <v>16934.39</v>
      </c>
      <c r="AE169" s="141"/>
      <c r="AF169" s="129"/>
    </row>
    <row r="170" spans="1:36" x14ac:dyDescent="0.2">
      <c r="F170" s="141">
        <f>F168-F169</f>
        <v>0</v>
      </c>
      <c r="H170" s="141">
        <f>H168-H169</f>
        <v>0</v>
      </c>
      <c r="J170" s="141">
        <f>J168-J169</f>
        <v>0</v>
      </c>
      <c r="K170" s="141">
        <f>K168-K169</f>
        <v>0</v>
      </c>
      <c r="M170" s="141">
        <f>M168-M169</f>
        <v>0</v>
      </c>
      <c r="N170" s="141">
        <f>N168-N169</f>
        <v>0</v>
      </c>
      <c r="P170" s="141">
        <f>P168-P169</f>
        <v>0</v>
      </c>
      <c r="Q170" s="141">
        <f>Q168-Q169</f>
        <v>0</v>
      </c>
      <c r="S170" s="141">
        <f>S168-S169</f>
        <v>0</v>
      </c>
      <c r="V170" s="141">
        <f>V168-V169</f>
        <v>0</v>
      </c>
      <c r="W170" s="141">
        <f>W168-W169</f>
        <v>0</v>
      </c>
      <c r="Y170" s="141">
        <f>Y168-Y169</f>
        <v>0</v>
      </c>
      <c r="Z170" s="141">
        <f>Z168-Z169</f>
        <v>0</v>
      </c>
      <c r="AE170" s="141"/>
      <c r="AF170" s="141"/>
    </row>
    <row r="173" spans="1:36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36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36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36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</sheetData>
  <mergeCells count="14">
    <mergeCell ref="AI21:AJ21"/>
    <mergeCell ref="AE21:AG21"/>
    <mergeCell ref="A3:I3"/>
    <mergeCell ref="F20:AA20"/>
    <mergeCell ref="A20:B20"/>
    <mergeCell ref="D20:E20"/>
    <mergeCell ref="Y21:AA21"/>
    <mergeCell ref="F21:G21"/>
    <mergeCell ref="H21:I21"/>
    <mergeCell ref="P21:R21"/>
    <mergeCell ref="S21:U21"/>
    <mergeCell ref="V21:X21"/>
    <mergeCell ref="M21:O21"/>
    <mergeCell ref="J21:L21"/>
  </mergeCells>
  <phoneticPr fontId="14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M70"/>
  <sheetViews>
    <sheetView tabSelected="1"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H37" sqref="H37"/>
    </sheetView>
  </sheetViews>
  <sheetFormatPr defaultRowHeight="12.75" x14ac:dyDescent="0.2"/>
  <cols>
    <col min="1" max="1" width="42.5703125" customWidth="1"/>
    <col min="2" max="5" width="12.5703125" bestFit="1" customWidth="1"/>
    <col min="6" max="8" width="12.5703125" customWidth="1"/>
    <col min="9" max="10" width="12.5703125" bestFit="1" customWidth="1"/>
    <col min="12" max="12" width="12.5703125" customWidth="1"/>
    <col min="13" max="13" width="12.5703125" bestFit="1" customWidth="1"/>
  </cols>
  <sheetData>
    <row r="1" spans="1:11" ht="15.75" x14ac:dyDescent="0.25">
      <c r="A1" s="29" t="s">
        <v>141</v>
      </c>
    </row>
    <row r="2" spans="1:11" x14ac:dyDescent="0.2">
      <c r="I2" s="31" t="s">
        <v>67</v>
      </c>
      <c r="J2" s="31" t="s">
        <v>68</v>
      </c>
    </row>
    <row r="3" spans="1:11" ht="25.5" x14ac:dyDescent="0.2">
      <c r="B3" s="31" t="s">
        <v>55</v>
      </c>
      <c r="C3" s="31" t="s">
        <v>56</v>
      </c>
      <c r="D3" s="31" t="s">
        <v>58</v>
      </c>
      <c r="E3" s="31" t="s">
        <v>59</v>
      </c>
      <c r="F3" s="31" t="s">
        <v>64</v>
      </c>
      <c r="G3" s="31" t="s">
        <v>65</v>
      </c>
      <c r="H3" s="31" t="s">
        <v>66</v>
      </c>
      <c r="I3" s="31" t="s">
        <v>149</v>
      </c>
      <c r="J3" s="31" t="s">
        <v>106</v>
      </c>
    </row>
    <row r="4" spans="1:11" x14ac:dyDescent="0.2">
      <c r="A4" s="14" t="s">
        <v>47</v>
      </c>
      <c r="B4" s="21">
        <f>+'Power Purchased Model'!B116</f>
        <v>199907738.60000002</v>
      </c>
      <c r="C4" s="21">
        <f>+'Power Purchased Model'!B117</f>
        <v>187853870.12</v>
      </c>
      <c r="D4" s="21">
        <f>+'Power Purchased Model'!B118</f>
        <v>188394772.28</v>
      </c>
      <c r="E4" s="21">
        <f>+'Power Purchased Model'!B119</f>
        <v>175614761.14000005</v>
      </c>
      <c r="F4" s="21">
        <f>+'Power Purchased Model'!B120</f>
        <v>171542621.55000001</v>
      </c>
      <c r="G4" s="21">
        <f>+'Power Purchased Model'!B121</f>
        <v>176270206.56999999</v>
      </c>
      <c r="H4" s="21">
        <f>+'Power Purchased Model'!B122</f>
        <v>183346093.11000001</v>
      </c>
      <c r="I4" s="36">
        <f>'Power Purchased Model'!D123</f>
        <v>184342290.19570395</v>
      </c>
    </row>
    <row r="5" spans="1:11" x14ac:dyDescent="0.2">
      <c r="A5" s="14" t="s">
        <v>48</v>
      </c>
      <c r="B5" s="21">
        <f>+'Power Purchased Model'!Q116</f>
        <v>199106105.58659732</v>
      </c>
      <c r="C5" s="21">
        <f>+'Power Purchased Model'!Q117</f>
        <v>190717892.72147784</v>
      </c>
      <c r="D5" s="21">
        <f>+'Power Purchased Model'!Q118</f>
        <v>189665090.34029546</v>
      </c>
      <c r="E5" s="21">
        <f>+'Power Purchased Model'!Q119</f>
        <v>179737436.55099034</v>
      </c>
      <c r="F5" s="21">
        <f>+'Power Purchased Model'!Q120</f>
        <v>173000313.59235924</v>
      </c>
      <c r="G5" s="21">
        <f>+'Power Purchased Model'!Q121</f>
        <v>180464363.9729085</v>
      </c>
      <c r="H5" s="21">
        <f>+'Power Purchased Model'!Q122</f>
        <v>183367807.66229105</v>
      </c>
      <c r="I5" s="21">
        <f>+'Power Purchased Model'!Q123</f>
        <v>183957000.13911551</v>
      </c>
      <c r="J5" s="21">
        <f>+'Power Purchased Model'!Q124</f>
        <v>188980580.50970057</v>
      </c>
    </row>
    <row r="6" spans="1:11" x14ac:dyDescent="0.2">
      <c r="A6" s="14" t="s">
        <v>6</v>
      </c>
      <c r="B6" s="30">
        <f t="shared" ref="B6:D6" si="0">(B5-B4)/B4</f>
        <v>-4.0100149149638791E-3</v>
      </c>
      <c r="C6" s="30">
        <f t="shared" si="0"/>
        <v>1.5246013295591462E-2</v>
      </c>
      <c r="D6" s="30">
        <f t="shared" si="0"/>
        <v>6.742851964105798E-3</v>
      </c>
      <c r="E6" s="30">
        <f>(E5-E4)/E4</f>
        <v>2.3475677011590739E-2</v>
      </c>
      <c r="F6" s="30">
        <f>(F5-F4)/F4</f>
        <v>8.4975502250579475E-3</v>
      </c>
      <c r="G6" s="30">
        <f t="shared" ref="G6:I6" si="1">(G5-G4)/G4</f>
        <v>2.37939098417232E-2</v>
      </c>
      <c r="H6" s="30">
        <f t="shared" si="1"/>
        <v>1.1843476958087034E-4</v>
      </c>
      <c r="I6" s="30">
        <f t="shared" si="1"/>
        <v>-2.0900795806507791E-3</v>
      </c>
    </row>
    <row r="7" spans="1:11" x14ac:dyDescent="0.2">
      <c r="A7" s="14"/>
      <c r="B7" s="30"/>
      <c r="C7" s="30"/>
      <c r="D7" s="30"/>
      <c r="E7" s="30"/>
      <c r="F7" s="30"/>
      <c r="G7" s="30"/>
      <c r="H7" s="30"/>
      <c r="I7" s="21"/>
      <c r="J7" s="21"/>
    </row>
    <row r="8" spans="1:11" x14ac:dyDescent="0.2">
      <c r="A8" s="14"/>
      <c r="B8" s="30"/>
      <c r="C8" s="30"/>
      <c r="D8" s="30"/>
      <c r="E8" s="30"/>
      <c r="F8" s="30"/>
      <c r="G8" s="30"/>
      <c r="H8" s="30"/>
      <c r="I8" s="36"/>
      <c r="J8" s="36"/>
    </row>
    <row r="9" spans="1:11" x14ac:dyDescent="0.2">
      <c r="A9" s="14"/>
      <c r="B9" s="30"/>
      <c r="C9" s="30"/>
      <c r="D9" s="30"/>
      <c r="E9" s="30"/>
      <c r="F9" s="30"/>
      <c r="G9" s="30"/>
      <c r="H9" s="30"/>
    </row>
    <row r="10" spans="1:11" x14ac:dyDescent="0.2">
      <c r="A10" s="14" t="s">
        <v>60</v>
      </c>
      <c r="B10" s="6">
        <f>'Rate Class Energy Model'!G3</f>
        <v>195938264.66</v>
      </c>
      <c r="C10" s="6">
        <f>'Rate Class Energy Model'!G4</f>
        <v>183826118.34999996</v>
      </c>
      <c r="D10" s="6">
        <f>'Rate Class Energy Model'!G5</f>
        <v>183750499.39999995</v>
      </c>
      <c r="E10" s="6">
        <f>'Rate Class Energy Model'!G6</f>
        <v>171687024.79999998</v>
      </c>
      <c r="F10" s="6">
        <f>'Rate Class Energy Model'!G7</f>
        <v>167477565.66000003</v>
      </c>
      <c r="G10" s="6">
        <f>'Rate Class Energy Model'!G8</f>
        <v>172196903.11000004</v>
      </c>
      <c r="H10" s="6">
        <f>'Rate Class Energy Model'!G9</f>
        <v>178660614.34999996</v>
      </c>
      <c r="I10" s="6">
        <f>'Rate Class Energy Model'!G10</f>
        <v>179892895.17287871</v>
      </c>
      <c r="J10" s="6">
        <f>'Rate Class Energy Model'!G11</f>
        <v>183069860.09342986</v>
      </c>
    </row>
    <row r="11" spans="1:11" x14ac:dyDescent="0.2">
      <c r="A11" s="14"/>
      <c r="I11" s="6"/>
      <c r="J11" s="6"/>
    </row>
    <row r="12" spans="1:11" ht="15.75" x14ac:dyDescent="0.25">
      <c r="A12" s="29" t="s">
        <v>49</v>
      </c>
      <c r="B12" s="1"/>
      <c r="E12" s="36"/>
    </row>
    <row r="13" spans="1:11" x14ac:dyDescent="0.2">
      <c r="A13" s="28" t="str">
        <f>'Rate Class Energy Model'!H2</f>
        <v>Residential</v>
      </c>
      <c r="B13" s="1"/>
      <c r="E13" s="6"/>
      <c r="F13" s="6"/>
      <c r="G13" s="6"/>
      <c r="H13" s="6"/>
      <c r="I13" s="6"/>
      <c r="J13" s="6"/>
    </row>
    <row r="14" spans="1:11" x14ac:dyDescent="0.2">
      <c r="A14" t="s">
        <v>41</v>
      </c>
      <c r="B14" s="6">
        <f>'Rate Class Customer Model'!B11</f>
        <v>6293.916666666667</v>
      </c>
      <c r="C14" s="6">
        <f>'Rate Class Customer Model'!B12</f>
        <v>6408.583333333333</v>
      </c>
      <c r="D14" s="6">
        <f>'Rate Class Customer Model'!B13</f>
        <v>6516.333333333333</v>
      </c>
      <c r="E14" s="6">
        <f>'Rate Class Customer Model'!B14</f>
        <v>6652</v>
      </c>
      <c r="F14" s="6">
        <f>'Rate Class Customer Model'!B15</f>
        <v>6823.416666666667</v>
      </c>
      <c r="G14" s="6">
        <f>'Rate Class Customer Model'!B16</f>
        <v>7107.416666666667</v>
      </c>
      <c r="H14" s="6">
        <f>'Rate Class Customer Model'!B17</f>
        <v>7417.333333333333</v>
      </c>
      <c r="I14" s="6">
        <f>'Rate Class Customer Model'!B18</f>
        <v>7589</v>
      </c>
      <c r="J14" s="6">
        <f>'Rate Class Customer Model'!B19</f>
        <v>7690.3840670080453</v>
      </c>
      <c r="K14" s="36"/>
    </row>
    <row r="15" spans="1:11" x14ac:dyDescent="0.2">
      <c r="A15" t="s">
        <v>42</v>
      </c>
      <c r="B15" s="35">
        <f>'Rate Class Energy Model'!H3</f>
        <v>50305889.600000009</v>
      </c>
      <c r="C15" s="6">
        <f>'Rate Class Energy Model'!H4</f>
        <v>48524267.109999999</v>
      </c>
      <c r="D15" s="6">
        <f>'Rate Class Energy Model'!H5</f>
        <v>52869436.35999997</v>
      </c>
      <c r="E15" s="6">
        <f>'Rate Class Energy Model'!H6</f>
        <v>51949016.819999948</v>
      </c>
      <c r="F15" s="6">
        <f>'Rate Class Energy Model'!H7</f>
        <v>55641421.240000024</v>
      </c>
      <c r="G15" s="6">
        <f>'Rate Class Energy Model'!H8</f>
        <v>57807950.240000054</v>
      </c>
      <c r="H15" s="6">
        <f>'Rate Class Energy Model'!H9</f>
        <v>59629357.129999965</v>
      </c>
      <c r="I15" s="6">
        <f>'Rate Class Energy Model'!H10</f>
        <v>59873386</v>
      </c>
      <c r="J15" s="6">
        <f>'Rate Class Energy Model'!H26</f>
        <v>60942975.571376532</v>
      </c>
      <c r="K15" s="36"/>
    </row>
    <row r="16" spans="1:11" x14ac:dyDescent="0.2">
      <c r="C16" s="36"/>
      <c r="D16" s="36"/>
      <c r="F16" s="36"/>
      <c r="G16" s="36"/>
      <c r="H16" s="36"/>
      <c r="I16" s="36"/>
      <c r="J16" s="36"/>
      <c r="K16" s="36"/>
    </row>
    <row r="17" spans="1:11" x14ac:dyDescent="0.2">
      <c r="A17" s="28" t="str">
        <f>'Rate Class Energy Model'!I2</f>
        <v>General Service &lt; 50 kW</v>
      </c>
      <c r="B17" s="1"/>
      <c r="C17" s="1"/>
      <c r="D17" s="6"/>
      <c r="E17" s="6"/>
      <c r="F17" s="6"/>
      <c r="G17" s="6"/>
      <c r="H17" s="6"/>
      <c r="I17" s="6"/>
      <c r="J17" s="6"/>
      <c r="K17" s="36"/>
    </row>
    <row r="18" spans="1:11" ht="13.5" customHeight="1" x14ac:dyDescent="0.2">
      <c r="A18" t="s">
        <v>41</v>
      </c>
      <c r="B18" s="6">
        <f>'Rate Class Customer Model'!C11</f>
        <v>637.25</v>
      </c>
      <c r="C18" s="6">
        <f>'Rate Class Customer Model'!C12</f>
        <v>642.08333333333337</v>
      </c>
      <c r="D18" s="6">
        <f>'Rate Class Customer Model'!C13</f>
        <v>648</v>
      </c>
      <c r="E18" s="6">
        <f>'Rate Class Customer Model'!C14</f>
        <v>654.83333333333337</v>
      </c>
      <c r="F18" s="6">
        <f>'Rate Class Customer Model'!C15</f>
        <v>664.91666666666663</v>
      </c>
      <c r="G18" s="6">
        <f>'Rate Class Customer Model'!C16</f>
        <v>672.33333333333337</v>
      </c>
      <c r="H18" s="6">
        <f>'Rate Class Customer Model'!C17</f>
        <v>682.25</v>
      </c>
      <c r="I18" s="6">
        <f>'Rate Class Customer Model'!C18</f>
        <v>686</v>
      </c>
      <c r="J18" s="6">
        <f>'Rate Class Customer Model'!C19</f>
        <v>709.14547207466467</v>
      </c>
      <c r="K18" s="36"/>
    </row>
    <row r="19" spans="1:11" x14ac:dyDescent="0.2">
      <c r="A19" t="s">
        <v>42</v>
      </c>
      <c r="B19" s="6">
        <f>'Rate Class Energy Model'!I3</f>
        <v>21381406.040000003</v>
      </c>
      <c r="C19" s="6">
        <f>'Rate Class Energy Model'!I4</f>
        <v>20751634.890000001</v>
      </c>
      <c r="D19" s="6">
        <f>'Rate Class Energy Model'!I5</f>
        <v>21318676.38000001</v>
      </c>
      <c r="E19" s="6">
        <f>'Rate Class Energy Model'!I6</f>
        <v>21167457.630000006</v>
      </c>
      <c r="F19" s="6">
        <f>'Rate Class Energy Model'!I7</f>
        <v>21397530.899999999</v>
      </c>
      <c r="G19" s="6">
        <f>'Rate Class Energy Model'!I8</f>
        <v>21062931.550000001</v>
      </c>
      <c r="H19" s="6">
        <f>'Rate Class Energy Model'!I9</f>
        <v>23000509.379999999</v>
      </c>
      <c r="I19" s="6">
        <f>'Rate Class Energy Model'!I10</f>
        <v>23287931</v>
      </c>
      <c r="J19" s="6">
        <f>'Rate Class Energy Model'!I26</f>
        <v>24180678.520711929</v>
      </c>
      <c r="K19" s="36"/>
    </row>
    <row r="20" spans="1:11" x14ac:dyDescent="0.2">
      <c r="D20" s="36"/>
      <c r="F20" s="36"/>
      <c r="G20" s="36"/>
      <c r="H20" s="36"/>
      <c r="I20" s="36"/>
      <c r="J20" s="36"/>
      <c r="K20" s="36"/>
    </row>
    <row r="21" spans="1:11" x14ac:dyDescent="0.2">
      <c r="A21" s="28" t="str">
        <f>'Rate Class Energy Model'!J2</f>
        <v>General Service 50 to 499 kW</v>
      </c>
      <c r="B21" s="1"/>
      <c r="C21" s="1"/>
      <c r="K21" s="36"/>
    </row>
    <row r="22" spans="1:11" x14ac:dyDescent="0.2">
      <c r="A22" t="s">
        <v>41</v>
      </c>
      <c r="B22" s="6">
        <f>'Rate Class Customer Model'!D11</f>
        <v>79.916666666666671</v>
      </c>
      <c r="C22" s="6">
        <f>'Rate Class Customer Model'!D12</f>
        <v>80.083333333333329</v>
      </c>
      <c r="D22" s="6">
        <f>'Rate Class Customer Model'!D13</f>
        <v>79.75</v>
      </c>
      <c r="E22" s="6">
        <f>'Rate Class Customer Model'!D14</f>
        <v>78.083333333333329</v>
      </c>
      <c r="F22" s="6">
        <f>'Rate Class Customer Model'!D15</f>
        <v>81</v>
      </c>
      <c r="G22" s="6">
        <f>'Rate Class Customer Model'!D16</f>
        <v>77.333333333333329</v>
      </c>
      <c r="H22" s="6">
        <f>'Rate Class Customer Model'!D17</f>
        <v>74.166666666666671</v>
      </c>
      <c r="I22" s="6">
        <f>'Rate Class Customer Model'!D18</f>
        <v>76</v>
      </c>
      <c r="J22" s="6">
        <f>'Rate Class Customer Model'!D19</f>
        <v>77.294967879557973</v>
      </c>
      <c r="K22" s="36"/>
    </row>
    <row r="23" spans="1:11" x14ac:dyDescent="0.2">
      <c r="A23" t="s">
        <v>42</v>
      </c>
      <c r="B23" s="6">
        <f>'Rate Class Energy Model'!J3</f>
        <v>44669118.74000001</v>
      </c>
      <c r="C23" s="6">
        <f>'Rate Class Energy Model'!J4</f>
        <v>42593613.240000002</v>
      </c>
      <c r="D23" s="6">
        <f>'Rate Class Energy Model'!J5</f>
        <v>42394829.209999993</v>
      </c>
      <c r="E23" s="6">
        <f>'Rate Class Energy Model'!J6</f>
        <v>42725411.180000007</v>
      </c>
      <c r="F23" s="6">
        <f>'Rate Class Energy Model'!J7</f>
        <v>43788589.379999995</v>
      </c>
      <c r="G23" s="6">
        <f>'Rate Class Energy Model'!J8</f>
        <v>46750239.970000006</v>
      </c>
      <c r="H23" s="6">
        <f>'Rate Class Energy Model'!J9</f>
        <v>54079512.469999991</v>
      </c>
      <c r="I23" s="6">
        <f>'Rate Class Energy Model'!J10</f>
        <v>57192547</v>
      </c>
      <c r="J23" s="6">
        <f>'Rate Class Energy Model'!J26</f>
        <v>58349939.107185498</v>
      </c>
      <c r="K23" s="36"/>
    </row>
    <row r="24" spans="1:11" x14ac:dyDescent="0.2">
      <c r="A24" t="s">
        <v>43</v>
      </c>
      <c r="B24" s="6">
        <f>'Rate Class Load Model'!B2</f>
        <v>143222.89000000001</v>
      </c>
      <c r="C24" s="6">
        <f>'Rate Class Load Model'!B3</f>
        <v>137627.43000000002</v>
      </c>
      <c r="D24" s="6">
        <f>'Rate Class Load Model'!B4</f>
        <v>131465.72999999998</v>
      </c>
      <c r="E24" s="6">
        <f>'Rate Class Load Model'!B5</f>
        <v>131386.22</v>
      </c>
      <c r="F24" s="6">
        <f>'Rate Class Load Model'!B6</f>
        <v>137702.44</v>
      </c>
      <c r="G24" s="6">
        <f>'Rate Class Load Model'!B7</f>
        <v>146508.41</v>
      </c>
      <c r="H24" s="6">
        <f>'Rate Class Load Model'!B8</f>
        <v>160486.38999999998</v>
      </c>
      <c r="I24" s="6">
        <f>'Rate Class Load Model'!B9</f>
        <v>155346</v>
      </c>
      <c r="J24" s="6">
        <f>'Rate Class Load Model'!B10</f>
        <v>179250.6870836262</v>
      </c>
      <c r="K24" s="36"/>
    </row>
    <row r="25" spans="1:11" x14ac:dyDescent="0.2">
      <c r="B25" s="6"/>
      <c r="C25" s="6"/>
      <c r="D25" s="6"/>
      <c r="E25" s="6"/>
      <c r="F25" s="6"/>
      <c r="H25" s="6"/>
      <c r="I25" s="6"/>
      <c r="J25" s="6"/>
      <c r="K25" s="36"/>
    </row>
    <row r="26" spans="1:11" x14ac:dyDescent="0.2">
      <c r="A26" s="28" t="str">
        <f>'Rate Class Energy Model'!K2</f>
        <v>General Service 500 to 1499 kW</v>
      </c>
      <c r="B26" s="1"/>
      <c r="C26" s="1"/>
      <c r="K26" s="36"/>
    </row>
    <row r="27" spans="1:11" x14ac:dyDescent="0.2">
      <c r="A27" t="s">
        <v>41</v>
      </c>
      <c r="B27" s="6">
        <f>'Rate Class Customer Model'!E11</f>
        <v>10</v>
      </c>
      <c r="C27" s="6">
        <f>'Rate Class Customer Model'!E12</f>
        <v>10.416666666666666</v>
      </c>
      <c r="D27" s="6">
        <f>'Rate Class Customer Model'!E13</f>
        <v>12.333333333333334</v>
      </c>
      <c r="E27" s="6">
        <f>'Rate Class Customer Model'!E14</f>
        <v>11.583333333333334</v>
      </c>
      <c r="F27" s="6">
        <f>'Rate Class Customer Model'!E15</f>
        <v>8</v>
      </c>
      <c r="G27" s="6">
        <f>'Rate Class Customer Model'!E16</f>
        <v>8.5</v>
      </c>
      <c r="H27" s="6">
        <f>'Rate Class Customer Model'!E17</f>
        <v>6</v>
      </c>
      <c r="I27" s="6">
        <f>'Rate Class Customer Model'!E18</f>
        <v>7</v>
      </c>
      <c r="J27" s="6">
        <f>'Rate Class Customer Model'!E19</f>
        <v>7</v>
      </c>
      <c r="K27" s="36"/>
    </row>
    <row r="28" spans="1:11" x14ac:dyDescent="0.2">
      <c r="A28" t="s">
        <v>42</v>
      </c>
      <c r="B28" s="6">
        <f>'Rate Class Energy Model'!K3</f>
        <v>42123343.190000005</v>
      </c>
      <c r="C28" s="6">
        <f>'Rate Class Energy Model'!K4</f>
        <v>39292384.899999991</v>
      </c>
      <c r="D28" s="6">
        <f>'Rate Class Energy Model'!K5</f>
        <v>36925221.219999999</v>
      </c>
      <c r="E28" s="6">
        <f>'Rate Class Energy Model'!K6</f>
        <v>28159132.399999999</v>
      </c>
      <c r="F28" s="6">
        <f>'Rate Class Energy Model'!K7</f>
        <v>25142092.139999997</v>
      </c>
      <c r="G28" s="6">
        <f>'Rate Class Energy Model'!K8</f>
        <v>27055986.100000001</v>
      </c>
      <c r="H28" s="6">
        <f>'Rate Class Energy Model'!K9</f>
        <v>23120478.16</v>
      </c>
      <c r="I28" s="6">
        <f>'Rate Class Energy Model'!K10</f>
        <v>21487526</v>
      </c>
      <c r="J28" s="6">
        <f>'Rate Class Energy Model'!K26</f>
        <v>21530389.004209809</v>
      </c>
      <c r="K28" s="36"/>
    </row>
    <row r="29" spans="1:11" x14ac:dyDescent="0.2">
      <c r="A29" t="s">
        <v>43</v>
      </c>
      <c r="B29" s="6">
        <f>'Rate Class Load Model'!C2</f>
        <v>103435.35</v>
      </c>
      <c r="C29" s="6">
        <f>'Rate Class Load Model'!C3</f>
        <v>106160.91</v>
      </c>
      <c r="D29" s="6">
        <f>'Rate Class Load Model'!C4</f>
        <v>113440.98000000003</v>
      </c>
      <c r="E29" s="6">
        <f>'Rate Class Load Model'!C5</f>
        <v>91315.26</v>
      </c>
      <c r="F29" s="6">
        <f>'Rate Class Load Model'!C6</f>
        <v>76762.569999999992</v>
      </c>
      <c r="G29" s="6">
        <f>'Rate Class Load Model'!C7</f>
        <v>82836.580000000016</v>
      </c>
      <c r="H29" s="6">
        <f>'Rate Class Load Model'!C8</f>
        <v>73360.160000000003</v>
      </c>
      <c r="I29" s="6">
        <f>'Rate Class Load Model'!C9</f>
        <v>63195</v>
      </c>
      <c r="J29" s="6">
        <f>'Rate Class Load Model'!C10</f>
        <v>63786.866468403583</v>
      </c>
      <c r="K29" s="36"/>
    </row>
    <row r="30" spans="1:11" x14ac:dyDescent="0.2">
      <c r="D30" s="6"/>
      <c r="E30" s="6"/>
      <c r="F30" s="6"/>
      <c r="G30" s="6"/>
      <c r="H30" s="6"/>
      <c r="I30" s="6"/>
      <c r="J30" s="6"/>
      <c r="K30" s="36"/>
    </row>
    <row r="31" spans="1:11" x14ac:dyDescent="0.2">
      <c r="A31" s="28" t="str">
        <f>'Rate Class Energy Model'!L2</f>
        <v>General Service 1500-4999 kW</v>
      </c>
      <c r="B31" s="1"/>
      <c r="C31" s="1"/>
      <c r="K31" s="36"/>
    </row>
    <row r="32" spans="1:11" x14ac:dyDescent="0.2">
      <c r="A32" t="s">
        <v>41</v>
      </c>
      <c r="B32" s="6">
        <f>'Rate Class Customer Model'!F11</f>
        <v>2</v>
      </c>
      <c r="C32" s="6">
        <f>'Rate Class Customer Model'!F12</f>
        <v>2</v>
      </c>
      <c r="D32" s="6">
        <f>'Rate Class Customer Model'!F13</f>
        <v>2</v>
      </c>
      <c r="E32" s="6">
        <f>'Rate Class Customer Model'!F14</f>
        <v>2</v>
      </c>
      <c r="F32" s="6">
        <f>'Rate Class Customer Model'!F15</f>
        <v>2</v>
      </c>
      <c r="G32" s="6">
        <f>'Rate Class Customer Model'!F16</f>
        <v>2</v>
      </c>
      <c r="H32" s="6">
        <f>'Rate Class Customer Model'!F17</f>
        <v>2</v>
      </c>
      <c r="I32" s="6">
        <f>'Rate Class Customer Model'!F18</f>
        <v>2</v>
      </c>
      <c r="J32" s="6">
        <f>'Rate Class Customer Model'!F19</f>
        <v>2</v>
      </c>
      <c r="K32" s="36"/>
    </row>
    <row r="33" spans="1:11" x14ac:dyDescent="0.2">
      <c r="A33" t="s">
        <v>42</v>
      </c>
      <c r="B33" s="6">
        <f>'Rate Class Energy Model'!L3</f>
        <v>35542048.920000002</v>
      </c>
      <c r="C33" s="6">
        <f>'Rate Class Energy Model'!L4</f>
        <v>30775849.759999998</v>
      </c>
      <c r="D33" s="6">
        <f>'Rate Class Energy Model'!L5</f>
        <v>28687524.48</v>
      </c>
      <c r="E33" s="6">
        <f>'Rate Class Energy Model'!L6</f>
        <v>26720406.400000002</v>
      </c>
      <c r="F33" s="6">
        <f>'Rate Class Energy Model'!L7</f>
        <v>20564790.800000001</v>
      </c>
      <c r="G33" s="6">
        <f>'Rate Class Energy Model'!L8</f>
        <v>18499236.399999999</v>
      </c>
      <c r="H33" s="6">
        <f>'Rate Class Energy Model'!L9</f>
        <v>17800153.25</v>
      </c>
      <c r="I33" s="6">
        <f>'Rate Class Energy Model'!L10</f>
        <v>17000470</v>
      </c>
      <c r="J33" s="6">
        <f>'Rate Class Energy Model'!L26</f>
        <v>17014842.717067398</v>
      </c>
      <c r="K33" s="36"/>
    </row>
    <row r="34" spans="1:11" x14ac:dyDescent="0.2">
      <c r="A34" t="s">
        <v>43</v>
      </c>
      <c r="B34" s="6">
        <f>'Rate Class Load Model'!D2</f>
        <v>72106.679999999993</v>
      </c>
      <c r="C34" s="6">
        <f>'Rate Class Load Model'!D3</f>
        <v>68624.840000000011</v>
      </c>
      <c r="D34" s="6">
        <f>'Rate Class Load Model'!D4</f>
        <v>66586</v>
      </c>
      <c r="E34" s="6">
        <f>'Rate Class Load Model'!D5</f>
        <v>60559.709999999992</v>
      </c>
      <c r="F34" s="6">
        <f>'Rate Class Load Model'!D6</f>
        <v>53164.5</v>
      </c>
      <c r="G34" s="6">
        <f>'Rate Class Load Model'!D7</f>
        <v>50923.430000000008</v>
      </c>
      <c r="H34" s="6">
        <f>'Rate Class Load Model'!D8</f>
        <v>48074.27</v>
      </c>
      <c r="I34" s="6">
        <f>'Rate Class Load Model'!D9</f>
        <v>42690</v>
      </c>
      <c r="J34" s="6">
        <f>'Rate Class Load Model'!D10</f>
        <v>41252.349143734158</v>
      </c>
      <c r="K34" s="36"/>
    </row>
    <row r="35" spans="1:11" x14ac:dyDescent="0.2">
      <c r="C35" s="6"/>
      <c r="D35" s="6"/>
      <c r="E35" s="6"/>
      <c r="F35" s="6"/>
      <c r="G35" s="6"/>
      <c r="H35" s="6"/>
      <c r="I35" s="6"/>
      <c r="J35" s="6"/>
      <c r="K35" s="36"/>
    </row>
    <row r="36" spans="1:11" x14ac:dyDescent="0.2">
      <c r="A36" s="28" t="str">
        <f>'Rate Class Energy Model'!M2</f>
        <v>Unmetered Scattered Load</v>
      </c>
      <c r="B36" s="1"/>
      <c r="C36" s="1"/>
      <c r="E36" s="1"/>
      <c r="H36" s="6"/>
      <c r="K36" s="36"/>
    </row>
    <row r="37" spans="1:11" x14ac:dyDescent="0.2">
      <c r="A37" t="s">
        <v>44</v>
      </c>
      <c r="B37" s="6">
        <f>'Rate Class Customer Model'!G11</f>
        <v>59.583333333333336</v>
      </c>
      <c r="C37" s="6">
        <f>'Rate Class Customer Model'!G12</f>
        <v>58.5</v>
      </c>
      <c r="D37" s="6">
        <f>'Rate Class Customer Model'!G13</f>
        <v>59.25</v>
      </c>
      <c r="E37" s="6">
        <f>'Rate Class Customer Model'!G14</f>
        <v>56.666666666666664</v>
      </c>
      <c r="F37" s="6">
        <f>'Rate Class Customer Model'!G15</f>
        <v>56.833333333333336</v>
      </c>
      <c r="G37" s="6">
        <f>'Rate Class Customer Model'!G16</f>
        <v>56.833333333333336</v>
      </c>
      <c r="H37" s="6">
        <f>'Rate Class Customer Model'!G17</f>
        <v>55.916666666666664</v>
      </c>
      <c r="I37" s="6">
        <f>'Rate Class Customer Model'!G18</f>
        <v>54</v>
      </c>
      <c r="J37" s="6">
        <f>'Rate Class Customer Model'!G19</f>
        <v>54</v>
      </c>
      <c r="K37" s="36"/>
    </row>
    <row r="38" spans="1:11" x14ac:dyDescent="0.2">
      <c r="A38" t="s">
        <v>42</v>
      </c>
      <c r="B38" s="6">
        <f>'Rate Class Energy Model'!M3</f>
        <v>386200.86999999994</v>
      </c>
      <c r="C38" s="6">
        <f>'Rate Class Energy Model'!M4</f>
        <v>367142.77</v>
      </c>
      <c r="D38" s="6">
        <f>'Rate Class Energy Model'!M5</f>
        <v>341865.81999999995</v>
      </c>
      <c r="E38" s="6">
        <f>'Rate Class Energy Model'!M6</f>
        <v>340304.06</v>
      </c>
      <c r="F38" s="6">
        <f>'Rate Class Energy Model'!M7</f>
        <v>340496.02</v>
      </c>
      <c r="G38" s="6">
        <f>'Rate Class Energy Model'!M8</f>
        <v>340759.81</v>
      </c>
      <c r="H38" s="6">
        <f>'Rate Class Energy Model'!M9</f>
        <v>338889.99</v>
      </c>
      <c r="I38" s="6">
        <f>'Rate Class Energy Model'!M10</f>
        <v>333947</v>
      </c>
      <c r="J38" s="6">
        <f>'Rate Class Energy Model'!M26</f>
        <v>333947</v>
      </c>
      <c r="K38" s="36"/>
    </row>
    <row r="39" spans="1:11" x14ac:dyDescent="0.2">
      <c r="E39" s="6"/>
      <c r="F39" s="6"/>
      <c r="H39" s="6"/>
      <c r="I39" s="6"/>
      <c r="J39" s="6"/>
    </row>
    <row r="40" spans="1:11" x14ac:dyDescent="0.2">
      <c r="A40" s="28" t="str">
        <f>'Rate Class Energy Model'!N2</f>
        <v>Sentinel Lighting</v>
      </c>
      <c r="B40" s="1"/>
      <c r="D40" s="1"/>
      <c r="H40" s="18"/>
    </row>
    <row r="41" spans="1:11" x14ac:dyDescent="0.2">
      <c r="A41" t="s">
        <v>44</v>
      </c>
      <c r="B41" s="6">
        <f>'Rate Class Customer Model'!H11</f>
        <v>118.5</v>
      </c>
      <c r="C41" s="6">
        <f>'Rate Class Customer Model'!H12</f>
        <v>113</v>
      </c>
      <c r="D41" s="6">
        <f>'Rate Class Customer Model'!H13</f>
        <v>112</v>
      </c>
      <c r="E41" s="6">
        <f>'Rate Class Customer Model'!H14</f>
        <v>112</v>
      </c>
      <c r="F41" s="6">
        <f>'Rate Class Customer Model'!H15</f>
        <v>112.08333333333333</v>
      </c>
      <c r="G41" s="6">
        <f>'Rate Class Customer Model'!H16</f>
        <v>112</v>
      </c>
      <c r="H41" s="6">
        <f>'Rate Class Customer Model'!H17</f>
        <v>112</v>
      </c>
      <c r="I41" s="6">
        <f>'Rate Class Customer Model'!H18</f>
        <v>112</v>
      </c>
      <c r="J41" s="6">
        <f>'Rate Class Customer Model'!H19</f>
        <v>112</v>
      </c>
    </row>
    <row r="42" spans="1:11" x14ac:dyDescent="0.2">
      <c r="A42" t="s">
        <v>42</v>
      </c>
      <c r="B42" s="6">
        <f>'Rate Class Energy Model'!N3</f>
        <v>102640.95</v>
      </c>
      <c r="C42" s="6">
        <f>'Rate Class Energy Model'!N4</f>
        <v>98397.14</v>
      </c>
      <c r="D42" s="6">
        <f>'Rate Class Energy Model'!N5</f>
        <v>95814.57</v>
      </c>
      <c r="E42" s="6">
        <f>'Rate Class Energy Model'!N6</f>
        <v>79644.31</v>
      </c>
      <c r="F42" s="6">
        <f>'Rate Class Energy Model'!N7</f>
        <v>75008.179999999993</v>
      </c>
      <c r="G42" s="6">
        <f>'Rate Class Energy Model'!N8</f>
        <v>72438</v>
      </c>
      <c r="H42" s="6">
        <f>'Rate Class Energy Model'!N9</f>
        <v>72091.330000000016</v>
      </c>
      <c r="I42" s="6">
        <f>'Rate Class Energy Model'!N10</f>
        <v>72340.172878717756</v>
      </c>
      <c r="J42" s="6">
        <f>'Rate Class Energy Model'!N26</f>
        <v>72340.172878717756</v>
      </c>
    </row>
    <row r="43" spans="1:11" x14ac:dyDescent="0.2">
      <c r="A43" t="s">
        <v>43</v>
      </c>
      <c r="B43" s="6">
        <f>'Rate Class Load Model'!E2</f>
        <v>282.01</v>
      </c>
      <c r="C43" s="6">
        <f>'Rate Class Load Model'!E3</f>
        <v>262.84999999999997</v>
      </c>
      <c r="D43" s="6">
        <f>'Rate Class Load Model'!E4</f>
        <v>256.44</v>
      </c>
      <c r="E43" s="6">
        <f>'Rate Class Load Model'!E5</f>
        <v>216.62</v>
      </c>
      <c r="F43" s="6">
        <f>'Rate Class Load Model'!E6</f>
        <v>202.49</v>
      </c>
      <c r="G43" s="6">
        <f>'Rate Class Load Model'!E7</f>
        <v>201.60999999999996</v>
      </c>
      <c r="H43" s="6">
        <f>'Rate Class Load Model'!E8</f>
        <v>201.57</v>
      </c>
      <c r="I43" s="6">
        <f>'Rate Class Load Model'!E9</f>
        <v>197.32265503190328</v>
      </c>
      <c r="J43" s="6">
        <f>'Rate Class Load Model'!E10</f>
        <v>197.32265503190328</v>
      </c>
    </row>
    <row r="45" spans="1:11" x14ac:dyDescent="0.2">
      <c r="A45" s="28" t="str">
        <f>'Rate Class Energy Model'!O2</f>
        <v xml:space="preserve">Street Lighting </v>
      </c>
      <c r="B45" s="1"/>
      <c r="C45" s="1"/>
      <c r="D45" s="1"/>
      <c r="E45" s="1"/>
    </row>
    <row r="46" spans="1:11" x14ac:dyDescent="0.2">
      <c r="A46" t="s">
        <v>127</v>
      </c>
      <c r="B46" s="6">
        <f>'Rate Class Customer Model'!I11</f>
        <v>1</v>
      </c>
      <c r="C46" s="6">
        <f>'Rate Class Customer Model'!I12</f>
        <v>1</v>
      </c>
      <c r="D46" s="6">
        <f>'Rate Class Customer Model'!I13</f>
        <v>1</v>
      </c>
      <c r="E46" s="6">
        <f>'Rate Class Customer Model'!I14</f>
        <v>1</v>
      </c>
      <c r="F46" s="6">
        <f>'Rate Class Customer Model'!I15</f>
        <v>1</v>
      </c>
      <c r="G46" s="6">
        <f>'Rate Class Customer Model'!I16</f>
        <v>1</v>
      </c>
      <c r="H46" s="6">
        <f>'Rate Class Customer Model'!I17</f>
        <v>1</v>
      </c>
      <c r="I46" s="6">
        <f>'Rate Class Customer Model'!I18</f>
        <v>1</v>
      </c>
      <c r="J46" s="6">
        <f>'Rate Class Customer Model'!I19</f>
        <v>1</v>
      </c>
    </row>
    <row r="47" spans="1:11" x14ac:dyDescent="0.2">
      <c r="A47" t="s">
        <v>42</v>
      </c>
      <c r="B47" s="6">
        <f>'Rate Class Energy Model'!O3</f>
        <v>1427616.35</v>
      </c>
      <c r="C47" s="6">
        <f>'Rate Class Energy Model'!O4</f>
        <v>1422828.54</v>
      </c>
      <c r="D47" s="6">
        <f>'Rate Class Energy Model'!O5</f>
        <v>1117131.3599999999</v>
      </c>
      <c r="E47" s="6">
        <f>'Rate Class Energy Model'!O6</f>
        <v>545652</v>
      </c>
      <c r="F47" s="6">
        <f>'Rate Class Energy Model'!O7</f>
        <v>527637</v>
      </c>
      <c r="G47" s="6">
        <f>'Rate Class Energy Model'!O8</f>
        <v>607361.03999999992</v>
      </c>
      <c r="H47" s="6">
        <f>'Rate Class Energy Model'!O9</f>
        <v>619622.6399999999</v>
      </c>
      <c r="I47" s="6">
        <f>'Rate Class Energy Model'!O10</f>
        <v>644748</v>
      </c>
      <c r="J47" s="6">
        <f>'Rate Class Energy Model'!O26</f>
        <v>644748</v>
      </c>
    </row>
    <row r="48" spans="1:11" x14ac:dyDescent="0.2">
      <c r="A48" t="s">
        <v>43</v>
      </c>
      <c r="B48" s="6">
        <f>'Rate Class Load Model'!F2</f>
        <v>3831.24</v>
      </c>
      <c r="C48" s="6">
        <f>'Rate Class Load Model'!F3</f>
        <v>3831.24</v>
      </c>
      <c r="D48" s="6">
        <f>'Rate Class Load Model'!F4</f>
        <v>3043.83</v>
      </c>
      <c r="E48" s="6">
        <f>'Rate Class Load Model'!F5</f>
        <v>1498</v>
      </c>
      <c r="F48" s="6">
        <f>'Rate Class Load Model'!F6</f>
        <v>1416</v>
      </c>
      <c r="G48" s="6">
        <f>'Rate Class Load Model'!F7</f>
        <v>1646.5600000000004</v>
      </c>
      <c r="H48" s="6">
        <f>'Rate Class Load Model'!F8</f>
        <v>1667.5200000000002</v>
      </c>
      <c r="I48" s="6">
        <f>'Rate Class Load Model'!F9</f>
        <v>1677</v>
      </c>
      <c r="J48" s="6">
        <f>'Rate Class Load Model'!F10</f>
        <v>1735.4400770751936</v>
      </c>
    </row>
    <row r="50" spans="1:13" x14ac:dyDescent="0.2">
      <c r="A50" s="28" t="s">
        <v>7</v>
      </c>
      <c r="B50" s="1"/>
      <c r="E50" s="44"/>
    </row>
    <row r="51" spans="1:13" x14ac:dyDescent="0.2">
      <c r="A51" t="s">
        <v>46</v>
      </c>
      <c r="B51" s="6">
        <f t="shared" ref="B51:J51" si="2">+B14+B18+B22+B27+B32+B37+B41+B46</f>
        <v>7202.166666666667</v>
      </c>
      <c r="C51" s="6">
        <f t="shared" si="2"/>
        <v>7315.6666666666661</v>
      </c>
      <c r="D51" s="6">
        <f t="shared" si="2"/>
        <v>7430.6666666666661</v>
      </c>
      <c r="E51" s="6">
        <f t="shared" si="2"/>
        <v>7568.1666666666661</v>
      </c>
      <c r="F51" s="6">
        <f t="shared" si="2"/>
        <v>7749.25</v>
      </c>
      <c r="G51" s="6">
        <f t="shared" si="2"/>
        <v>8037.4166666666661</v>
      </c>
      <c r="H51" s="6">
        <f t="shared" si="2"/>
        <v>8350.6666666666661</v>
      </c>
      <c r="I51" s="6">
        <f t="shared" si="2"/>
        <v>8527</v>
      </c>
      <c r="J51" s="6">
        <f t="shared" si="2"/>
        <v>8652.8245069622681</v>
      </c>
    </row>
    <row r="52" spans="1:13" x14ac:dyDescent="0.2">
      <c r="A52" t="s">
        <v>42</v>
      </c>
      <c r="B52" s="6">
        <f t="shared" ref="B52:J52" si="3">+B15+B19+B23+B28+B33+B38+B42+B47</f>
        <v>195938264.66</v>
      </c>
      <c r="C52" s="6">
        <f t="shared" si="3"/>
        <v>183826118.34999996</v>
      </c>
      <c r="D52" s="6">
        <f t="shared" si="3"/>
        <v>183750499.39999995</v>
      </c>
      <c r="E52" s="6">
        <f t="shared" si="3"/>
        <v>171687024.79999998</v>
      </c>
      <c r="F52" s="6">
        <f t="shared" si="3"/>
        <v>167477565.66000003</v>
      </c>
      <c r="G52" s="6">
        <f t="shared" si="3"/>
        <v>172196903.11000004</v>
      </c>
      <c r="H52" s="6">
        <f t="shared" si="3"/>
        <v>178660614.34999996</v>
      </c>
      <c r="I52" s="6">
        <f t="shared" si="3"/>
        <v>179892895.17287871</v>
      </c>
      <c r="J52" s="6">
        <f t="shared" si="3"/>
        <v>183069860.09342986</v>
      </c>
    </row>
    <row r="53" spans="1:13" x14ac:dyDescent="0.2">
      <c r="A53" t="s">
        <v>45</v>
      </c>
      <c r="B53" s="6">
        <f>B24+B29+B34+B43+B48</f>
        <v>322878.17000000004</v>
      </c>
      <c r="C53" s="6">
        <f t="shared" ref="C53:J53" si="4">C24+C29+C34+C43+C48</f>
        <v>316507.27</v>
      </c>
      <c r="D53" s="6">
        <f t="shared" si="4"/>
        <v>314792.98000000004</v>
      </c>
      <c r="E53" s="6">
        <f t="shared" si="4"/>
        <v>284975.80999999994</v>
      </c>
      <c r="F53" s="6">
        <f t="shared" si="4"/>
        <v>269248</v>
      </c>
      <c r="G53" s="6">
        <f t="shared" si="4"/>
        <v>282116.59000000003</v>
      </c>
      <c r="H53" s="6">
        <f t="shared" si="4"/>
        <v>283789.91000000003</v>
      </c>
      <c r="I53" s="6">
        <f t="shared" si="4"/>
        <v>263105.32265503192</v>
      </c>
      <c r="J53" s="6">
        <f t="shared" si="4"/>
        <v>286222.66542787105</v>
      </c>
    </row>
    <row r="54" spans="1:13" x14ac:dyDescent="0.2">
      <c r="B54" s="1"/>
      <c r="C54" s="1"/>
    </row>
    <row r="55" spans="1:13" x14ac:dyDescent="0.2">
      <c r="A55" t="s">
        <v>46</v>
      </c>
      <c r="B55" s="6">
        <f>'Rate Class Customer Model'!J11</f>
        <v>7202.166666666667</v>
      </c>
      <c r="C55" s="6">
        <f>'Rate Class Customer Model'!J12</f>
        <v>7315.6666666666661</v>
      </c>
      <c r="D55" s="6">
        <f>'Rate Class Customer Model'!J13</f>
        <v>7430.6666666666661</v>
      </c>
      <c r="E55" s="6">
        <f>'Rate Class Customer Model'!J14</f>
        <v>7568.1666666666661</v>
      </c>
      <c r="F55" s="6">
        <f>'Rate Class Customer Model'!J15</f>
        <v>7749.25</v>
      </c>
      <c r="G55" s="6">
        <f>'Rate Class Customer Model'!J16</f>
        <v>8037.4166666666661</v>
      </c>
      <c r="H55" s="6">
        <f>'Rate Class Customer Model'!J17</f>
        <v>8350.6666666666661</v>
      </c>
      <c r="I55" s="6">
        <f>'Rate Class Customer Model'!J18</f>
        <v>8527</v>
      </c>
      <c r="J55" s="6">
        <f>'Rate Class Customer Model'!J19</f>
        <v>8652.8245069622681</v>
      </c>
    </row>
    <row r="56" spans="1:13" x14ac:dyDescent="0.2">
      <c r="A56" t="s">
        <v>42</v>
      </c>
      <c r="B56" s="6">
        <f>'Rate Class Energy Model'!G3</f>
        <v>195938264.66</v>
      </c>
      <c r="C56" s="6">
        <f>'Rate Class Energy Model'!G4</f>
        <v>183826118.34999996</v>
      </c>
      <c r="D56" s="6">
        <f>'Rate Class Energy Model'!G5</f>
        <v>183750499.39999995</v>
      </c>
      <c r="E56" s="6">
        <f>'Rate Class Energy Model'!G6</f>
        <v>171687024.79999998</v>
      </c>
      <c r="F56" s="6">
        <f>'Rate Class Energy Model'!G7</f>
        <v>167477565.66000003</v>
      </c>
      <c r="G56" s="6">
        <f>'Rate Class Energy Model'!G8</f>
        <v>172196903.11000004</v>
      </c>
      <c r="H56" s="6">
        <f>'Rate Class Energy Model'!G9</f>
        <v>178660614.34999996</v>
      </c>
      <c r="I56" s="6">
        <f>'Rate Class Energy Model'!G10</f>
        <v>179892895.17287871</v>
      </c>
      <c r="J56" s="6">
        <f>'Rate Class Energy Model'!P26</f>
        <v>183069860.09342986</v>
      </c>
      <c r="L56" s="6"/>
      <c r="M56" s="36"/>
    </row>
    <row r="57" spans="1:13" x14ac:dyDescent="0.2">
      <c r="A57" t="s">
        <v>45</v>
      </c>
      <c r="B57" s="6">
        <f>'Rate Class Load Model'!G2</f>
        <v>322878.17000000004</v>
      </c>
      <c r="C57" s="6">
        <f>'Rate Class Load Model'!G3</f>
        <v>316507.27</v>
      </c>
      <c r="D57" s="6">
        <f>'Rate Class Load Model'!G4</f>
        <v>314792.98000000004</v>
      </c>
      <c r="E57" s="6">
        <f>'Rate Class Load Model'!G5</f>
        <v>284975.80999999994</v>
      </c>
      <c r="F57" s="6">
        <f>'Rate Class Load Model'!G6</f>
        <v>269248</v>
      </c>
      <c r="G57" s="6">
        <f>'Rate Class Load Model'!G7</f>
        <v>282116.59000000003</v>
      </c>
      <c r="H57" s="6">
        <f>'Rate Class Load Model'!G8</f>
        <v>283789.91000000003</v>
      </c>
      <c r="I57" s="6">
        <f>'Rate Class Load Model'!G9</f>
        <v>263105.32265503192</v>
      </c>
      <c r="J57" s="6">
        <f>'Rate Class Load Model'!G10</f>
        <v>286222.66542787105</v>
      </c>
    </row>
    <row r="59" spans="1:13" hidden="1" x14ac:dyDescent="0.2">
      <c r="A59" t="s">
        <v>46</v>
      </c>
      <c r="E59" s="6">
        <f>'Rate Class Load Model'!G9</f>
        <v>263105.32265503192</v>
      </c>
      <c r="F59" s="6" t="e">
        <f>#REF!</f>
        <v>#REF!</v>
      </c>
      <c r="G59" s="6"/>
      <c r="H59" s="6"/>
      <c r="I59" s="6" t="e">
        <f>#REF!</f>
        <v>#REF!</v>
      </c>
      <c r="J59" s="6" t="e">
        <f>#REF!</f>
        <v>#REF!</v>
      </c>
    </row>
    <row r="60" spans="1:13" hidden="1" x14ac:dyDescent="0.2">
      <c r="A60" t="s">
        <v>42</v>
      </c>
      <c r="E60" s="6">
        <f>'Rate Class Load Model'!G10</f>
        <v>286222.66542787105</v>
      </c>
      <c r="F60" s="6" t="e">
        <f>#REF!</f>
        <v>#REF!</v>
      </c>
      <c r="G60" s="6"/>
      <c r="H60" s="6"/>
      <c r="I60" s="6" t="e">
        <f>#REF!</f>
        <v>#REF!</v>
      </c>
      <c r="J60" s="6" t="e">
        <f>#REF!</f>
        <v>#REF!</v>
      </c>
    </row>
    <row r="61" spans="1:13" hidden="1" x14ac:dyDescent="0.2">
      <c r="A61" t="s">
        <v>45</v>
      </c>
      <c r="E61" s="6">
        <f>'Rate Class Load Model'!G11</f>
        <v>0</v>
      </c>
      <c r="F61" s="6" t="e">
        <f>#REF!</f>
        <v>#REF!</v>
      </c>
      <c r="G61" s="6"/>
      <c r="H61" s="6"/>
      <c r="I61" s="6" t="e">
        <f>#REF!</f>
        <v>#REF!</v>
      </c>
      <c r="J61" s="6" t="e">
        <f>#REF!</f>
        <v>#REF!</v>
      </c>
    </row>
    <row r="62" spans="1:13" hidden="1" x14ac:dyDescent="0.2">
      <c r="E62" s="6">
        <f>'Rate Class Load Model'!G12</f>
        <v>0</v>
      </c>
    </row>
    <row r="63" spans="1:13" hidden="1" x14ac:dyDescent="0.2">
      <c r="A63" t="s">
        <v>46</v>
      </c>
      <c r="E63" s="6" t="e">
        <f>'Rate Class Load Model'!#REF!</f>
        <v>#REF!</v>
      </c>
      <c r="F63" s="6" t="e">
        <f>#REF!-F59</f>
        <v>#REF!</v>
      </c>
      <c r="G63" s="6"/>
      <c r="H63" s="6"/>
      <c r="I63" s="6" t="e">
        <f>#REF!-I59</f>
        <v>#REF!</v>
      </c>
      <c r="J63" s="6" t="e">
        <f>#REF!-J59</f>
        <v>#REF!</v>
      </c>
    </row>
    <row r="64" spans="1:13" hidden="1" x14ac:dyDescent="0.2">
      <c r="A64" t="s">
        <v>42</v>
      </c>
      <c r="E64" s="6" t="e">
        <f>'Rate Class Load Model'!#REF!</f>
        <v>#REF!</v>
      </c>
      <c r="F64" s="6" t="e">
        <f>#REF!-F60</f>
        <v>#REF!</v>
      </c>
      <c r="G64" s="6"/>
      <c r="H64" s="6"/>
      <c r="I64" s="6" t="e">
        <f>#REF!-I60</f>
        <v>#REF!</v>
      </c>
      <c r="J64" s="6" t="e">
        <f>#REF!-J60</f>
        <v>#REF!</v>
      </c>
    </row>
    <row r="65" spans="1:10" hidden="1" x14ac:dyDescent="0.2">
      <c r="A65" t="s">
        <v>45</v>
      </c>
      <c r="E65" s="6" t="e">
        <f>'Rate Class Load Model'!#REF!</f>
        <v>#REF!</v>
      </c>
      <c r="F65" s="6" t="e">
        <f>#REF!-F61</f>
        <v>#REF!</v>
      </c>
      <c r="G65" s="6"/>
      <c r="H65" s="6"/>
      <c r="I65" s="6" t="e">
        <f>#REF!-I61</f>
        <v>#REF!</v>
      </c>
      <c r="J65" s="6" t="e">
        <f>#REF!-J61</f>
        <v>#REF!</v>
      </c>
    </row>
    <row r="66" spans="1:10" hidden="1" x14ac:dyDescent="0.2">
      <c r="E66" s="6">
        <f>'Rate Class Load Model'!G13</f>
        <v>0</v>
      </c>
    </row>
    <row r="67" spans="1:10" x14ac:dyDescent="0.2">
      <c r="A67" s="43" t="s">
        <v>12</v>
      </c>
      <c r="E67" s="6"/>
    </row>
    <row r="68" spans="1:10" x14ac:dyDescent="0.2">
      <c r="A68" t="s">
        <v>46</v>
      </c>
      <c r="B68" s="6">
        <f t="shared" ref="B68:J68" si="5">B51-B55</f>
        <v>0</v>
      </c>
      <c r="C68" s="6">
        <f t="shared" si="5"/>
        <v>0</v>
      </c>
      <c r="D68" s="6">
        <f t="shared" si="5"/>
        <v>0</v>
      </c>
      <c r="E68" s="6">
        <f t="shared" si="5"/>
        <v>0</v>
      </c>
      <c r="F68" s="6">
        <f t="shared" si="5"/>
        <v>0</v>
      </c>
      <c r="G68" s="6">
        <f t="shared" ref="G68:H68" si="6">G51-G55</f>
        <v>0</v>
      </c>
      <c r="H68" s="6">
        <f t="shared" si="6"/>
        <v>0</v>
      </c>
      <c r="I68" s="6">
        <f t="shared" si="5"/>
        <v>0</v>
      </c>
      <c r="J68" s="6">
        <f t="shared" si="5"/>
        <v>0</v>
      </c>
    </row>
    <row r="69" spans="1:10" x14ac:dyDescent="0.2">
      <c r="A69" t="s">
        <v>42</v>
      </c>
      <c r="B69" s="6">
        <f t="shared" ref="B69:J69" si="7">B52-B56</f>
        <v>0</v>
      </c>
      <c r="C69" s="6">
        <f t="shared" si="7"/>
        <v>0</v>
      </c>
      <c r="D69" s="6">
        <f t="shared" si="7"/>
        <v>0</v>
      </c>
      <c r="E69" s="6">
        <f t="shared" si="7"/>
        <v>0</v>
      </c>
      <c r="F69" s="6">
        <f t="shared" si="7"/>
        <v>0</v>
      </c>
      <c r="G69" s="6">
        <f t="shared" ref="G69:H69" si="8">G52-G56</f>
        <v>0</v>
      </c>
      <c r="H69" s="6">
        <f t="shared" si="8"/>
        <v>0</v>
      </c>
      <c r="I69" s="6">
        <f t="shared" si="7"/>
        <v>0</v>
      </c>
      <c r="J69" s="6">
        <f t="shared" si="7"/>
        <v>0</v>
      </c>
    </row>
    <row r="70" spans="1:10" x14ac:dyDescent="0.2">
      <c r="A70" t="s">
        <v>45</v>
      </c>
      <c r="B70" s="6">
        <f t="shared" ref="B70:J70" si="9">B53-B57</f>
        <v>0</v>
      </c>
      <c r="C70" s="6">
        <f t="shared" si="9"/>
        <v>0</v>
      </c>
      <c r="D70" s="6">
        <f t="shared" si="9"/>
        <v>0</v>
      </c>
      <c r="E70" s="6">
        <f t="shared" si="9"/>
        <v>0</v>
      </c>
      <c r="F70" s="6">
        <f t="shared" si="9"/>
        <v>0</v>
      </c>
      <c r="G70" s="6">
        <f t="shared" ref="G70:H70" si="10">G53-G57</f>
        <v>0</v>
      </c>
      <c r="H70" s="6">
        <f t="shared" si="10"/>
        <v>0</v>
      </c>
      <c r="I70" s="6">
        <f t="shared" si="9"/>
        <v>0</v>
      </c>
      <c r="J70" s="6">
        <f t="shared" si="9"/>
        <v>0</v>
      </c>
    </row>
  </sheetData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I157"/>
  <sheetViews>
    <sheetView zoomScale="78" zoomScaleNormal="78" workbookViewId="0">
      <pane xSplit="1" ySplit="2" topLeftCell="M108" activePane="bottomRight" state="frozen"/>
      <selection pane="topRight" activeCell="C1" sqref="C1"/>
      <selection pane="bottomLeft" activeCell="A3" sqref="A3"/>
      <selection pane="bottomRight" activeCell="W115" sqref="W115"/>
    </sheetView>
  </sheetViews>
  <sheetFormatPr defaultRowHeight="12.75" x14ac:dyDescent="0.2"/>
  <cols>
    <col min="1" max="1" width="11.85546875" style="27" customWidth="1"/>
    <col min="2" max="7" width="16.85546875" style="6" customWidth="1"/>
    <col min="8" max="8" width="11.5703125" style="1" customWidth="1"/>
    <col min="9" max="9" width="13.42578125" style="1" customWidth="1"/>
    <col min="10" max="10" width="10.140625" style="1" customWidth="1"/>
    <col min="11" max="11" width="10.28515625" style="57" customWidth="1"/>
    <col min="12" max="13" width="13" style="1" customWidth="1"/>
    <col min="14" max="14" width="15.5703125" style="1" bestFit="1" customWidth="1"/>
    <col min="15" max="15" width="16" style="1" customWidth="1"/>
    <col min="16" max="16" width="18.28515625" style="1" bestFit="1" customWidth="1"/>
    <col min="17" max="17" width="15" style="1" bestFit="1" customWidth="1"/>
    <col min="18" max="18" width="17.85546875" style="1" bestFit="1" customWidth="1"/>
    <col min="19" max="19" width="11.42578125" style="1" customWidth="1"/>
    <col min="20" max="20" width="17.85546875" style="1" bestFit="1" customWidth="1"/>
    <col min="21" max="21" width="4.85546875" customWidth="1"/>
    <col min="22" max="22" width="44.42578125" customWidth="1"/>
    <col min="23" max="23" width="22.28515625" customWidth="1"/>
    <col min="24" max="28" width="12.5703125" customWidth="1"/>
    <col min="29" max="29" width="21.85546875" customWidth="1"/>
    <col min="30" max="30" width="12.5703125" customWidth="1"/>
    <col min="31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5703125" bestFit="1" customWidth="1"/>
    <col min="38" max="38" width="42.85546875" bestFit="1" customWidth="1"/>
  </cols>
  <sheetData>
    <row r="1" spans="1:35" x14ac:dyDescent="0.2">
      <c r="AF1" s="105"/>
      <c r="AG1" s="105"/>
      <c r="AH1" s="105"/>
      <c r="AI1" s="105"/>
    </row>
    <row r="2" spans="1:35" ht="38.25" x14ac:dyDescent="0.2">
      <c r="A2" s="100"/>
      <c r="B2" s="101" t="s">
        <v>75</v>
      </c>
      <c r="C2" s="101" t="s">
        <v>107</v>
      </c>
      <c r="D2" s="101" t="s">
        <v>113</v>
      </c>
      <c r="E2" s="101" t="s">
        <v>115</v>
      </c>
      <c r="F2" s="101" t="s">
        <v>116</v>
      </c>
      <c r="G2" s="101" t="s">
        <v>117</v>
      </c>
      <c r="H2" s="102" t="s">
        <v>2</v>
      </c>
      <c r="I2" s="102" t="s">
        <v>3</v>
      </c>
      <c r="J2" s="102" t="s">
        <v>90</v>
      </c>
      <c r="K2" s="103" t="s">
        <v>13</v>
      </c>
      <c r="L2" s="102" t="s">
        <v>104</v>
      </c>
      <c r="M2" s="102" t="s">
        <v>114</v>
      </c>
      <c r="N2" s="102" t="s">
        <v>8</v>
      </c>
      <c r="O2" s="104" t="s">
        <v>118</v>
      </c>
      <c r="P2" s="102" t="s">
        <v>119</v>
      </c>
      <c r="Q2" s="131" t="s">
        <v>120</v>
      </c>
      <c r="R2" s="132" t="s">
        <v>121</v>
      </c>
      <c r="S2" s="132" t="s">
        <v>122</v>
      </c>
      <c r="T2" s="132" t="s">
        <v>123</v>
      </c>
      <c r="V2" t="s">
        <v>14</v>
      </c>
      <c r="AF2" s="105"/>
      <c r="AG2" s="105"/>
      <c r="AH2" s="105"/>
      <c r="AI2" s="105"/>
    </row>
    <row r="3" spans="1:35" ht="13.5" thickBot="1" x14ac:dyDescent="0.25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31" si="0">B3+C3</f>
        <v>17276658.48</v>
      </c>
      <c r="E3" s="48">
        <v>0</v>
      </c>
      <c r="F3" s="48">
        <f>Inputs!AI60</f>
        <v>5558872.7999999998</v>
      </c>
      <c r="G3" s="48">
        <f>D3-E3-F3</f>
        <v>11717785.68</v>
      </c>
      <c r="H3" s="48">
        <f>'Weather Analysis'!E8</f>
        <v>699.50000000000023</v>
      </c>
      <c r="I3" s="48">
        <f>'Weather Analysis'!E27</f>
        <v>0</v>
      </c>
      <c r="J3" s="48">
        <v>31</v>
      </c>
      <c r="K3" s="110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11213588.8307196</v>
      </c>
      <c r="O3" s="32">
        <f>N3-G3</f>
        <v>-504196.8492804002</v>
      </c>
      <c r="P3" s="41">
        <f>O3/G3</f>
        <v>-4.302833854872145E-2</v>
      </c>
      <c r="Q3" s="133">
        <f t="shared" ref="Q3:Q4" si="1">ABS(P3)</f>
        <v>4.302833854872145E-2</v>
      </c>
      <c r="R3" s="134">
        <f t="shared" ref="R3:R66" si="2">O3*O3</f>
        <v>254214462824.28259</v>
      </c>
      <c r="S3" s="134"/>
      <c r="T3" s="134"/>
      <c r="AF3" s="105"/>
      <c r="AG3" s="105"/>
      <c r="AH3" s="105"/>
      <c r="AI3" s="105"/>
    </row>
    <row r="4" spans="1:35" x14ac:dyDescent="0.2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v>0</v>
      </c>
      <c r="F4" s="48">
        <f>Inputs!AI61</f>
        <v>5518422.3099999996</v>
      </c>
      <c r="G4" s="48">
        <f t="shared" ref="G4:G67" si="3">D4-E4-F4</f>
        <v>10880832.73</v>
      </c>
      <c r="H4" s="48">
        <f>'Weather Analysis'!E9</f>
        <v>603.99999999999989</v>
      </c>
      <c r="I4" s="48">
        <f>'Weather Analysis'!E28</f>
        <v>0</v>
      </c>
      <c r="J4" s="48">
        <v>29</v>
      </c>
      <c r="K4" s="110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4">$W$18+$W$19*H4+$W$20*I4+$W$21*J4+$W$22*K4+$W$23*L4+M4*$W$24</f>
        <v>10324173.717791947</v>
      </c>
      <c r="O4" s="32">
        <f t="shared" ref="O4:O67" si="5">N4-G4</f>
        <v>-556659.01220805384</v>
      </c>
      <c r="P4" s="41">
        <f t="shared" ref="P4:P67" si="6">O4/G4</f>
        <v>-5.1159596514452975E-2</v>
      </c>
      <c r="Q4" s="133">
        <f t="shared" si="1"/>
        <v>5.1159596514452975E-2</v>
      </c>
      <c r="R4" s="134">
        <f t="shared" si="2"/>
        <v>309869255872.44623</v>
      </c>
      <c r="S4" s="134">
        <f t="shared" ref="S4:S67" si="7">O4-O3</f>
        <v>-52462.162927653641</v>
      </c>
      <c r="T4" s="134">
        <f t="shared" ref="T4:T67" si="8">S4*S4</f>
        <v>2752278539.0476761</v>
      </c>
      <c r="V4" s="114" t="s">
        <v>15</v>
      </c>
      <c r="W4" s="114"/>
      <c r="AF4" s="105"/>
      <c r="AG4" s="105"/>
      <c r="AH4" s="105"/>
      <c r="AI4" s="105"/>
    </row>
    <row r="5" spans="1:35" x14ac:dyDescent="0.2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v>0</v>
      </c>
      <c r="F5" s="48">
        <f>Inputs!AI62</f>
        <v>5708327.3499999996</v>
      </c>
      <c r="G5" s="48">
        <f t="shared" si="3"/>
        <v>10807575.790000001</v>
      </c>
      <c r="H5" s="48">
        <f>'Weather Analysis'!E10</f>
        <v>466.50000000000006</v>
      </c>
      <c r="I5" s="48">
        <f>'Weather Analysis'!E29</f>
        <v>0</v>
      </c>
      <c r="J5" s="48">
        <v>31</v>
      </c>
      <c r="K5" s="110">
        <v>1</v>
      </c>
      <c r="L5" s="48">
        <f>Inputs!G62+Inputs!I62+Inputs!L62+Inputs!O62+Inputs!R62+Inputs!AA62</f>
        <v>6984</v>
      </c>
      <c r="M5" s="48">
        <v>0</v>
      </c>
      <c r="N5" s="48">
        <f t="shared" si="4"/>
        <v>10295979.85571477</v>
      </c>
      <c r="O5" s="32">
        <f t="shared" si="5"/>
        <v>-511595.93428523093</v>
      </c>
      <c r="P5" s="41">
        <f t="shared" si="6"/>
        <v>-4.7336788954892066E-2</v>
      </c>
      <c r="Q5" s="12">
        <f t="shared" ref="Q5:Q30" si="9">ABS(P5)</f>
        <v>4.7336788954892066E-2</v>
      </c>
      <c r="R5" s="134">
        <f t="shared" si="2"/>
        <v>261730399977.17831</v>
      </c>
      <c r="S5" s="134">
        <f t="shared" si="7"/>
        <v>45063.077922822908</v>
      </c>
      <c r="T5" s="134">
        <f t="shared" si="8"/>
        <v>2030680991.8784094</v>
      </c>
      <c r="V5" t="s">
        <v>16</v>
      </c>
      <c r="W5">
        <v>0.95760898827087404</v>
      </c>
      <c r="AF5" s="105"/>
      <c r="AG5" s="105"/>
      <c r="AH5" s="105"/>
      <c r="AI5" s="105"/>
    </row>
    <row r="6" spans="1:35" x14ac:dyDescent="0.2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v>0</v>
      </c>
      <c r="F6" s="48">
        <f>Inputs!AI63</f>
        <v>5379793.3399999999</v>
      </c>
      <c r="G6" s="48">
        <f t="shared" si="3"/>
        <v>10104563.939999999</v>
      </c>
      <c r="H6" s="48">
        <f>'Weather Analysis'!E11</f>
        <v>391.09999999999997</v>
      </c>
      <c r="I6" s="48">
        <f>'Weather Analysis'!E30</f>
        <v>0</v>
      </c>
      <c r="J6" s="48">
        <v>30</v>
      </c>
      <c r="K6" s="110">
        <v>1</v>
      </c>
      <c r="L6" s="48">
        <f>Inputs!G63+Inputs!I63+Inputs!L63+Inputs!O63+Inputs!R63+Inputs!AA63</f>
        <v>6995</v>
      </c>
      <c r="M6" s="48">
        <v>0</v>
      </c>
      <c r="N6" s="48">
        <f t="shared" si="4"/>
        <v>9820814.6091314722</v>
      </c>
      <c r="O6" s="32">
        <f t="shared" si="5"/>
        <v>-283749.33086852729</v>
      </c>
      <c r="P6" s="41">
        <f t="shared" si="6"/>
        <v>-2.808130390914497E-2</v>
      </c>
      <c r="Q6" s="12">
        <f t="shared" si="9"/>
        <v>2.808130390914497E-2</v>
      </c>
      <c r="R6" s="134">
        <f t="shared" si="2"/>
        <v>80513682768.336975</v>
      </c>
      <c r="S6" s="134">
        <f t="shared" si="7"/>
        <v>227846.60341670364</v>
      </c>
      <c r="T6" s="134">
        <f t="shared" si="8"/>
        <v>51914074688.528625</v>
      </c>
      <c r="V6" t="s">
        <v>17</v>
      </c>
      <c r="W6">
        <v>0.91701497441716695</v>
      </c>
      <c r="AF6" s="105"/>
      <c r="AG6" s="105"/>
      <c r="AH6" s="105"/>
      <c r="AI6" s="105"/>
    </row>
    <row r="7" spans="1:35" x14ac:dyDescent="0.2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v>0</v>
      </c>
      <c r="F7" s="48">
        <f>Inputs!AI64</f>
        <v>5354794.75</v>
      </c>
      <c r="G7" s="48">
        <f t="shared" si="3"/>
        <v>10234090.780000001</v>
      </c>
      <c r="H7" s="48">
        <f>'Weather Analysis'!E12</f>
        <v>148.19999999999996</v>
      </c>
      <c r="I7" s="48">
        <f>'Weather Analysis'!E31</f>
        <v>25.8</v>
      </c>
      <c r="J7" s="48">
        <v>31</v>
      </c>
      <c r="K7" s="110">
        <v>1</v>
      </c>
      <c r="L7" s="48">
        <f>Inputs!G64+Inputs!I64+Inputs!L64+Inputs!O64+Inputs!R64+Inputs!AA64</f>
        <v>7003</v>
      </c>
      <c r="M7" s="48">
        <v>0</v>
      </c>
      <c r="N7" s="48">
        <f t="shared" si="4"/>
        <v>10529973.2618869</v>
      </c>
      <c r="O7" s="32">
        <f t="shared" si="5"/>
        <v>295882.4818868991</v>
      </c>
      <c r="P7" s="41">
        <f t="shared" si="6"/>
        <v>2.8911457622120006E-2</v>
      </c>
      <c r="Q7" s="12">
        <f t="shared" si="9"/>
        <v>2.8911457622120006E-2</v>
      </c>
      <c r="R7" s="134">
        <f t="shared" si="2"/>
        <v>87546443087.551178</v>
      </c>
      <c r="S7" s="134">
        <f t="shared" si="7"/>
        <v>579631.81275542639</v>
      </c>
      <c r="T7" s="134">
        <f t="shared" si="8"/>
        <v>335973038358.14166</v>
      </c>
      <c r="V7" t="s">
        <v>18</v>
      </c>
      <c r="W7">
        <v>0.91177381490667231</v>
      </c>
      <c r="AF7" s="105"/>
      <c r="AG7" s="105"/>
      <c r="AH7" s="105"/>
      <c r="AI7" s="105"/>
    </row>
    <row r="8" spans="1:35" x14ac:dyDescent="0.2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v>0</v>
      </c>
      <c r="F8" s="48">
        <f>Inputs!AI65</f>
        <v>5577432.2300000004</v>
      </c>
      <c r="G8" s="48">
        <f t="shared" si="3"/>
        <v>11447199.939999998</v>
      </c>
      <c r="H8" s="48">
        <f>'Weather Analysis'!E13</f>
        <v>42.5</v>
      </c>
      <c r="I8" s="48">
        <f>'Weather Analysis'!E32</f>
        <v>43.8</v>
      </c>
      <c r="J8" s="48">
        <v>30</v>
      </c>
      <c r="K8" s="110">
        <v>0</v>
      </c>
      <c r="L8" s="48">
        <f>Inputs!G65+Inputs!I65+Inputs!L65+Inputs!O65+Inputs!R65+Inputs!AA65</f>
        <v>7015</v>
      </c>
      <c r="M8" s="48">
        <v>0</v>
      </c>
      <c r="N8" s="48">
        <f t="shared" si="4"/>
        <v>11064915.81737788</v>
      </c>
      <c r="O8" s="32">
        <f t="shared" si="5"/>
        <v>-382284.1226221174</v>
      </c>
      <c r="P8" s="41">
        <f t="shared" si="6"/>
        <v>-3.3395426359794804E-2</v>
      </c>
      <c r="Q8" s="12">
        <f t="shared" si="9"/>
        <v>3.3395426359794804E-2</v>
      </c>
      <c r="R8" s="134">
        <f t="shared" si="2"/>
        <v>146141150408.9621</v>
      </c>
      <c r="S8" s="134">
        <f t="shared" si="7"/>
        <v>-678166.6045090165</v>
      </c>
      <c r="T8" s="134">
        <f t="shared" si="8"/>
        <v>459909943471.28882</v>
      </c>
      <c r="V8" t="s">
        <v>19</v>
      </c>
      <c r="W8">
        <v>393662.20742687286</v>
      </c>
      <c r="AF8" s="105"/>
      <c r="AG8" s="105"/>
      <c r="AH8" s="105"/>
      <c r="AI8" s="105"/>
    </row>
    <row r="9" spans="1:35" ht="13.5" thickBot="1" x14ac:dyDescent="0.25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v>0</v>
      </c>
      <c r="F9" s="48">
        <f>Inputs!AI66</f>
        <v>5180718.25</v>
      </c>
      <c r="G9" s="48">
        <f t="shared" si="3"/>
        <v>12653341.41</v>
      </c>
      <c r="H9" s="48">
        <f>'Weather Analysis'!E14</f>
        <v>4.4000000000000004</v>
      </c>
      <c r="I9" s="48">
        <f>'Weather Analysis'!E33</f>
        <v>109.1</v>
      </c>
      <c r="J9" s="48">
        <v>31</v>
      </c>
      <c r="K9" s="110">
        <v>0</v>
      </c>
      <c r="L9" s="48">
        <f>Inputs!G66+Inputs!I66+Inputs!L66+Inputs!O66+Inputs!R66+Inputs!AA66</f>
        <v>7029</v>
      </c>
      <c r="M9" s="48">
        <v>0</v>
      </c>
      <c r="N9" s="48">
        <f t="shared" si="4"/>
        <v>13247455.034612371</v>
      </c>
      <c r="O9" s="32">
        <f t="shared" si="5"/>
        <v>594113.62461237051</v>
      </c>
      <c r="P9" s="41">
        <f t="shared" si="6"/>
        <v>4.6953101584917285E-2</v>
      </c>
      <c r="Q9" s="12">
        <f t="shared" si="9"/>
        <v>4.6953101584917285E-2</v>
      </c>
      <c r="R9" s="134">
        <f t="shared" si="2"/>
        <v>352970998950.04871</v>
      </c>
      <c r="S9" s="134">
        <f t="shared" si="7"/>
        <v>976397.74723448791</v>
      </c>
      <c r="T9" s="134">
        <f t="shared" si="8"/>
        <v>953352560804.58289</v>
      </c>
      <c r="V9" s="112" t="s">
        <v>20</v>
      </c>
      <c r="W9" s="112">
        <v>102</v>
      </c>
      <c r="AF9" s="105"/>
      <c r="AG9" s="105"/>
      <c r="AH9" s="105"/>
      <c r="AI9" s="105"/>
    </row>
    <row r="10" spans="1:35" x14ac:dyDescent="0.2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v>0</v>
      </c>
      <c r="F10" s="48">
        <f>Inputs!AI67</f>
        <v>6210294.9700000007</v>
      </c>
      <c r="G10" s="48">
        <f t="shared" si="3"/>
        <v>14045928.409999998</v>
      </c>
      <c r="H10" s="48">
        <f>'Weather Analysis'!E15</f>
        <v>0.7</v>
      </c>
      <c r="I10" s="48">
        <f>'Weather Analysis'!E34</f>
        <v>124.20000000000002</v>
      </c>
      <c r="J10" s="48">
        <v>31</v>
      </c>
      <c r="K10" s="110">
        <v>0</v>
      </c>
      <c r="L10" s="48">
        <f>Inputs!G67+Inputs!I67+Inputs!L67+Inputs!O67+Inputs!R67+Inputs!AA67</f>
        <v>7045</v>
      </c>
      <c r="M10" s="48">
        <v>0</v>
      </c>
      <c r="N10" s="48">
        <f t="shared" si="4"/>
        <v>13696618.25498018</v>
      </c>
      <c r="O10" s="32">
        <f t="shared" si="5"/>
        <v>-349310.15501981787</v>
      </c>
      <c r="P10" s="41">
        <f t="shared" si="6"/>
        <v>-2.4869139641287542E-2</v>
      </c>
      <c r="Q10" s="12">
        <f t="shared" si="9"/>
        <v>2.4869139641287542E-2</v>
      </c>
      <c r="R10" s="134">
        <f t="shared" si="2"/>
        <v>122017584399.96919</v>
      </c>
      <c r="S10" s="134">
        <f t="shared" si="7"/>
        <v>-943423.77963218838</v>
      </c>
      <c r="T10" s="134">
        <f t="shared" si="8"/>
        <v>890048427975.48389</v>
      </c>
      <c r="AF10" s="105"/>
      <c r="AG10" s="105"/>
      <c r="AH10" s="105"/>
      <c r="AI10" s="105"/>
    </row>
    <row r="11" spans="1:35" ht="13.5" thickBot="1" x14ac:dyDescent="0.25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v>0</v>
      </c>
      <c r="F11" s="48">
        <f>Inputs!AI68</f>
        <v>5885963.6200000001</v>
      </c>
      <c r="G11" s="48">
        <f t="shared" si="3"/>
        <v>11329825.549999997</v>
      </c>
      <c r="H11" s="48">
        <f>'Weather Analysis'!E16</f>
        <v>40.9</v>
      </c>
      <c r="I11" s="48">
        <f>'Weather Analysis'!E35</f>
        <v>40.000000000000007</v>
      </c>
      <c r="J11" s="48">
        <v>30</v>
      </c>
      <c r="K11" s="110">
        <v>1</v>
      </c>
      <c r="L11" s="48">
        <f>Inputs!G68+Inputs!I68+Inputs!L68+Inputs!O68+Inputs!R68+Inputs!AA68</f>
        <v>7053</v>
      </c>
      <c r="M11" s="48">
        <v>0</v>
      </c>
      <c r="N11" s="48">
        <f t="shared" si="4"/>
        <v>10469203.609045343</v>
      </c>
      <c r="O11" s="32">
        <f t="shared" si="5"/>
        <v>-860621.94095465355</v>
      </c>
      <c r="P11" s="41">
        <f t="shared" si="6"/>
        <v>-7.5960740715434391E-2</v>
      </c>
      <c r="Q11" s="12">
        <f t="shared" si="9"/>
        <v>7.5960740715434391E-2</v>
      </c>
      <c r="R11" s="134">
        <f t="shared" si="2"/>
        <v>740670125252.55518</v>
      </c>
      <c r="S11" s="134">
        <f t="shared" si="7"/>
        <v>-511311.78593483567</v>
      </c>
      <c r="T11" s="134">
        <f t="shared" si="8"/>
        <v>261439742435.87122</v>
      </c>
      <c r="V11" t="s">
        <v>21</v>
      </c>
    </row>
    <row r="12" spans="1:35" x14ac:dyDescent="0.2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v>0</v>
      </c>
      <c r="F12" s="48">
        <f>Inputs!AI69</f>
        <v>5771228.2999999998</v>
      </c>
      <c r="G12" s="48">
        <f t="shared" si="3"/>
        <v>10272831.66</v>
      </c>
      <c r="H12" s="48">
        <f>'Weather Analysis'!E17</f>
        <v>212.90000000000003</v>
      </c>
      <c r="I12" s="48">
        <f>'Weather Analysis'!E36</f>
        <v>3.3</v>
      </c>
      <c r="J12" s="48">
        <v>31</v>
      </c>
      <c r="K12" s="110">
        <v>1</v>
      </c>
      <c r="L12" s="48">
        <f>Inputs!G69+Inputs!I69+Inputs!L69+Inputs!O69+Inputs!R69+Inputs!AA69</f>
        <v>7064</v>
      </c>
      <c r="M12" s="48">
        <v>0</v>
      </c>
      <c r="N12" s="48">
        <f t="shared" si="4"/>
        <v>10098675.658214344</v>
      </c>
      <c r="O12" s="32">
        <f t="shared" si="5"/>
        <v>-174156.00178565644</v>
      </c>
      <c r="P12" s="41">
        <f t="shared" si="6"/>
        <v>-1.6953066841714062E-2</v>
      </c>
      <c r="Q12" s="12">
        <f t="shared" si="9"/>
        <v>1.6953066841714062E-2</v>
      </c>
      <c r="R12" s="134">
        <f t="shared" si="2"/>
        <v>30330312957.965569</v>
      </c>
      <c r="S12" s="134">
        <f t="shared" si="7"/>
        <v>686465.93916899711</v>
      </c>
      <c r="T12" s="134">
        <f t="shared" si="8"/>
        <v>471235485639.17322</v>
      </c>
      <c r="V12" s="113"/>
      <c r="W12" s="113" t="s">
        <v>25</v>
      </c>
      <c r="X12" s="113" t="s">
        <v>26</v>
      </c>
      <c r="Y12" s="113" t="s">
        <v>27</v>
      </c>
      <c r="Z12" s="113" t="s">
        <v>28</v>
      </c>
      <c r="AA12" s="113" t="s">
        <v>29</v>
      </c>
    </row>
    <row r="13" spans="1:35" x14ac:dyDescent="0.2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v>0</v>
      </c>
      <c r="F13" s="48">
        <f>Inputs!AI70</f>
        <v>5639574.6100000003</v>
      </c>
      <c r="G13" s="48">
        <f t="shared" si="3"/>
        <v>10360075.34</v>
      </c>
      <c r="H13" s="48">
        <f>'Weather Analysis'!E18</f>
        <v>364.5</v>
      </c>
      <c r="I13" s="48">
        <f>'Weather Analysis'!E37</f>
        <v>0</v>
      </c>
      <c r="J13" s="48">
        <v>30</v>
      </c>
      <c r="K13" s="110">
        <v>0</v>
      </c>
      <c r="L13" s="48">
        <f>Inputs!G70+Inputs!I70+Inputs!L70+Inputs!O70+Inputs!R70+Inputs!AA70</f>
        <v>7067</v>
      </c>
      <c r="M13" s="48">
        <v>0</v>
      </c>
      <c r="N13" s="48">
        <f t="shared" si="4"/>
        <v>10442287.838143623</v>
      </c>
      <c r="O13" s="32">
        <f t="shared" si="5"/>
        <v>82212.498143622652</v>
      </c>
      <c r="P13" s="41">
        <f t="shared" si="6"/>
        <v>7.9355116102488351E-3</v>
      </c>
      <c r="Q13" s="12">
        <f t="shared" si="9"/>
        <v>7.9355116102488351E-3</v>
      </c>
      <c r="R13" s="134">
        <f t="shared" si="2"/>
        <v>6758894851.0151577</v>
      </c>
      <c r="S13" s="134">
        <f t="shared" si="7"/>
        <v>256368.49992927909</v>
      </c>
      <c r="T13" s="134">
        <f t="shared" si="8"/>
        <v>65724807755.98877</v>
      </c>
      <c r="V13" t="s">
        <v>22</v>
      </c>
      <c r="W13">
        <v>6</v>
      </c>
      <c r="X13">
        <v>162685088333119.69</v>
      </c>
      <c r="Y13">
        <v>27114181388853.281</v>
      </c>
      <c r="Z13">
        <v>174.96414153794936</v>
      </c>
      <c r="AA13">
        <v>4.551742521031481E-49</v>
      </c>
    </row>
    <row r="14" spans="1:35" x14ac:dyDescent="0.2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v>0</v>
      </c>
      <c r="F14" s="48">
        <f>Inputs!AI71</f>
        <v>4810039.24</v>
      </c>
      <c r="G14" s="48">
        <f t="shared" si="3"/>
        <v>11321735.149999999</v>
      </c>
      <c r="H14" s="48">
        <f>'Weather Analysis'!E19</f>
        <v>645.10000000000014</v>
      </c>
      <c r="I14" s="48">
        <f>'Weather Analysis'!E38</f>
        <v>0</v>
      </c>
      <c r="J14" s="48">
        <v>31</v>
      </c>
      <c r="K14" s="110">
        <v>0</v>
      </c>
      <c r="L14" s="48">
        <f>Inputs!G71+Inputs!I71+Inputs!L71+Inputs!O71+Inputs!R71+Inputs!AA71</f>
        <v>7085</v>
      </c>
      <c r="M14" s="48">
        <v>0</v>
      </c>
      <c r="N14" s="48">
        <f t="shared" si="4"/>
        <v>11306957.328978928</v>
      </c>
      <c r="O14" s="32">
        <f t="shared" si="5"/>
        <v>-14777.821021070704</v>
      </c>
      <c r="P14" s="41">
        <f t="shared" si="6"/>
        <v>-1.3052611481616143E-3</v>
      </c>
      <c r="Q14" s="12">
        <f t="shared" si="9"/>
        <v>1.3052611481616143E-3</v>
      </c>
      <c r="R14" s="134">
        <f t="shared" si="2"/>
        <v>218383994.13079917</v>
      </c>
      <c r="S14" s="134">
        <f t="shared" si="7"/>
        <v>-96990.319164693356</v>
      </c>
      <c r="T14" s="134">
        <f t="shared" si="8"/>
        <v>9407122011.6690826</v>
      </c>
      <c r="V14" t="s">
        <v>23</v>
      </c>
      <c r="W14">
        <v>95</v>
      </c>
      <c r="X14">
        <v>14722143687838.836</v>
      </c>
      <c r="Y14">
        <v>154969933556.19827</v>
      </c>
    </row>
    <row r="15" spans="1:35" ht="13.5" thickBot="1" x14ac:dyDescent="0.25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v>0</v>
      </c>
      <c r="F15" s="48">
        <f>Inputs!AI72</f>
        <v>5557435.2400000002</v>
      </c>
      <c r="G15" s="48">
        <f t="shared" si="3"/>
        <v>11607269.35</v>
      </c>
      <c r="H15" s="48">
        <f>'Weather Analysis'!F8</f>
        <v>605.4</v>
      </c>
      <c r="I15" s="48">
        <f>'Weather Analysis'!F27</f>
        <v>0</v>
      </c>
      <c r="J15" s="48">
        <v>31</v>
      </c>
      <c r="K15" s="110">
        <v>0</v>
      </c>
      <c r="L15" s="48">
        <f>Inputs!G72+Inputs!I72+Inputs!L72+Inputs!O72+Inputs!R72+Inputs!AA72</f>
        <v>7094</v>
      </c>
      <c r="M15" s="48">
        <v>0</v>
      </c>
      <c r="N15" s="48">
        <f t="shared" si="4"/>
        <v>11255603.00084273</v>
      </c>
      <c r="O15" s="32">
        <f t="shared" si="5"/>
        <v>-351666.34915727004</v>
      </c>
      <c r="P15" s="41">
        <f t="shared" si="6"/>
        <v>-3.0297078369881204E-2</v>
      </c>
      <c r="Q15" s="12">
        <f t="shared" si="9"/>
        <v>3.0297078369881204E-2</v>
      </c>
      <c r="R15" s="134">
        <f t="shared" si="2"/>
        <v>123669221129.60297</v>
      </c>
      <c r="S15" s="134">
        <f t="shared" si="7"/>
        <v>-336888.52813619934</v>
      </c>
      <c r="T15" s="134">
        <f t="shared" si="8"/>
        <v>113493880389.77478</v>
      </c>
      <c r="V15" s="112" t="s">
        <v>7</v>
      </c>
      <c r="W15" s="112">
        <v>101</v>
      </c>
      <c r="X15" s="112">
        <v>177407232020958.53</v>
      </c>
      <c r="Y15" s="112"/>
      <c r="Z15" s="112"/>
      <c r="AA15" s="112"/>
    </row>
    <row r="16" spans="1:35" ht="13.5" thickBot="1" x14ac:dyDescent="0.25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v>0</v>
      </c>
      <c r="F16" s="48">
        <f>Inputs!AI73</f>
        <v>5102756.04</v>
      </c>
      <c r="G16" s="48">
        <f t="shared" si="3"/>
        <v>10030269.460000001</v>
      </c>
      <c r="H16" s="48">
        <f>'Weather Analysis'!F9</f>
        <v>507.69999999999993</v>
      </c>
      <c r="I16" s="48">
        <f>'Weather Analysis'!F28</f>
        <v>0</v>
      </c>
      <c r="J16" s="48">
        <v>28</v>
      </c>
      <c r="K16" s="110">
        <v>0</v>
      </c>
      <c r="L16" s="48">
        <f>Inputs!G73+Inputs!I73+Inputs!L73+Inputs!O73+Inputs!R73+Inputs!AA73</f>
        <v>7111</v>
      </c>
      <c r="M16" s="48">
        <v>0</v>
      </c>
      <c r="N16" s="48">
        <f t="shared" si="4"/>
        <v>10017901.863162447</v>
      </c>
      <c r="O16" s="32">
        <f t="shared" si="5"/>
        <v>-12367.596837554127</v>
      </c>
      <c r="P16" s="41">
        <f t="shared" si="6"/>
        <v>-1.2330273764703152E-3</v>
      </c>
      <c r="Q16" s="12">
        <f t="shared" si="9"/>
        <v>1.2330273764703152E-3</v>
      </c>
      <c r="R16" s="134">
        <f t="shared" si="2"/>
        <v>152957451.53627884</v>
      </c>
      <c r="S16" s="134">
        <f t="shared" si="7"/>
        <v>339298.75231971592</v>
      </c>
      <c r="T16" s="134">
        <f t="shared" si="8"/>
        <v>115123643325.71593</v>
      </c>
    </row>
    <row r="17" spans="1:30" x14ac:dyDescent="0.2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v>0</v>
      </c>
      <c r="F17" s="48">
        <f>Inputs!AI74</f>
        <v>5617340.25</v>
      </c>
      <c r="G17" s="48">
        <f t="shared" si="3"/>
        <v>11045373.5</v>
      </c>
      <c r="H17" s="48">
        <f>'Weather Analysis'!F10</f>
        <v>568.4</v>
      </c>
      <c r="I17" s="48">
        <f>'Weather Analysis'!F29</f>
        <v>0</v>
      </c>
      <c r="J17" s="48">
        <v>31</v>
      </c>
      <c r="K17" s="110">
        <v>1</v>
      </c>
      <c r="L17" s="48">
        <f>Inputs!G74+Inputs!I74+Inputs!L74+Inputs!O74+Inputs!R74+Inputs!AA74</f>
        <v>7115</v>
      </c>
      <c r="M17" s="48">
        <v>0</v>
      </c>
      <c r="N17" s="48">
        <f t="shared" si="4"/>
        <v>10680957.099657742</v>
      </c>
      <c r="O17" s="32">
        <f t="shared" si="5"/>
        <v>-364416.40034225769</v>
      </c>
      <c r="P17" s="41">
        <f t="shared" si="6"/>
        <v>-3.2992673388750296E-2</v>
      </c>
      <c r="Q17" s="12">
        <f t="shared" si="9"/>
        <v>3.2992673388750296E-2</v>
      </c>
      <c r="R17" s="134">
        <f t="shared" si="2"/>
        <v>132799312838.40863</v>
      </c>
      <c r="S17" s="134">
        <f t="shared" si="7"/>
        <v>-352048.80350470357</v>
      </c>
      <c r="T17" s="134">
        <f t="shared" si="8"/>
        <v>123938360049.09338</v>
      </c>
      <c r="V17" s="113"/>
      <c r="W17" s="113" t="s">
        <v>30</v>
      </c>
      <c r="X17" s="113" t="s">
        <v>19</v>
      </c>
      <c r="Y17" s="113" t="s">
        <v>31</v>
      </c>
      <c r="Z17" s="113" t="s">
        <v>32</v>
      </c>
      <c r="AA17" s="113" t="s">
        <v>33</v>
      </c>
      <c r="AB17" s="113" t="s">
        <v>34</v>
      </c>
      <c r="AC17" s="113" t="s">
        <v>145</v>
      </c>
      <c r="AD17" s="113" t="s">
        <v>146</v>
      </c>
    </row>
    <row r="18" spans="1:30" x14ac:dyDescent="0.2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v>0</v>
      </c>
      <c r="F18" s="48">
        <f>Inputs!AI75</f>
        <v>4773442.13</v>
      </c>
      <c r="G18" s="48">
        <f t="shared" si="3"/>
        <v>9389596.7699999996</v>
      </c>
      <c r="H18" s="48">
        <f>'Weather Analysis'!F11</f>
        <v>255.80000000000004</v>
      </c>
      <c r="I18" s="48">
        <f>'Weather Analysis'!F30</f>
        <v>0</v>
      </c>
      <c r="J18" s="48">
        <v>30</v>
      </c>
      <c r="K18" s="110">
        <v>1</v>
      </c>
      <c r="L18" s="48">
        <f>Inputs!G75+Inputs!I75+Inputs!L75+Inputs!O75+Inputs!R75+Inputs!AA75</f>
        <v>7119</v>
      </c>
      <c r="M18" s="48">
        <v>0</v>
      </c>
      <c r="N18" s="48">
        <f t="shared" si="4"/>
        <v>9799118.3980344962</v>
      </c>
      <c r="O18" s="32">
        <f t="shared" si="5"/>
        <v>409521.62803449668</v>
      </c>
      <c r="P18" s="41">
        <f t="shared" si="6"/>
        <v>4.3614399858248297E-2</v>
      </c>
      <c r="Q18" s="12">
        <f t="shared" si="9"/>
        <v>4.3614399858248297E-2</v>
      </c>
      <c r="R18" s="134">
        <f t="shared" si="2"/>
        <v>167707963828.02466</v>
      </c>
      <c r="S18" s="134">
        <f t="shared" si="7"/>
        <v>773938.02837675437</v>
      </c>
      <c r="T18" s="134">
        <f t="shared" si="8"/>
        <v>598980071767.69788</v>
      </c>
      <c r="V18" t="s">
        <v>24</v>
      </c>
      <c r="W18">
        <v>-12803564.270766333</v>
      </c>
      <c r="X18">
        <v>1644000.6625201057</v>
      </c>
      <c r="Y18">
        <v>-7.7880529872412678</v>
      </c>
      <c r="Z18">
        <v>8.396903753491296E-12</v>
      </c>
      <c r="AA18">
        <v>-16067318.235798076</v>
      </c>
      <c r="AB18">
        <v>-9539810.3057345897</v>
      </c>
      <c r="AC18">
        <v>-16067318.235798076</v>
      </c>
      <c r="AD18">
        <v>-9539810.3057345897</v>
      </c>
    </row>
    <row r="19" spans="1:30" x14ac:dyDescent="0.2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v>0</v>
      </c>
      <c r="F19" s="48">
        <f>Inputs!AI76</f>
        <v>5302041.82</v>
      </c>
      <c r="G19" s="48">
        <f t="shared" si="3"/>
        <v>9971542.3200000003</v>
      </c>
      <c r="H19" s="48">
        <f>'Weather Analysis'!F12</f>
        <v>194.60000000000002</v>
      </c>
      <c r="I19" s="48">
        <f>'Weather Analysis'!F31</f>
        <v>7.3</v>
      </c>
      <c r="J19" s="48">
        <v>31</v>
      </c>
      <c r="K19" s="110">
        <v>1</v>
      </c>
      <c r="L19" s="48">
        <f>Inputs!G76+Inputs!I76+Inputs!L76+Inputs!O76+Inputs!R76+Inputs!AA76</f>
        <v>7125</v>
      </c>
      <c r="M19" s="48">
        <v>0</v>
      </c>
      <c r="N19" s="48">
        <f t="shared" si="4"/>
        <v>10282054.946235983</v>
      </c>
      <c r="O19" s="32">
        <f t="shared" si="5"/>
        <v>310512.6262359824</v>
      </c>
      <c r="P19" s="41">
        <f t="shared" si="6"/>
        <v>3.113987949619236E-2</v>
      </c>
      <c r="Q19" s="12">
        <f t="shared" si="9"/>
        <v>3.113987949619236E-2</v>
      </c>
      <c r="R19" s="134">
        <f t="shared" si="2"/>
        <v>96418091051.966904</v>
      </c>
      <c r="S19" s="134">
        <f t="shared" si="7"/>
        <v>-99009.001798514277</v>
      </c>
      <c r="T19" s="134">
        <f t="shared" si="8"/>
        <v>9802782437.1382027</v>
      </c>
      <c r="V19" t="s">
        <v>2</v>
      </c>
      <c r="W19">
        <v>1665.9930336606003</v>
      </c>
      <c r="X19">
        <v>284.93790605751786</v>
      </c>
      <c r="Y19">
        <v>5.8468634682964966</v>
      </c>
      <c r="Z19">
        <v>7.0488037861829638E-8</v>
      </c>
      <c r="AA19">
        <v>1100.3197697231578</v>
      </c>
      <c r="AB19">
        <v>2231.6662975980425</v>
      </c>
      <c r="AC19">
        <v>1100.3197697231578</v>
      </c>
      <c r="AD19">
        <v>2231.6662975980425</v>
      </c>
    </row>
    <row r="20" spans="1:30" x14ac:dyDescent="0.2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v>0</v>
      </c>
      <c r="F20" s="48">
        <f>Inputs!AI77</f>
        <v>5243059.6900000004</v>
      </c>
      <c r="G20" s="48">
        <f t="shared" si="3"/>
        <v>11231673.719999999</v>
      </c>
      <c r="H20" s="48">
        <f>'Weather Analysis'!F13</f>
        <v>37.400000000000006</v>
      </c>
      <c r="I20" s="48">
        <f>'Weather Analysis'!F32</f>
        <v>59.6</v>
      </c>
      <c r="J20" s="48">
        <v>30</v>
      </c>
      <c r="K20" s="110">
        <v>0</v>
      </c>
      <c r="L20" s="48">
        <f>Inputs!G77+Inputs!I77+Inputs!L77+Inputs!O77+Inputs!R77+Inputs!AA77</f>
        <v>7136</v>
      </c>
      <c r="M20" s="48">
        <v>0</v>
      </c>
      <c r="N20" s="48">
        <f t="shared" si="4"/>
        <v>11704134.618557587</v>
      </c>
      <c r="O20" s="32">
        <f t="shared" si="5"/>
        <v>472460.89855758846</v>
      </c>
      <c r="P20" s="41">
        <f t="shared" si="6"/>
        <v>4.2065048392234503E-2</v>
      </c>
      <c r="Q20" s="12">
        <f t="shared" si="9"/>
        <v>4.2065048392234503E-2</v>
      </c>
      <c r="R20" s="134">
        <f t="shared" si="2"/>
        <v>223219300665.8439</v>
      </c>
      <c r="S20" s="134">
        <f t="shared" si="7"/>
        <v>161948.27232160605</v>
      </c>
      <c r="T20" s="134">
        <f t="shared" si="8"/>
        <v>26227242907.953075</v>
      </c>
      <c r="V20" t="s">
        <v>3</v>
      </c>
      <c r="W20">
        <v>28413.370320302682</v>
      </c>
      <c r="X20">
        <v>2085.6310178366339</v>
      </c>
      <c r="Y20">
        <v>13.623392669799793</v>
      </c>
      <c r="Z20">
        <v>4.5432731384310413E-24</v>
      </c>
      <c r="AA20">
        <v>24272.869249200314</v>
      </c>
      <c r="AB20">
        <v>32553.87139140505</v>
      </c>
      <c r="AC20">
        <v>24272.869249200314</v>
      </c>
      <c r="AD20">
        <v>32553.87139140505</v>
      </c>
    </row>
    <row r="21" spans="1:30" x14ac:dyDescent="0.2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v>0</v>
      </c>
      <c r="F21" s="48">
        <f>Inputs!AI78</f>
        <v>4591849.6399999997</v>
      </c>
      <c r="G21" s="48">
        <f t="shared" si="3"/>
        <v>12239047.559999999</v>
      </c>
      <c r="H21" s="48">
        <f>'Weather Analysis'!F14</f>
        <v>0.8</v>
      </c>
      <c r="I21" s="48">
        <f>'Weather Analysis'!F33</f>
        <v>78.300000000000011</v>
      </c>
      <c r="J21" s="48">
        <v>31</v>
      </c>
      <c r="K21" s="110">
        <v>0</v>
      </c>
      <c r="L21" s="48">
        <f>Inputs!G78+Inputs!I78+Inputs!L78+Inputs!O78+Inputs!R78+Inputs!AA78</f>
        <v>7145</v>
      </c>
      <c r="M21" s="48">
        <v>0</v>
      </c>
      <c r="N21" s="48">
        <f t="shared" si="4"/>
        <v>12556895.548805285</v>
      </c>
      <c r="O21" s="32">
        <f t="shared" si="5"/>
        <v>317847.98880528659</v>
      </c>
      <c r="P21" s="41">
        <f t="shared" si="6"/>
        <v>2.5969993763574086E-2</v>
      </c>
      <c r="Q21" s="12">
        <f t="shared" si="9"/>
        <v>2.5969993763574086E-2</v>
      </c>
      <c r="R21" s="134">
        <f t="shared" si="2"/>
        <v>101027343987.56558</v>
      </c>
      <c r="S21" s="134">
        <f t="shared" si="7"/>
        <v>-154612.90975230187</v>
      </c>
      <c r="T21" s="134">
        <f t="shared" si="8"/>
        <v>23905151862.073444</v>
      </c>
      <c r="V21" t="s">
        <v>90</v>
      </c>
      <c r="W21">
        <v>367620.65498988703</v>
      </c>
      <c r="X21">
        <v>51313.33535345384</v>
      </c>
      <c r="Y21">
        <v>7.1642323083787405</v>
      </c>
      <c r="Z21">
        <v>1.6617396792102193E-10</v>
      </c>
      <c r="AA21">
        <v>265750.80448622868</v>
      </c>
      <c r="AB21">
        <v>469490.50549354538</v>
      </c>
      <c r="AC21">
        <v>265750.80448622868</v>
      </c>
      <c r="AD21">
        <v>469490.50549354538</v>
      </c>
    </row>
    <row r="22" spans="1:30" x14ac:dyDescent="0.2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v>0</v>
      </c>
      <c r="F22" s="48">
        <f>Inputs!AI79</f>
        <v>5030992.41</v>
      </c>
      <c r="G22" s="48">
        <f t="shared" si="3"/>
        <v>11969958.379999999</v>
      </c>
      <c r="H22" s="48">
        <f>'Weather Analysis'!F15</f>
        <v>23.500000000000004</v>
      </c>
      <c r="I22" s="48">
        <f>'Weather Analysis'!F34</f>
        <v>43.300000000000004</v>
      </c>
      <c r="J22" s="48">
        <v>31</v>
      </c>
      <c r="K22" s="110">
        <v>0</v>
      </c>
      <c r="L22" s="48">
        <f>Inputs!G79+Inputs!I79+Inputs!L79+Inputs!O79+Inputs!R79+Inputs!AA79</f>
        <v>7160</v>
      </c>
      <c r="M22" s="48">
        <v>0</v>
      </c>
      <c r="N22" s="48">
        <f t="shared" si="4"/>
        <v>11624888.288292332</v>
      </c>
      <c r="O22" s="32">
        <f t="shared" si="5"/>
        <v>-345070.09170766734</v>
      </c>
      <c r="P22" s="41">
        <f t="shared" si="6"/>
        <v>-2.8828010988261044E-2</v>
      </c>
      <c r="Q22" s="12">
        <f t="shared" si="9"/>
        <v>2.8828010988261044E-2</v>
      </c>
      <c r="R22" s="134">
        <f t="shared" si="2"/>
        <v>119073368191.13794</v>
      </c>
      <c r="S22" s="134">
        <f t="shared" si="7"/>
        <v>-662918.08051295392</v>
      </c>
      <c r="T22" s="134">
        <f t="shared" si="8"/>
        <v>439460381470.97925</v>
      </c>
      <c r="V22" t="s">
        <v>13</v>
      </c>
      <c r="W22">
        <v>-547503.88130650786</v>
      </c>
      <c r="X22">
        <v>105572.34604493718</v>
      </c>
      <c r="Y22">
        <v>-5.186053941374583</v>
      </c>
      <c r="Z22">
        <v>1.2106007228126523E-6</v>
      </c>
      <c r="AA22">
        <v>-757091.48723464902</v>
      </c>
      <c r="AB22">
        <v>-337916.2753783667</v>
      </c>
      <c r="AC22">
        <v>-757091.48723464902</v>
      </c>
      <c r="AD22">
        <v>-337916.2753783667</v>
      </c>
    </row>
    <row r="23" spans="1:30" x14ac:dyDescent="0.2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v>0</v>
      </c>
      <c r="F23" s="48">
        <f>Inputs!AI80</f>
        <v>4528421.4700000007</v>
      </c>
      <c r="G23" s="48">
        <f t="shared" si="3"/>
        <v>10859252.779999999</v>
      </c>
      <c r="H23" s="48">
        <f>'Weather Analysis'!F16</f>
        <v>71.399999999999991</v>
      </c>
      <c r="I23" s="48">
        <f>'Weather Analysis'!F35</f>
        <v>52.9</v>
      </c>
      <c r="J23" s="48">
        <v>30</v>
      </c>
      <c r="K23" s="110">
        <v>1</v>
      </c>
      <c r="L23" s="48">
        <f>Inputs!G80+Inputs!I80+Inputs!L80+Inputs!O80+Inputs!R80+Inputs!AA80</f>
        <v>7167</v>
      </c>
      <c r="M23" s="48">
        <v>0</v>
      </c>
      <c r="N23" s="48">
        <f t="shared" si="4"/>
        <v>11073833.080838837</v>
      </c>
      <c r="O23" s="32">
        <f t="shared" si="5"/>
        <v>214580.3008388374</v>
      </c>
      <c r="P23" s="41">
        <f t="shared" si="6"/>
        <v>1.9760134991427782E-2</v>
      </c>
      <c r="Q23" s="12">
        <f t="shared" si="9"/>
        <v>1.9760134991427782E-2</v>
      </c>
      <c r="R23" s="134">
        <f t="shared" si="2"/>
        <v>46044705508.08596</v>
      </c>
      <c r="S23" s="134">
        <f t="shared" si="7"/>
        <v>559650.39254650474</v>
      </c>
      <c r="T23" s="134">
        <f t="shared" si="8"/>
        <v>313208561877.45685</v>
      </c>
      <c r="V23" t="s">
        <v>104</v>
      </c>
      <c r="W23">
        <v>1642.8439222363177</v>
      </c>
      <c r="X23">
        <v>81.474539548989767</v>
      </c>
      <c r="Y23">
        <v>20.163893301274729</v>
      </c>
      <c r="Z23">
        <v>4.2864400840135886E-36</v>
      </c>
      <c r="AA23">
        <v>1481.0965108365374</v>
      </c>
      <c r="AB23">
        <v>1804.5913336360979</v>
      </c>
      <c r="AC23">
        <v>1481.0965108365374</v>
      </c>
      <c r="AD23">
        <v>1804.5913336360979</v>
      </c>
    </row>
    <row r="24" spans="1:30" ht="13.5" thickBot="1" x14ac:dyDescent="0.25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v>0</v>
      </c>
      <c r="F24" s="48">
        <f>Inputs!AI81</f>
        <v>4675331.34</v>
      </c>
      <c r="G24" s="48">
        <f t="shared" si="3"/>
        <v>10276033.219999999</v>
      </c>
      <c r="H24" s="48">
        <f>'Weather Analysis'!F17</f>
        <v>184.39999999999998</v>
      </c>
      <c r="I24" s="48">
        <f>'Weather Analysis'!F36</f>
        <v>4.6000000000000005</v>
      </c>
      <c r="J24" s="48">
        <v>31</v>
      </c>
      <c r="K24" s="110">
        <v>1</v>
      </c>
      <c r="L24" s="48">
        <f>Inputs!G81+Inputs!I81+Inputs!L81+Inputs!O81+Inputs!R81+Inputs!AA81</f>
        <v>7177</v>
      </c>
      <c r="M24" s="48">
        <v>0</v>
      </c>
      <c r="N24" s="48">
        <f t="shared" si="4"/>
        <v>10273773.601384114</v>
      </c>
      <c r="O24" s="32">
        <f t="shared" si="5"/>
        <v>-2259.6186158843338</v>
      </c>
      <c r="P24" s="41">
        <f t="shared" si="6"/>
        <v>-2.198921089011752E-4</v>
      </c>
      <c r="Q24" s="12">
        <f t="shared" si="9"/>
        <v>2.198921089011752E-4</v>
      </c>
      <c r="R24" s="134">
        <f t="shared" si="2"/>
        <v>5105876.2892510323</v>
      </c>
      <c r="S24" s="134">
        <f t="shared" si="7"/>
        <v>-216839.91945472173</v>
      </c>
      <c r="T24" s="134">
        <f t="shared" si="8"/>
        <v>47019550669.130211</v>
      </c>
      <c r="V24" s="112" t="s">
        <v>114</v>
      </c>
      <c r="W24" s="112">
        <v>-1622569.9477690179</v>
      </c>
      <c r="X24" s="112">
        <v>285432.78807254956</v>
      </c>
      <c r="Y24" s="112">
        <v>-5.6845955180054615</v>
      </c>
      <c r="Z24" s="112">
        <v>1.437213309788425E-7</v>
      </c>
      <c r="AA24" s="112">
        <v>-2189225.6767234188</v>
      </c>
      <c r="AB24" s="112">
        <v>-1055914.218814617</v>
      </c>
      <c r="AC24" s="112">
        <v>-2189225.6767234188</v>
      </c>
      <c r="AD24" s="112">
        <v>-1055914.218814617</v>
      </c>
    </row>
    <row r="25" spans="1:30" x14ac:dyDescent="0.2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v>0</v>
      </c>
      <c r="F25" s="48">
        <f>Inputs!AI82</f>
        <v>4727682.0600000005</v>
      </c>
      <c r="G25" s="48">
        <f t="shared" si="3"/>
        <v>10525579.159999998</v>
      </c>
      <c r="H25" s="48">
        <f>'Weather Analysis'!F18</f>
        <v>447.5</v>
      </c>
      <c r="I25" s="48">
        <f>'Weather Analysis'!F37</f>
        <v>0</v>
      </c>
      <c r="J25" s="48">
        <v>30</v>
      </c>
      <c r="K25" s="110">
        <v>0</v>
      </c>
      <c r="L25" s="48">
        <f>Inputs!G82+Inputs!I82+Inputs!L82+Inputs!O82+Inputs!R82+Inputs!AA82</f>
        <v>7191</v>
      </c>
      <c r="M25" s="48">
        <v>0</v>
      </c>
      <c r="N25" s="48">
        <f t="shared" si="4"/>
        <v>10784277.906294756</v>
      </c>
      <c r="O25" s="32">
        <f t="shared" si="5"/>
        <v>258698.74629475735</v>
      </c>
      <c r="P25" s="41">
        <f t="shared" si="6"/>
        <v>2.4578100868585116E-2</v>
      </c>
      <c r="Q25" s="12">
        <f t="shared" si="9"/>
        <v>2.4578100868585116E-2</v>
      </c>
      <c r="R25" s="134">
        <f t="shared" si="2"/>
        <v>66925041334.479233</v>
      </c>
      <c r="S25" s="134">
        <f t="shared" si="7"/>
        <v>260958.36491064169</v>
      </c>
      <c r="T25" s="134">
        <f t="shared" si="8"/>
        <v>68099268216.835625</v>
      </c>
    </row>
    <row r="26" spans="1:30" x14ac:dyDescent="0.2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v>0</v>
      </c>
      <c r="F26" s="48">
        <f>Inputs!AI83</f>
        <v>3893203.5300000003</v>
      </c>
      <c r="G26" s="48">
        <f t="shared" si="3"/>
        <v>11448308.73</v>
      </c>
      <c r="H26" s="48">
        <f>'Weather Analysis'!F19</f>
        <v>730</v>
      </c>
      <c r="I26" s="48">
        <f>'Weather Analysis'!F38</f>
        <v>0</v>
      </c>
      <c r="J26" s="48">
        <v>31</v>
      </c>
      <c r="K26" s="110">
        <v>0</v>
      </c>
      <c r="L26" s="48">
        <f>Inputs!G83+Inputs!I83+Inputs!L83+Inputs!O83+Inputs!R83+Inputs!AA83</f>
        <v>7190</v>
      </c>
      <c r="M26" s="48">
        <v>0</v>
      </c>
      <c r="N26" s="48">
        <f t="shared" si="4"/>
        <v>11620898.749371529</v>
      </c>
      <c r="O26" s="32">
        <f t="shared" si="5"/>
        <v>172590.01937152818</v>
      </c>
      <c r="P26" s="41">
        <f t="shared" si="6"/>
        <v>1.5075590940281025E-2</v>
      </c>
      <c r="Q26" s="12">
        <f t="shared" si="9"/>
        <v>1.5075590940281025E-2</v>
      </c>
      <c r="R26" s="134">
        <f t="shared" si="2"/>
        <v>29787314786.664471</v>
      </c>
      <c r="S26" s="134">
        <f t="shared" si="7"/>
        <v>-86108.726923229173</v>
      </c>
      <c r="T26" s="134">
        <f t="shared" si="8"/>
        <v>7414712852.3392525</v>
      </c>
    </row>
    <row r="27" spans="1:30" x14ac:dyDescent="0.2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v>0</v>
      </c>
      <c r="F27" s="48">
        <f>Inputs!AI84</f>
        <v>4832859.3899999997</v>
      </c>
      <c r="G27" s="48">
        <f t="shared" si="3"/>
        <v>12096568.779999994</v>
      </c>
      <c r="H27" s="48">
        <f>'Weather Analysis'!G8</f>
        <v>764.80000000000007</v>
      </c>
      <c r="I27" s="48">
        <f>'Weather Analysis'!G27</f>
        <v>0</v>
      </c>
      <c r="J27" s="48">
        <v>31</v>
      </c>
      <c r="K27" s="110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11693660.902243044</v>
      </c>
      <c r="O27" s="32">
        <f t="shared" si="5"/>
        <v>-402907.87775694951</v>
      </c>
      <c r="P27" s="41">
        <f t="shared" si="6"/>
        <v>-3.3307616819663939E-2</v>
      </c>
      <c r="Q27" s="12">
        <f t="shared" si="9"/>
        <v>3.3307616819663939E-2</v>
      </c>
      <c r="R27" s="134">
        <f t="shared" si="2"/>
        <v>162334757958.60898</v>
      </c>
      <c r="S27" s="134">
        <f t="shared" si="7"/>
        <v>-575497.89712847769</v>
      </c>
      <c r="T27" s="134">
        <f t="shared" si="8"/>
        <v>331197829599.29987</v>
      </c>
    </row>
    <row r="28" spans="1:30" x14ac:dyDescent="0.2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v>0</v>
      </c>
      <c r="F28" s="48">
        <f>Inputs!AI85</f>
        <v>4439150.66</v>
      </c>
      <c r="G28" s="48">
        <f t="shared" si="3"/>
        <v>10552431.76</v>
      </c>
      <c r="H28" s="48">
        <f>'Weather Analysis'!G9</f>
        <v>585</v>
      </c>
      <c r="I28" s="48">
        <f>'Weather Analysis'!G28</f>
        <v>0</v>
      </c>
      <c r="J28" s="48">
        <v>28</v>
      </c>
      <c r="K28" s="110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10296181.921587916</v>
      </c>
      <c r="O28" s="32">
        <f t="shared" si="5"/>
        <v>-256249.83841208369</v>
      </c>
      <c r="P28" s="41">
        <f t="shared" si="6"/>
        <v>-2.4283486900471905E-2</v>
      </c>
      <c r="Q28" s="12">
        <f t="shared" si="9"/>
        <v>2.4283486900471905E-2</v>
      </c>
      <c r="R28" s="134">
        <f t="shared" si="2"/>
        <v>65663979686.219002</v>
      </c>
      <c r="S28" s="134">
        <f t="shared" si="7"/>
        <v>146658.03934486583</v>
      </c>
      <c r="T28" s="134">
        <f t="shared" si="8"/>
        <v>21508580504.480213</v>
      </c>
      <c r="V28" t="s">
        <v>136</v>
      </c>
      <c r="W28" s="143">
        <f>T87</f>
        <v>16443198714941.961</v>
      </c>
    </row>
    <row r="29" spans="1:30" x14ac:dyDescent="0.2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v>0</v>
      </c>
      <c r="F29" s="48">
        <f>Inputs!AI86</f>
        <v>4732142.5600000005</v>
      </c>
      <c r="G29" s="48">
        <f t="shared" si="3"/>
        <v>11295312.890000001</v>
      </c>
      <c r="H29" s="48">
        <f>'Weather Analysis'!G10</f>
        <v>591.50000000000011</v>
      </c>
      <c r="I29" s="48">
        <f>'Weather Analysis'!G29</f>
        <v>0</v>
      </c>
      <c r="J29" s="48">
        <v>31</v>
      </c>
      <c r="K29" s="110">
        <v>1</v>
      </c>
      <c r="L29" s="48">
        <f>Inputs!G86+Inputs!I86+Inputs!L86+Inputs!O86+Inputs!R86+Inputs!AA86</f>
        <v>7212</v>
      </c>
      <c r="M29" s="48">
        <v>0</v>
      </c>
      <c r="N29" s="48">
        <f t="shared" si="4"/>
        <v>10878797.399192223</v>
      </c>
      <c r="O29" s="32">
        <f t="shared" si="5"/>
        <v>-416515.49080777727</v>
      </c>
      <c r="P29" s="41">
        <f t="shared" si="6"/>
        <v>-3.6875073303770801E-2</v>
      </c>
      <c r="Q29" s="12">
        <f t="shared" si="9"/>
        <v>3.6875073303770801E-2</v>
      </c>
      <c r="R29" s="134">
        <f t="shared" si="2"/>
        <v>173485154082.8436</v>
      </c>
      <c r="S29" s="134">
        <f t="shared" si="7"/>
        <v>-160265.65239569359</v>
      </c>
      <c r="T29" s="134">
        <f t="shared" si="8"/>
        <v>25685079337.817284</v>
      </c>
      <c r="V29" t="s">
        <v>137</v>
      </c>
      <c r="W29" s="143">
        <f>R87</f>
        <v>12466481141460.676</v>
      </c>
    </row>
    <row r="30" spans="1:30" x14ac:dyDescent="0.2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v>0</v>
      </c>
      <c r="F30" s="48">
        <f>Inputs!AI87</f>
        <v>4436095.1500000004</v>
      </c>
      <c r="G30" s="48">
        <f t="shared" si="3"/>
        <v>10410325.170000002</v>
      </c>
      <c r="H30" s="48">
        <f>'Weather Analysis'!G11</f>
        <v>454.2000000000001</v>
      </c>
      <c r="I30" s="48">
        <f>'Weather Analysis'!G30</f>
        <v>0</v>
      </c>
      <c r="J30" s="48">
        <v>30</v>
      </c>
      <c r="K30" s="110">
        <v>1</v>
      </c>
      <c r="L30" s="48">
        <f>Inputs!G87+Inputs!I87+Inputs!L87+Inputs!O87+Inputs!R87+Inputs!AA87</f>
        <v>7220</v>
      </c>
      <c r="M30" s="48">
        <v>0</v>
      </c>
      <c r="N30" s="48">
        <f t="shared" si="4"/>
        <v>10295578.652058629</v>
      </c>
      <c r="O30" s="32">
        <f t="shared" si="5"/>
        <v>-114746.51794137247</v>
      </c>
      <c r="P30" s="41">
        <f t="shared" si="6"/>
        <v>-1.1022375964974056E-2</v>
      </c>
      <c r="Q30" s="12">
        <f t="shared" si="9"/>
        <v>1.1022375964974056E-2</v>
      </c>
      <c r="R30" s="134">
        <f t="shared" si="2"/>
        <v>13166763379.669714</v>
      </c>
      <c r="S30" s="134">
        <f t="shared" si="7"/>
        <v>301768.9728664048</v>
      </c>
      <c r="T30" s="134">
        <f t="shared" si="8"/>
        <v>91064512984.844955</v>
      </c>
    </row>
    <row r="31" spans="1:30" x14ac:dyDescent="0.2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v>0</v>
      </c>
      <c r="F31" s="48">
        <f>Inputs!AI88</f>
        <v>4637784.51</v>
      </c>
      <c r="G31" s="48">
        <f t="shared" si="3"/>
        <v>10791383.969999999</v>
      </c>
      <c r="H31" s="48">
        <f>'Weather Analysis'!G12</f>
        <v>83.5</v>
      </c>
      <c r="I31" s="48">
        <f>'Weather Analysis'!G31</f>
        <v>36.900000000000006</v>
      </c>
      <c r="J31" s="48">
        <v>31</v>
      </c>
      <c r="K31" s="110">
        <v>1</v>
      </c>
      <c r="L31" s="48">
        <f>Inputs!G88+Inputs!I88+Inputs!L88+Inputs!O88+Inputs!R88+Inputs!AA88</f>
        <v>7230</v>
      </c>
      <c r="M31" s="48">
        <v>0</v>
      </c>
      <c r="N31" s="48">
        <f t="shared" si="4"/>
        <v>11110497.493512062</v>
      </c>
      <c r="O31" s="32">
        <f t="shared" si="5"/>
        <v>319113.52351206355</v>
      </c>
      <c r="P31" s="41">
        <f t="shared" si="6"/>
        <v>2.9571139753640292E-2</v>
      </c>
      <c r="Q31" s="12">
        <f t="shared" ref="Q31:Q86" si="10">ABS(P31)</f>
        <v>2.9571139753640292E-2</v>
      </c>
      <c r="R31" s="134">
        <f t="shared" si="2"/>
        <v>101833440888.28433</v>
      </c>
      <c r="S31" s="134">
        <f t="shared" si="7"/>
        <v>433860.04145343602</v>
      </c>
      <c r="T31" s="134">
        <f t="shared" si="8"/>
        <v>188234535569.97723</v>
      </c>
      <c r="V31" t="s">
        <v>138</v>
      </c>
      <c r="W31" s="156">
        <f>W28/W29</f>
        <v>1.3189927878088732</v>
      </c>
    </row>
    <row r="32" spans="1:30" x14ac:dyDescent="0.2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ref="D32:D95" si="11">B32+C32</f>
        <v>15934792.240000002</v>
      </c>
      <c r="E32" s="48">
        <v>0</v>
      </c>
      <c r="F32" s="48">
        <f>Inputs!AI89</f>
        <v>4343244.7</v>
      </c>
      <c r="G32" s="48">
        <f t="shared" si="3"/>
        <v>11591547.540000003</v>
      </c>
      <c r="H32" s="48">
        <f>'Weather Analysis'!G13</f>
        <v>22.600000000000005</v>
      </c>
      <c r="I32" s="48">
        <f>'Weather Analysis'!G32</f>
        <v>45.9</v>
      </c>
      <c r="J32" s="48">
        <v>30</v>
      </c>
      <c r="K32" s="110">
        <v>0</v>
      </c>
      <c r="L32" s="48">
        <f>Inputs!G89+Inputs!I89+Inputs!L89+Inputs!O89+Inputs!R89+Inputs!AA89</f>
        <v>7247</v>
      </c>
      <c r="M32" s="48">
        <v>0</v>
      </c>
      <c r="N32" s="48">
        <f t="shared" si="4"/>
        <v>11472570.423639497</v>
      </c>
      <c r="O32" s="32">
        <f t="shared" si="5"/>
        <v>-118977.11636050604</v>
      </c>
      <c r="P32" s="41">
        <f t="shared" si="6"/>
        <v>-1.0264127024449577E-2</v>
      </c>
      <c r="Q32" s="12">
        <f t="shared" si="10"/>
        <v>1.0264127024449577E-2</v>
      </c>
      <c r="R32" s="134">
        <f t="shared" si="2"/>
        <v>14155554217.461395</v>
      </c>
      <c r="S32" s="134">
        <f t="shared" si="7"/>
        <v>-438090.63987256959</v>
      </c>
      <c r="T32" s="134">
        <f t="shared" si="8"/>
        <v>191923408743.95746</v>
      </c>
    </row>
    <row r="33" spans="1:20" x14ac:dyDescent="0.2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11"/>
        <v>17490899.32</v>
      </c>
      <c r="E33" s="48">
        <v>0</v>
      </c>
      <c r="F33" s="48">
        <f>Inputs!AI90</f>
        <v>4189312.98</v>
      </c>
      <c r="G33" s="48">
        <f t="shared" si="3"/>
        <v>13301586.34</v>
      </c>
      <c r="H33" s="48">
        <f>'Weather Analysis'!G14</f>
        <v>3.6</v>
      </c>
      <c r="I33" s="48">
        <f>'Weather Analysis'!G33</f>
        <v>91.499999999999986</v>
      </c>
      <c r="J33" s="48">
        <v>31</v>
      </c>
      <c r="K33" s="110">
        <v>0</v>
      </c>
      <c r="L33" s="48">
        <f>Inputs!G90+Inputs!I90+Inputs!L90+Inputs!O90+Inputs!R90+Inputs!AA90</f>
        <v>7270</v>
      </c>
      <c r="M33" s="48">
        <v>0</v>
      </c>
      <c r="N33" s="48">
        <f t="shared" si="4"/>
        <v>13141972.307807067</v>
      </c>
      <c r="O33" s="32">
        <f t="shared" si="5"/>
        <v>-159614.03219293244</v>
      </c>
      <c r="P33" s="41">
        <f t="shared" si="6"/>
        <v>-1.1999623812758896E-2</v>
      </c>
      <c r="Q33" s="12">
        <f t="shared" si="10"/>
        <v>1.1999623812758896E-2</v>
      </c>
      <c r="R33" s="134">
        <f t="shared" si="2"/>
        <v>25476639272.886475</v>
      </c>
      <c r="S33" s="134">
        <f t="shared" si="7"/>
        <v>-40636.915832426399</v>
      </c>
      <c r="T33" s="134">
        <f t="shared" si="8"/>
        <v>1651358928.3717074</v>
      </c>
    </row>
    <row r="34" spans="1:20" x14ac:dyDescent="0.2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11"/>
        <v>17759554.780000005</v>
      </c>
      <c r="E34" s="48">
        <v>0</v>
      </c>
      <c r="F34" s="48">
        <f>Inputs!AI91</f>
        <v>4350827.2699999996</v>
      </c>
      <c r="G34" s="48">
        <f t="shared" si="3"/>
        <v>13408727.510000005</v>
      </c>
      <c r="H34" s="48">
        <f>'Weather Analysis'!G15</f>
        <v>3.5999999999999996</v>
      </c>
      <c r="I34" s="48">
        <f>'Weather Analysis'!G34</f>
        <v>107.3</v>
      </c>
      <c r="J34" s="48">
        <v>31</v>
      </c>
      <c r="K34" s="110">
        <v>0</v>
      </c>
      <c r="L34" s="48">
        <f>Inputs!G91+Inputs!I91+Inputs!L91+Inputs!O91+Inputs!R91+Inputs!AA91</f>
        <v>7289</v>
      </c>
      <c r="M34" s="48">
        <v>0</v>
      </c>
      <c r="N34" s="48">
        <f t="shared" si="4"/>
        <v>13622117.59339034</v>
      </c>
      <c r="O34" s="32">
        <f t="shared" si="5"/>
        <v>213390.08339033462</v>
      </c>
      <c r="P34" s="41">
        <f t="shared" si="6"/>
        <v>1.5914268019183168E-2</v>
      </c>
      <c r="Q34" s="12">
        <f t="shared" si="10"/>
        <v>1.5914268019183168E-2</v>
      </c>
      <c r="R34" s="134">
        <f t="shared" si="2"/>
        <v>45535327689.333961</v>
      </c>
      <c r="S34" s="134">
        <f t="shared" si="7"/>
        <v>373004.11558326706</v>
      </c>
      <c r="T34" s="134">
        <f t="shared" si="8"/>
        <v>139132070242.05527</v>
      </c>
    </row>
    <row r="35" spans="1:20" x14ac:dyDescent="0.2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11"/>
        <v>15656131.729999997</v>
      </c>
      <c r="E35" s="48">
        <v>0</v>
      </c>
      <c r="F35" s="48">
        <f>Inputs!AI92</f>
        <v>4169153.07</v>
      </c>
      <c r="G35" s="48">
        <f t="shared" si="3"/>
        <v>11486978.659999996</v>
      </c>
      <c r="H35" s="48">
        <f>'Weather Analysis'!G16</f>
        <v>68.699999999999989</v>
      </c>
      <c r="I35" s="48">
        <f>'Weather Analysis'!G35</f>
        <v>58.699999999999996</v>
      </c>
      <c r="J35" s="48">
        <v>30</v>
      </c>
      <c r="K35" s="110">
        <v>1</v>
      </c>
      <c r="L35" s="48">
        <f>Inputs!G92+Inputs!I92+Inputs!L92+Inputs!O92+Inputs!R92+Inputs!AA92</f>
        <v>7297</v>
      </c>
      <c r="M35" s="48">
        <v>0</v>
      </c>
      <c r="N35" s="48">
        <f t="shared" si="4"/>
        <v>11447702.15739643</v>
      </c>
      <c r="O35" s="32">
        <f t="shared" si="5"/>
        <v>-39276.502603566274</v>
      </c>
      <c r="P35" s="41">
        <f t="shared" si="6"/>
        <v>-3.4192196021339424E-3</v>
      </c>
      <c r="Q35" s="12">
        <f t="shared" si="10"/>
        <v>3.4192196021339424E-3</v>
      </c>
      <c r="R35" s="134">
        <f t="shared" si="2"/>
        <v>1542643656.7679484</v>
      </c>
      <c r="S35" s="134">
        <f t="shared" si="7"/>
        <v>-252666.5859939009</v>
      </c>
      <c r="T35" s="134">
        <f t="shared" si="8"/>
        <v>63840403677.813316</v>
      </c>
    </row>
    <row r="36" spans="1:20" x14ac:dyDescent="0.2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11"/>
        <v>15183493.600000003</v>
      </c>
      <c r="E36" s="48">
        <v>0</v>
      </c>
      <c r="F36" s="48">
        <f>Inputs!AI93</f>
        <v>4394916.3099999996</v>
      </c>
      <c r="G36" s="48">
        <f t="shared" si="3"/>
        <v>10788577.290000003</v>
      </c>
      <c r="H36" s="48">
        <f>'Weather Analysis'!G17</f>
        <v>293.89999999999998</v>
      </c>
      <c r="I36" s="48">
        <f>'Weather Analysis'!G36</f>
        <v>8.9</v>
      </c>
      <c r="J36" s="48">
        <v>31</v>
      </c>
      <c r="K36" s="110">
        <v>1</v>
      </c>
      <c r="L36" s="48">
        <f>Inputs!G93+Inputs!I93+Inputs!L93+Inputs!O93+Inputs!R93+Inputs!AA93</f>
        <v>7309</v>
      </c>
      <c r="M36" s="48">
        <v>0</v>
      </c>
      <c r="N36" s="48">
        <f t="shared" si="4"/>
        <v>10795232.728682445</v>
      </c>
      <c r="O36" s="32">
        <f t="shared" si="5"/>
        <v>6655.438682442531</v>
      </c>
      <c r="P36" s="41">
        <f t="shared" si="6"/>
        <v>6.1689678847752212E-4</v>
      </c>
      <c r="Q36" s="12">
        <f t="shared" si="10"/>
        <v>6.1689678847752212E-4</v>
      </c>
      <c r="R36" s="134">
        <f t="shared" si="2"/>
        <v>44294864.055752374</v>
      </c>
      <c r="S36" s="134">
        <f t="shared" si="7"/>
        <v>45931.941286008805</v>
      </c>
      <c r="T36" s="134">
        <f t="shared" si="8"/>
        <v>2109743230.3013601</v>
      </c>
    </row>
    <row r="37" spans="1:20" x14ac:dyDescent="0.2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11"/>
        <v>15276960.700000001</v>
      </c>
      <c r="E37" s="48">
        <v>0</v>
      </c>
      <c r="F37" s="48">
        <f>Inputs!AI94</f>
        <v>4286187.92</v>
      </c>
      <c r="G37" s="48">
        <f t="shared" si="3"/>
        <v>10990772.780000001</v>
      </c>
      <c r="H37" s="48">
        <f>'Weather Analysis'!G18</f>
        <v>526.9</v>
      </c>
      <c r="I37" s="48">
        <f>'Weather Analysis'!G37</f>
        <v>0</v>
      </c>
      <c r="J37" s="48">
        <v>30</v>
      </c>
      <c r="K37" s="110">
        <v>0</v>
      </c>
      <c r="L37" s="48">
        <f>Inputs!G94+Inputs!I94+Inputs!L94+Inputs!O94+Inputs!R94+Inputs!AA94</f>
        <v>7309</v>
      </c>
      <c r="M37" s="48">
        <v>0</v>
      </c>
      <c r="N37" s="48">
        <f t="shared" si="4"/>
        <v>11110413.335991293</v>
      </c>
      <c r="O37" s="32">
        <f t="shared" si="5"/>
        <v>119640.555991292</v>
      </c>
      <c r="P37" s="41">
        <f t="shared" si="6"/>
        <v>1.0885545392131379E-2</v>
      </c>
      <c r="Q37" s="12">
        <f t="shared" si="10"/>
        <v>1.0885545392131379E-2</v>
      </c>
      <c r="R37" s="134">
        <f t="shared" si="2"/>
        <v>14313862637.905476</v>
      </c>
      <c r="S37" s="134">
        <f t="shared" si="7"/>
        <v>112985.11730884947</v>
      </c>
      <c r="T37" s="134">
        <f t="shared" si="8"/>
        <v>12765636733.294476</v>
      </c>
    </row>
    <row r="38" spans="1:20" x14ac:dyDescent="0.2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11"/>
        <v>14468067.609999999</v>
      </c>
      <c r="E38" s="48">
        <v>0</v>
      </c>
      <c r="F38" s="48">
        <f>Inputs!AI95</f>
        <v>3400164.7600000002</v>
      </c>
      <c r="G38" s="48">
        <f t="shared" si="3"/>
        <v>11067902.85</v>
      </c>
      <c r="H38" s="48">
        <f>'Weather Analysis'!G19</f>
        <v>573.5</v>
      </c>
      <c r="I38" s="48">
        <f>'Weather Analysis'!G38</f>
        <v>0</v>
      </c>
      <c r="J38" s="48">
        <v>31</v>
      </c>
      <c r="K38" s="110">
        <v>0</v>
      </c>
      <c r="L38" s="48">
        <f>Inputs!G95+Inputs!I95+Inputs!L95+Inputs!O95+Inputs!R95+Inputs!AA95</f>
        <v>7329</v>
      </c>
      <c r="M38" s="48">
        <v>0</v>
      </c>
      <c r="N38" s="48">
        <f t="shared" si="4"/>
        <v>11588526.144794492</v>
      </c>
      <c r="O38" s="32">
        <f t="shared" si="5"/>
        <v>520623.29479449242</v>
      </c>
      <c r="P38" s="41">
        <f t="shared" si="6"/>
        <v>4.7039019211710234E-2</v>
      </c>
      <c r="Q38" s="12">
        <f t="shared" si="10"/>
        <v>4.7039019211710234E-2</v>
      </c>
      <c r="R38" s="134">
        <f t="shared" si="2"/>
        <v>271048615082.67297</v>
      </c>
      <c r="S38" s="134">
        <f t="shared" si="7"/>
        <v>400982.73880320042</v>
      </c>
      <c r="T38" s="134">
        <f t="shared" si="8"/>
        <v>160787156818.11566</v>
      </c>
    </row>
    <row r="39" spans="1:20" x14ac:dyDescent="0.2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11"/>
        <v>16341694.570000002</v>
      </c>
      <c r="E39" s="48">
        <v>0</v>
      </c>
      <c r="F39" s="48">
        <f>Inputs!AI96</f>
        <v>4090441.4</v>
      </c>
      <c r="G39" s="48">
        <f t="shared" si="3"/>
        <v>12251253.170000002</v>
      </c>
      <c r="H39" s="48">
        <f>'Weather Analysis'!H8</f>
        <v>778.9</v>
      </c>
      <c r="I39" s="48">
        <f>'Weather Analysis'!H27</f>
        <v>0</v>
      </c>
      <c r="J39" s="48">
        <v>31</v>
      </c>
      <c r="K39" s="110">
        <v>0</v>
      </c>
      <c r="L39" s="48">
        <f>Inputs!G96+Inputs!I96+Inputs!L96+Inputs!O96+Inputs!R96+Inputs!AA96</f>
        <v>7335</v>
      </c>
      <c r="M39" s="48">
        <v>0</v>
      </c>
      <c r="N39" s="48">
        <f t="shared" si="4"/>
        <v>11940578.177441796</v>
      </c>
      <c r="O39" s="32">
        <f t="shared" si="5"/>
        <v>-310674.9925582055</v>
      </c>
      <c r="P39" s="41">
        <f t="shared" si="6"/>
        <v>-2.5358629704834143E-2</v>
      </c>
      <c r="Q39" s="12">
        <f t="shared" si="10"/>
        <v>2.5358629704834143E-2</v>
      </c>
      <c r="R39" s="134">
        <f t="shared" si="2"/>
        <v>96518951001.041046</v>
      </c>
      <c r="S39" s="134">
        <f t="shared" si="7"/>
        <v>-831298.28735269792</v>
      </c>
      <c r="T39" s="134">
        <f t="shared" si="8"/>
        <v>691056842555.52869</v>
      </c>
    </row>
    <row r="40" spans="1:20" x14ac:dyDescent="0.2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11"/>
        <v>14310438.430000002</v>
      </c>
      <c r="E40" s="48">
        <v>0</v>
      </c>
      <c r="F40" s="48">
        <f>Inputs!AI97</f>
        <v>3573066.4899999998</v>
      </c>
      <c r="G40" s="48">
        <f t="shared" si="3"/>
        <v>10737371.940000001</v>
      </c>
      <c r="H40" s="48">
        <f>'Weather Analysis'!H9</f>
        <v>636.20000000000005</v>
      </c>
      <c r="I40" s="48">
        <f>'Weather Analysis'!H28</f>
        <v>0</v>
      </c>
      <c r="J40" s="48">
        <v>28</v>
      </c>
      <c r="K40" s="110">
        <v>0</v>
      </c>
      <c r="L40" s="48">
        <f>Inputs!G97+Inputs!I97+Inputs!L97+Inputs!O97+Inputs!R97+Inputs!AA97</f>
        <v>7343</v>
      </c>
      <c r="M40" s="48">
        <v>0</v>
      </c>
      <c r="N40" s="48">
        <f t="shared" si="4"/>
        <v>10613121.757946659</v>
      </c>
      <c r="O40" s="32">
        <f t="shared" si="5"/>
        <v>-124250.18205334246</v>
      </c>
      <c r="P40" s="41">
        <f t="shared" si="6"/>
        <v>-1.1571749842293574E-2</v>
      </c>
      <c r="Q40" s="12">
        <f t="shared" si="10"/>
        <v>1.1571749842293574E-2</v>
      </c>
      <c r="R40" s="134">
        <f t="shared" si="2"/>
        <v>15438107740.288746</v>
      </c>
      <c r="S40" s="134">
        <f t="shared" si="7"/>
        <v>186424.81050486304</v>
      </c>
      <c r="T40" s="134">
        <f t="shared" si="8"/>
        <v>34754209971.774094</v>
      </c>
    </row>
    <row r="41" spans="1:20" x14ac:dyDescent="0.2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11"/>
        <v>15013862.310000001</v>
      </c>
      <c r="E41" s="48">
        <v>0</v>
      </c>
      <c r="F41" s="48">
        <f>Inputs!AI98</f>
        <v>3716139.2800000003</v>
      </c>
      <c r="G41" s="48">
        <f t="shared" si="3"/>
        <v>11297723.030000001</v>
      </c>
      <c r="H41" s="48">
        <f>'Weather Analysis'!H10</f>
        <v>617</v>
      </c>
      <c r="I41" s="48">
        <f>'Weather Analysis'!H29</f>
        <v>0</v>
      </c>
      <c r="J41" s="48">
        <v>31</v>
      </c>
      <c r="K41" s="110">
        <v>1</v>
      </c>
      <c r="L41" s="48">
        <f>Inputs!G98+Inputs!I98+Inputs!L98+Inputs!O98+Inputs!R98+Inputs!AA98</f>
        <v>7347</v>
      </c>
      <c r="M41" s="48">
        <v>0</v>
      </c>
      <c r="N41" s="48">
        <f t="shared" si="4"/>
        <v>11143064.151052473</v>
      </c>
      <c r="O41" s="32">
        <f t="shared" si="5"/>
        <v>-154658.87894752808</v>
      </c>
      <c r="P41" s="41">
        <f t="shared" si="6"/>
        <v>-1.3689384890817956E-2</v>
      </c>
      <c r="Q41" s="12">
        <f t="shared" si="10"/>
        <v>1.3689384890817956E-2</v>
      </c>
      <c r="R41" s="134">
        <f t="shared" si="2"/>
        <v>23919368837.306145</v>
      </c>
      <c r="S41" s="134">
        <f t="shared" si="7"/>
        <v>-30408.696894185618</v>
      </c>
      <c r="T41" s="134">
        <f t="shared" si="8"/>
        <v>924688846.80245399</v>
      </c>
    </row>
    <row r="42" spans="1:20" x14ac:dyDescent="0.2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11"/>
        <v>13275278.340000002</v>
      </c>
      <c r="E42" s="48">
        <v>0</v>
      </c>
      <c r="F42" s="48">
        <f>Inputs!AI99</f>
        <v>3382220.7700000005</v>
      </c>
      <c r="G42" s="48">
        <f t="shared" si="3"/>
        <v>9893057.5700000003</v>
      </c>
      <c r="H42" s="48">
        <f>'Weather Analysis'!H11</f>
        <v>346.60000000000014</v>
      </c>
      <c r="I42" s="48">
        <f>'Weather Analysis'!H30</f>
        <v>0</v>
      </c>
      <c r="J42" s="48">
        <v>30</v>
      </c>
      <c r="K42" s="110">
        <v>1</v>
      </c>
      <c r="L42" s="48">
        <f>Inputs!G99+Inputs!I99+Inputs!L99+Inputs!O99+Inputs!R99+Inputs!AA99</f>
        <v>7358</v>
      </c>
      <c r="M42" s="48">
        <v>0</v>
      </c>
      <c r="N42" s="48">
        <f t="shared" si="4"/>
        <v>10343030.262905359</v>
      </c>
      <c r="O42" s="32">
        <f t="shared" si="5"/>
        <v>449972.69290535897</v>
      </c>
      <c r="P42" s="41">
        <f t="shared" si="6"/>
        <v>4.5483682847441365E-2</v>
      </c>
      <c r="Q42" s="12">
        <f t="shared" si="10"/>
        <v>4.5483682847441365E-2</v>
      </c>
      <c r="R42" s="134">
        <f t="shared" si="2"/>
        <v>202475424360.50049</v>
      </c>
      <c r="S42" s="134">
        <f t="shared" si="7"/>
        <v>604631.57185288705</v>
      </c>
      <c r="T42" s="134">
        <f t="shared" si="8"/>
        <v>365579337681.29291</v>
      </c>
    </row>
    <row r="43" spans="1:20" x14ac:dyDescent="0.2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11"/>
        <v>13493268.119999999</v>
      </c>
      <c r="E43" s="48">
        <v>0</v>
      </c>
      <c r="F43" s="48">
        <f>Inputs!AI100</f>
        <v>3514365.9099999997</v>
      </c>
      <c r="G43" s="48">
        <f t="shared" si="3"/>
        <v>9978902.209999999</v>
      </c>
      <c r="H43" s="48">
        <f>'Weather Analysis'!H12</f>
        <v>184.20000000000002</v>
      </c>
      <c r="I43" s="48">
        <f>'Weather Analysis'!H31</f>
        <v>2.2000000000000002</v>
      </c>
      <c r="J43" s="48">
        <v>31</v>
      </c>
      <c r="K43" s="110">
        <v>1</v>
      </c>
      <c r="L43" s="48">
        <f>Inputs!G100+Inputs!I100+Inputs!L100+Inputs!O100+Inputs!R100+Inputs!AA100</f>
        <v>7367</v>
      </c>
      <c r="M43" s="48">
        <v>0</v>
      </c>
      <c r="N43" s="48">
        <f t="shared" si="4"/>
        <v>10517388.659233557</v>
      </c>
      <c r="O43" s="32">
        <f t="shared" si="5"/>
        <v>538486.44923355803</v>
      </c>
      <c r="P43" s="41">
        <f t="shared" si="6"/>
        <v>5.3962493859688605E-2</v>
      </c>
      <c r="Q43" s="12">
        <f t="shared" si="10"/>
        <v>5.3962493859688605E-2</v>
      </c>
      <c r="R43" s="134">
        <f t="shared" si="2"/>
        <v>289967656008.16528</v>
      </c>
      <c r="S43" s="134">
        <f t="shared" si="7"/>
        <v>88513.756328199059</v>
      </c>
      <c r="T43" s="134">
        <f t="shared" si="8"/>
        <v>7834685059.3277988</v>
      </c>
    </row>
    <row r="44" spans="1:20" x14ac:dyDescent="0.2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11"/>
        <v>14303688.979999997</v>
      </c>
      <c r="E44" s="48">
        <v>0</v>
      </c>
      <c r="F44" s="48">
        <f>Inputs!AI101</f>
        <v>3431331.8</v>
      </c>
      <c r="G44" s="48">
        <f t="shared" si="3"/>
        <v>10872357.179999996</v>
      </c>
      <c r="H44" s="48">
        <f>'Weather Analysis'!H13</f>
        <v>37.800000000000004</v>
      </c>
      <c r="I44" s="48">
        <f>'Weather Analysis'!H32</f>
        <v>30.2</v>
      </c>
      <c r="J44" s="48">
        <v>30</v>
      </c>
      <c r="K44" s="110">
        <v>0</v>
      </c>
      <c r="L44" s="48">
        <f>Inputs!G101+Inputs!I101+Inputs!L101+Inputs!O101+Inputs!R101+Inputs!AA101</f>
        <v>7382</v>
      </c>
      <c r="M44" s="48">
        <v>0</v>
      </c>
      <c r="N44" s="48">
        <f t="shared" si="4"/>
        <v>11273587.533224287</v>
      </c>
      <c r="O44" s="32">
        <f t="shared" si="5"/>
        <v>401230.35322429053</v>
      </c>
      <c r="P44" s="41">
        <f t="shared" si="6"/>
        <v>3.6903713388147782E-2</v>
      </c>
      <c r="Q44" s="12">
        <f t="shared" si="10"/>
        <v>3.6903713388147782E-2</v>
      </c>
      <c r="R44" s="134">
        <f t="shared" si="2"/>
        <v>160985796348.48895</v>
      </c>
      <c r="S44" s="134">
        <f t="shared" si="7"/>
        <v>-137256.09600926749</v>
      </c>
      <c r="T44" s="134">
        <f t="shared" si="8"/>
        <v>18839235891.705257</v>
      </c>
    </row>
    <row r="45" spans="1:20" x14ac:dyDescent="0.2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11"/>
        <v>17472101.57</v>
      </c>
      <c r="E45" s="48">
        <v>0</v>
      </c>
      <c r="F45" s="48">
        <f>Inputs!AI102</f>
        <v>3615394.99</v>
      </c>
      <c r="G45" s="48">
        <f t="shared" si="3"/>
        <v>13856706.58</v>
      </c>
      <c r="H45" s="48">
        <f>'Weather Analysis'!H14</f>
        <v>0</v>
      </c>
      <c r="I45" s="48">
        <f>'Weather Analysis'!H33</f>
        <v>127.19999999999999</v>
      </c>
      <c r="J45" s="48">
        <v>31</v>
      </c>
      <c r="K45" s="110">
        <v>0</v>
      </c>
      <c r="L45" s="48">
        <f>Inputs!G102+Inputs!I102+Inputs!L102+Inputs!O102+Inputs!R102+Inputs!AA102</f>
        <v>7383</v>
      </c>
      <c r="M45" s="48">
        <v>0</v>
      </c>
      <c r="N45" s="48">
        <f t="shared" si="4"/>
        <v>14335973.416533399</v>
      </c>
      <c r="O45" s="32">
        <f t="shared" si="5"/>
        <v>479266.8365333993</v>
      </c>
      <c r="P45" s="41">
        <f t="shared" si="6"/>
        <v>3.4587355499404629E-2</v>
      </c>
      <c r="Q45" s="12">
        <f t="shared" si="10"/>
        <v>3.4587355499404629E-2</v>
      </c>
      <c r="R45" s="134">
        <f t="shared" si="2"/>
        <v>229696700600.73209</v>
      </c>
      <c r="S45" s="134">
        <f t="shared" si="7"/>
        <v>78036.483309108764</v>
      </c>
      <c r="T45" s="134">
        <f t="shared" si="8"/>
        <v>6089692727.2528105</v>
      </c>
    </row>
    <row r="46" spans="1:20" x14ac:dyDescent="0.2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11"/>
        <v>16370922.329999998</v>
      </c>
      <c r="E46" s="48">
        <v>0</v>
      </c>
      <c r="F46" s="48">
        <f>Inputs!AI103</f>
        <v>3593450.64</v>
      </c>
      <c r="G46" s="48">
        <f t="shared" si="3"/>
        <v>12777471.689999998</v>
      </c>
      <c r="H46" s="48">
        <f>'Weather Analysis'!H15</f>
        <v>11.099999999999998</v>
      </c>
      <c r="I46" s="48">
        <f>'Weather Analysis'!H34</f>
        <v>66.5</v>
      </c>
      <c r="J46" s="48">
        <v>31</v>
      </c>
      <c r="K46" s="110">
        <v>0</v>
      </c>
      <c r="L46" s="48">
        <f>Inputs!G103+Inputs!I103+Inputs!L103+Inputs!O103+Inputs!R103+Inputs!AA103</f>
        <v>7409</v>
      </c>
      <c r="M46" s="48">
        <v>0</v>
      </c>
      <c r="N46" s="48">
        <f t="shared" si="4"/>
        <v>12672488.302742803</v>
      </c>
      <c r="O46" s="32">
        <f t="shared" si="5"/>
        <v>-104983.38725719415</v>
      </c>
      <c r="P46" s="41">
        <f t="shared" si="6"/>
        <v>-8.2162879953282964E-3</v>
      </c>
      <c r="Q46" s="12">
        <f t="shared" si="10"/>
        <v>8.2162879953282964E-3</v>
      </c>
      <c r="R46" s="134">
        <f t="shared" si="2"/>
        <v>11021511599.993994</v>
      </c>
      <c r="S46" s="134">
        <f t="shared" si="7"/>
        <v>-584250.22379059345</v>
      </c>
      <c r="T46" s="134">
        <f t="shared" si="8"/>
        <v>341348323999.35852</v>
      </c>
    </row>
    <row r="47" spans="1:20" x14ac:dyDescent="0.2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11"/>
        <v>14335859.039999999</v>
      </c>
      <c r="E47" s="48">
        <v>0</v>
      </c>
      <c r="F47" s="48">
        <f>Inputs!AI104</f>
        <v>3563069.1900000004</v>
      </c>
      <c r="G47" s="48">
        <f t="shared" si="3"/>
        <v>10772789.849999998</v>
      </c>
      <c r="H47" s="48">
        <f>'Weather Analysis'!H16</f>
        <v>47.999999999999986</v>
      </c>
      <c r="I47" s="48">
        <f>'Weather Analysis'!H35</f>
        <v>23.6</v>
      </c>
      <c r="J47" s="48">
        <v>30</v>
      </c>
      <c r="K47" s="110">
        <v>1</v>
      </c>
      <c r="L47" s="48">
        <f>Inputs!G104+Inputs!I104+Inputs!L104+Inputs!O104+Inputs!R104+Inputs!AA104</f>
        <v>7446</v>
      </c>
      <c r="M47" s="48">
        <v>0</v>
      </c>
      <c r="N47" s="48">
        <f t="shared" si="4"/>
        <v>10660690.547770243</v>
      </c>
      <c r="O47" s="32">
        <f t="shared" si="5"/>
        <v>-112099.30222975463</v>
      </c>
      <c r="P47" s="41">
        <f t="shared" si="6"/>
        <v>-1.0405781955335799E-2</v>
      </c>
      <c r="Q47" s="12">
        <f t="shared" si="10"/>
        <v>1.0405781955335799E-2</v>
      </c>
      <c r="R47" s="134">
        <f t="shared" si="2"/>
        <v>12566253560.397871</v>
      </c>
      <c r="S47" s="134">
        <f t="shared" si="7"/>
        <v>-7115.9149725604802</v>
      </c>
      <c r="T47" s="134">
        <f t="shared" si="8"/>
        <v>50636245.896710418</v>
      </c>
    </row>
    <row r="48" spans="1:20" x14ac:dyDescent="0.2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11"/>
        <v>13894453.25</v>
      </c>
      <c r="E48" s="48">
        <v>0</v>
      </c>
      <c r="F48" s="48">
        <f>Inputs!AI105</f>
        <v>3573946.1500000004</v>
      </c>
      <c r="G48" s="48">
        <f t="shared" si="3"/>
        <v>10320507.1</v>
      </c>
      <c r="H48" s="48">
        <f>'Weather Analysis'!H17</f>
        <v>248.3</v>
      </c>
      <c r="I48" s="48">
        <f>'Weather Analysis'!H36</f>
        <v>4.4000000000000004</v>
      </c>
      <c r="J48" s="48">
        <v>31</v>
      </c>
      <c r="K48" s="110">
        <v>1</v>
      </c>
      <c r="L48" s="48">
        <f>Inputs!G105+Inputs!I105+Inputs!L105+Inputs!O105+Inputs!R105+Inputs!AA105</f>
        <v>7456</v>
      </c>
      <c r="M48" s="48">
        <v>0</v>
      </c>
      <c r="N48" s="48">
        <f t="shared" si="4"/>
        <v>10832901.336474899</v>
      </c>
      <c r="O48" s="32">
        <f t="shared" si="5"/>
        <v>512394.23647489958</v>
      </c>
      <c r="P48" s="41">
        <f t="shared" si="6"/>
        <v>4.9648164718078591E-2</v>
      </c>
      <c r="Q48" s="12">
        <f t="shared" si="10"/>
        <v>4.9648164718078591E-2</v>
      </c>
      <c r="R48" s="134">
        <f t="shared" si="2"/>
        <v>262547853572.69531</v>
      </c>
      <c r="S48" s="134">
        <f t="shared" si="7"/>
        <v>624493.5387046542</v>
      </c>
      <c r="T48" s="134">
        <f t="shared" si="8"/>
        <v>389992179883.86145</v>
      </c>
    </row>
    <row r="49" spans="1:20" x14ac:dyDescent="0.2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11"/>
        <v>14325509.250000004</v>
      </c>
      <c r="E49" s="48">
        <v>0</v>
      </c>
      <c r="F49" s="48">
        <f>Inputs!AI106</f>
        <v>3339995.3099999996</v>
      </c>
      <c r="G49" s="48">
        <f t="shared" si="3"/>
        <v>10985513.940000005</v>
      </c>
      <c r="H49" s="48">
        <f>'Weather Analysis'!H18</f>
        <v>527.1</v>
      </c>
      <c r="I49" s="48">
        <f>'Weather Analysis'!H37</f>
        <v>0</v>
      </c>
      <c r="J49" s="48">
        <v>30</v>
      </c>
      <c r="K49" s="110">
        <v>0</v>
      </c>
      <c r="L49" s="48">
        <f>Inputs!G106+Inputs!I106+Inputs!L106+Inputs!O106+Inputs!R106+Inputs!AA106</f>
        <v>7479</v>
      </c>
      <c r="M49" s="48">
        <v>0</v>
      </c>
      <c r="N49" s="48">
        <f t="shared" si="4"/>
        <v>11390030.001378201</v>
      </c>
      <c r="O49" s="32">
        <f t="shared" si="5"/>
        <v>404516.06137819588</v>
      </c>
      <c r="P49" s="41">
        <f t="shared" si="6"/>
        <v>3.6822679720544392E-2</v>
      </c>
      <c r="Q49" s="12">
        <f t="shared" si="10"/>
        <v>3.6822679720544392E-2</v>
      </c>
      <c r="R49" s="134">
        <f t="shared" si="2"/>
        <v>163633243912.92834</v>
      </c>
      <c r="S49" s="134">
        <f t="shared" si="7"/>
        <v>-107878.17509670369</v>
      </c>
      <c r="T49" s="134">
        <f t="shared" si="8"/>
        <v>11637700662.195061</v>
      </c>
    </row>
    <row r="50" spans="1:20" x14ac:dyDescent="0.2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11"/>
        <v>14145077.510000002</v>
      </c>
      <c r="E50" s="48">
        <v>0</v>
      </c>
      <c r="F50" s="48">
        <f>Inputs!AI107</f>
        <v>2832420.64</v>
      </c>
      <c r="G50" s="48">
        <f t="shared" si="3"/>
        <v>11312656.870000001</v>
      </c>
      <c r="H50" s="48">
        <f>'Weather Analysis'!H19</f>
        <v>535.89999999999986</v>
      </c>
      <c r="I50" s="48">
        <f>'Weather Analysis'!H38</f>
        <v>0</v>
      </c>
      <c r="J50" s="48">
        <v>31</v>
      </c>
      <c r="K50" s="110">
        <v>0</v>
      </c>
      <c r="L50" s="48">
        <f>Inputs!G107+Inputs!I107+Inputs!L107+Inputs!O107+Inputs!R107+Inputs!AA107</f>
        <v>7489</v>
      </c>
      <c r="M50" s="48">
        <v>0</v>
      </c>
      <c r="N50" s="48">
        <f t="shared" si="4"/>
        <v>11788739.834286664</v>
      </c>
      <c r="O50" s="32">
        <f t="shared" si="5"/>
        <v>476082.96428666264</v>
      </c>
      <c r="P50" s="41">
        <f t="shared" si="6"/>
        <v>4.2084098347328604E-2</v>
      </c>
      <c r="Q50" s="12">
        <f t="shared" si="10"/>
        <v>4.2084098347328604E-2</v>
      </c>
      <c r="R50" s="134">
        <f t="shared" si="2"/>
        <v>226654988883.97571</v>
      </c>
      <c r="S50" s="134">
        <f t="shared" si="7"/>
        <v>71566.902908466756</v>
      </c>
      <c r="T50" s="134">
        <f t="shared" si="8"/>
        <v>5121821591.9099073</v>
      </c>
    </row>
    <row r="51" spans="1:20" x14ac:dyDescent="0.2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11"/>
        <v>15049228.480000002</v>
      </c>
      <c r="E51" s="48">
        <v>0</v>
      </c>
      <c r="F51" s="48">
        <f>Inputs!AI108</f>
        <v>3346832.0300000003</v>
      </c>
      <c r="G51" s="48">
        <f t="shared" si="3"/>
        <v>11702396.450000003</v>
      </c>
      <c r="H51" s="48">
        <f>'Weather Analysis'!I8</f>
        <v>602.6</v>
      </c>
      <c r="I51" s="48">
        <f>'Weather Analysis'!I27</f>
        <v>0</v>
      </c>
      <c r="J51" s="48">
        <v>31</v>
      </c>
      <c r="K51" s="110">
        <v>0</v>
      </c>
      <c r="L51" s="48">
        <f>Inputs!G108+Inputs!I108+Inputs!L108+Inputs!O108+Inputs!R108+Inputs!AA108</f>
        <v>7508</v>
      </c>
      <c r="M51" s="48">
        <v>0</v>
      </c>
      <c r="N51" s="48">
        <f t="shared" si="4"/>
        <v>11931075.604154315</v>
      </c>
      <c r="O51" s="32">
        <f t="shared" si="5"/>
        <v>228679.15415431187</v>
      </c>
      <c r="P51" s="41">
        <f t="shared" si="6"/>
        <v>1.9541224323699254E-2</v>
      </c>
      <c r="Q51" s="12">
        <f t="shared" si="10"/>
        <v>1.9541224323699254E-2</v>
      </c>
      <c r="R51" s="134">
        <f t="shared" si="2"/>
        <v>52294155544.731529</v>
      </c>
      <c r="S51" s="134">
        <f t="shared" si="7"/>
        <v>-247403.81013235077</v>
      </c>
      <c r="T51" s="134">
        <f t="shared" si="8"/>
        <v>61208645268.004272</v>
      </c>
    </row>
    <row r="52" spans="1:20" x14ac:dyDescent="0.2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11"/>
        <v>14270047.250000002</v>
      </c>
      <c r="E52" s="48">
        <v>0</v>
      </c>
      <c r="F52" s="48">
        <f>Inputs!AI109</f>
        <v>3269623.1700000004</v>
      </c>
      <c r="G52" s="48">
        <f t="shared" si="3"/>
        <v>11000424.080000002</v>
      </c>
      <c r="H52" s="48">
        <f>'Weather Analysis'!I9</f>
        <v>602.69999999999993</v>
      </c>
      <c r="I52" s="48">
        <f>'Weather Analysis'!I28</f>
        <v>0</v>
      </c>
      <c r="J52" s="48">
        <v>29</v>
      </c>
      <c r="K52" s="110">
        <v>0</v>
      </c>
      <c r="L52" s="48">
        <f>Inputs!G109+Inputs!I109+Inputs!L109+Inputs!O109+Inputs!R109+Inputs!AA109</f>
        <v>7522</v>
      </c>
      <c r="M52" s="48">
        <v>0</v>
      </c>
      <c r="N52" s="48">
        <f t="shared" si="4"/>
        <v>11219000.708389217</v>
      </c>
      <c r="O52" s="32">
        <f t="shared" si="5"/>
        <v>218576.6283892151</v>
      </c>
      <c r="P52" s="41">
        <f t="shared" si="6"/>
        <v>1.9869836544448481E-2</v>
      </c>
      <c r="Q52" s="12">
        <f t="shared" si="10"/>
        <v>1.9869836544448481E-2</v>
      </c>
      <c r="R52" s="134">
        <f t="shared" si="2"/>
        <v>47775742477.997032</v>
      </c>
      <c r="S52" s="134">
        <f t="shared" si="7"/>
        <v>-10102.525765096769</v>
      </c>
      <c r="T52" s="134">
        <f t="shared" si="8"/>
        <v>102061026.83444405</v>
      </c>
    </row>
    <row r="53" spans="1:20" x14ac:dyDescent="0.2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11"/>
        <v>13588538.530000001</v>
      </c>
      <c r="E53" s="48">
        <v>0</v>
      </c>
      <c r="F53" s="48">
        <f>Inputs!AI110</f>
        <v>2761550.29</v>
      </c>
      <c r="G53" s="48">
        <f t="shared" si="3"/>
        <v>10826988.240000002</v>
      </c>
      <c r="H53" s="48">
        <f>'Weather Analysis'!I10</f>
        <v>463.4</v>
      </c>
      <c r="I53" s="48">
        <f>'Weather Analysis'!I29</f>
        <v>0</v>
      </c>
      <c r="J53" s="48">
        <v>31</v>
      </c>
      <c r="K53" s="110">
        <v>1</v>
      </c>
      <c r="L53" s="48">
        <f>Inputs!G110+Inputs!I110+Inputs!L110+Inputs!O110+Inputs!R110+Inputs!AA110</f>
        <v>7534</v>
      </c>
      <c r="M53" s="48">
        <v>0</v>
      </c>
      <c r="N53" s="48">
        <f t="shared" si="4"/>
        <v>11194379.434540397</v>
      </c>
      <c r="O53" s="32">
        <f t="shared" si="5"/>
        <v>367391.19454039447</v>
      </c>
      <c r="P53" s="41">
        <f t="shared" si="6"/>
        <v>3.3932907877656883E-2</v>
      </c>
      <c r="Q53" s="12">
        <f t="shared" si="10"/>
        <v>3.3932907877656883E-2</v>
      </c>
      <c r="R53" s="134">
        <f t="shared" si="2"/>
        <v>134976289825.81798</v>
      </c>
      <c r="S53" s="134">
        <f t="shared" si="7"/>
        <v>148814.56615117937</v>
      </c>
      <c r="T53" s="134">
        <f t="shared" si="8"/>
        <v>22145775098.763741</v>
      </c>
    </row>
    <row r="54" spans="1:20" x14ac:dyDescent="0.2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11"/>
        <v>10227380.470000004</v>
      </c>
      <c r="E54" s="48">
        <v>0</v>
      </c>
      <c r="F54" s="48">
        <f>Inputs!AI111</f>
        <v>1111297.6100000001</v>
      </c>
      <c r="G54" s="48">
        <f t="shared" si="3"/>
        <v>9116082.860000005</v>
      </c>
      <c r="H54" s="48">
        <f>'Weather Analysis'!I11</f>
        <v>381.59999999999997</v>
      </c>
      <c r="I54" s="48">
        <f>'Weather Analysis'!I30</f>
        <v>0</v>
      </c>
      <c r="J54" s="48">
        <v>30</v>
      </c>
      <c r="K54" s="110">
        <v>1</v>
      </c>
      <c r="L54" s="48">
        <f>Inputs!G111+Inputs!I111+Inputs!L111+Inputs!O111+Inputs!R111+Inputs!AA111</f>
        <v>7547</v>
      </c>
      <c r="M54" s="48">
        <v>1</v>
      </c>
      <c r="N54" s="48">
        <f t="shared" si="4"/>
        <v>9089267.5726171266</v>
      </c>
      <c r="O54" s="32">
        <f t="shared" si="5"/>
        <v>-26815.287382878363</v>
      </c>
      <c r="P54" s="41">
        <f t="shared" si="6"/>
        <v>-2.9415361613856971E-3</v>
      </c>
      <c r="Q54" s="12">
        <f t="shared" si="10"/>
        <v>2.9415361613856971E-3</v>
      </c>
      <c r="R54" s="134">
        <f t="shared" si="2"/>
        <v>719059637.42635548</v>
      </c>
      <c r="S54" s="134">
        <f t="shared" si="7"/>
        <v>-394206.48192327283</v>
      </c>
      <c r="T54" s="134">
        <f t="shared" si="8"/>
        <v>155398750390.32364</v>
      </c>
    </row>
    <row r="55" spans="1:20" x14ac:dyDescent="0.2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11"/>
        <v>11249287.380000005</v>
      </c>
      <c r="E55" s="48">
        <v>0</v>
      </c>
      <c r="F55" s="48">
        <f>Inputs!AI112</f>
        <v>1449522.43</v>
      </c>
      <c r="G55" s="48">
        <f t="shared" si="3"/>
        <v>9799764.9500000048</v>
      </c>
      <c r="H55" s="48">
        <f>'Weather Analysis'!I12</f>
        <v>213.39999999999995</v>
      </c>
      <c r="I55" s="48">
        <f>'Weather Analysis'!I31</f>
        <v>22.699999999999996</v>
      </c>
      <c r="J55" s="48">
        <v>31</v>
      </c>
      <c r="K55" s="110">
        <v>1</v>
      </c>
      <c r="L55" s="48">
        <f>Inputs!G112+Inputs!I112+Inputs!L112+Inputs!O112+Inputs!R112+Inputs!AA112</f>
        <v>7550</v>
      </c>
      <c r="M55" s="48">
        <v>1</v>
      </c>
      <c r="N55" s="48">
        <f t="shared" si="4"/>
        <v>9826580.2373828813</v>
      </c>
      <c r="O55" s="32">
        <f t="shared" si="5"/>
        <v>26815.2873828765</v>
      </c>
      <c r="P55" s="41">
        <f t="shared" si="6"/>
        <v>2.7363194443634576E-3</v>
      </c>
      <c r="Q55" s="12">
        <f t="shared" si="10"/>
        <v>2.7363194443634576E-3</v>
      </c>
      <c r="R55" s="134">
        <f t="shared" si="2"/>
        <v>719059637.42625558</v>
      </c>
      <c r="S55" s="134">
        <f t="shared" si="7"/>
        <v>53630.574765754864</v>
      </c>
      <c r="T55" s="134">
        <f t="shared" si="8"/>
        <v>2876238549.7052221</v>
      </c>
    </row>
    <row r="56" spans="1:20" x14ac:dyDescent="0.2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11"/>
        <v>15388580.119999997</v>
      </c>
      <c r="E56" s="48">
        <v>0</v>
      </c>
      <c r="F56" s="48">
        <f>Inputs!AI113</f>
        <v>2971857.54</v>
      </c>
      <c r="G56" s="48">
        <f t="shared" si="3"/>
        <v>12416722.579999998</v>
      </c>
      <c r="H56" s="48">
        <f>'Weather Analysis'!I13</f>
        <v>33.9</v>
      </c>
      <c r="I56" s="48">
        <f>'Weather Analysis'!I32</f>
        <v>59.9</v>
      </c>
      <c r="J56" s="48">
        <v>30</v>
      </c>
      <c r="K56" s="110">
        <v>0</v>
      </c>
      <c r="L56" s="48">
        <f>Inputs!G113+Inputs!I113+Inputs!L113+Inputs!O113+Inputs!R113+Inputs!AA113</f>
        <v>7557</v>
      </c>
      <c r="M56" s="48">
        <v>0</v>
      </c>
      <c r="N56" s="48">
        <f t="shared" si="4"/>
        <v>12398464.945297355</v>
      </c>
      <c r="O56" s="32">
        <f t="shared" si="5"/>
        <v>-18257.63470264338</v>
      </c>
      <c r="P56" s="41">
        <f t="shared" si="6"/>
        <v>-1.4704069117281819E-3</v>
      </c>
      <c r="Q56" s="12">
        <f t="shared" si="10"/>
        <v>1.4704069117281819E-3</v>
      </c>
      <c r="R56" s="134">
        <f t="shared" si="2"/>
        <v>333341224.93516779</v>
      </c>
      <c r="S56" s="134">
        <f t="shared" si="7"/>
        <v>-45072.92208551988</v>
      </c>
      <c r="T56" s="134">
        <f t="shared" si="8"/>
        <v>2031568305.3273458</v>
      </c>
    </row>
    <row r="57" spans="1:20" x14ac:dyDescent="0.2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11"/>
        <v>18264809.57</v>
      </c>
      <c r="E57" s="48">
        <v>0</v>
      </c>
      <c r="F57" s="48">
        <f>Inputs!AI114</f>
        <v>3182803.4800000004</v>
      </c>
      <c r="G57" s="48">
        <f t="shared" si="3"/>
        <v>15082006.09</v>
      </c>
      <c r="H57" s="48">
        <f>'Weather Analysis'!I14</f>
        <v>0</v>
      </c>
      <c r="I57" s="48">
        <f>'Weather Analysis'!I33</f>
        <v>159.19999999999993</v>
      </c>
      <c r="J57" s="48">
        <v>31</v>
      </c>
      <c r="K57" s="110">
        <v>0</v>
      </c>
      <c r="L57" s="48">
        <f>Inputs!G114+Inputs!I114+Inputs!L114+Inputs!O114+Inputs!R114+Inputs!AA114</f>
        <v>7566</v>
      </c>
      <c r="M57" s="48">
        <v>0</v>
      </c>
      <c r="N57" s="48">
        <f t="shared" si="4"/>
        <v>15545841.70455233</v>
      </c>
      <c r="O57" s="32">
        <f t="shared" si="5"/>
        <v>463835.61455233023</v>
      </c>
      <c r="P57" s="41">
        <f t="shared" si="6"/>
        <v>3.0754238646002977E-2</v>
      </c>
      <c r="Q57" s="12">
        <f t="shared" si="10"/>
        <v>3.0754238646002977E-2</v>
      </c>
      <c r="R57" s="134">
        <f t="shared" si="2"/>
        <v>215143477327.13785</v>
      </c>
      <c r="S57" s="134">
        <f t="shared" si="7"/>
        <v>482093.24925497361</v>
      </c>
      <c r="T57" s="134">
        <f t="shared" si="8"/>
        <v>232413900977.21811</v>
      </c>
    </row>
    <row r="58" spans="1:20" x14ac:dyDescent="0.2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11"/>
        <v>16955555.359999999</v>
      </c>
      <c r="E58" s="48">
        <v>0</v>
      </c>
      <c r="F58" s="48">
        <f>Inputs!AI115</f>
        <v>3173531.7</v>
      </c>
      <c r="G58" s="48">
        <f t="shared" si="3"/>
        <v>13782023.66</v>
      </c>
      <c r="H58" s="48">
        <f>'Weather Analysis'!I15</f>
        <v>5.6</v>
      </c>
      <c r="I58" s="48">
        <f>'Weather Analysis'!I34</f>
        <v>75.699999999999989</v>
      </c>
      <c r="J58" s="48">
        <v>31</v>
      </c>
      <c r="K58" s="110">
        <v>0</v>
      </c>
      <c r="L58" s="48">
        <f>Inputs!G115+Inputs!I115+Inputs!L115+Inputs!O115+Inputs!R115+Inputs!AA115</f>
        <v>7581</v>
      </c>
      <c r="M58" s="48">
        <v>0</v>
      </c>
      <c r="N58" s="48">
        <f t="shared" si="4"/>
        <v>13207297.502629099</v>
      </c>
      <c r="O58" s="32">
        <f t="shared" si="5"/>
        <v>-574726.15737090074</v>
      </c>
      <c r="P58" s="41">
        <f t="shared" si="6"/>
        <v>-4.1701144298492719E-2</v>
      </c>
      <c r="Q58" s="12">
        <f t="shared" si="10"/>
        <v>4.1701144298492719E-2</v>
      </c>
      <c r="R58" s="134">
        <f t="shared" si="2"/>
        <v>330310155966.32135</v>
      </c>
      <c r="S58" s="134">
        <f t="shared" si="7"/>
        <v>-1038561.771923231</v>
      </c>
      <c r="T58" s="134">
        <f t="shared" si="8"/>
        <v>1078610554100.3212</v>
      </c>
    </row>
    <row r="59" spans="1:20" x14ac:dyDescent="0.2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11"/>
        <v>14641003.019999998</v>
      </c>
      <c r="E59" s="48">
        <v>0</v>
      </c>
      <c r="F59" s="48">
        <f>Inputs!AI116</f>
        <v>3226217.4699999997</v>
      </c>
      <c r="G59" s="48">
        <f t="shared" si="3"/>
        <v>11414785.549999997</v>
      </c>
      <c r="H59" s="48">
        <f>'Weather Analysis'!I16</f>
        <v>91.6</v>
      </c>
      <c r="I59" s="48">
        <f>'Weather Analysis'!I35</f>
        <v>10.600000000000001</v>
      </c>
      <c r="J59" s="48">
        <v>30</v>
      </c>
      <c r="K59" s="110">
        <v>1</v>
      </c>
      <c r="L59" s="48">
        <f>Inputs!G116+Inputs!I116+Inputs!L116+Inputs!O116+Inputs!R116+Inputs!AA116</f>
        <v>7596</v>
      </c>
      <c r="M59" s="48">
        <v>0</v>
      </c>
      <c r="N59" s="48">
        <f t="shared" si="4"/>
        <v>10610380.618209356</v>
      </c>
      <c r="O59" s="32">
        <f t="shared" si="5"/>
        <v>-804404.93179064058</v>
      </c>
      <c r="P59" s="41">
        <f t="shared" si="6"/>
        <v>-7.0470437509939976E-2</v>
      </c>
      <c r="Q59" s="12">
        <f t="shared" si="10"/>
        <v>7.0470437509939976E-2</v>
      </c>
      <c r="R59" s="134">
        <f t="shared" si="2"/>
        <v>647067294289.1051</v>
      </c>
      <c r="S59" s="134">
        <f t="shared" si="7"/>
        <v>-229678.77441973984</v>
      </c>
      <c r="T59" s="134">
        <f t="shared" si="8"/>
        <v>52752339418.953743</v>
      </c>
    </row>
    <row r="60" spans="1:20" x14ac:dyDescent="0.2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11"/>
        <v>14421285.930000003</v>
      </c>
      <c r="E60" s="48">
        <v>0</v>
      </c>
      <c r="F60" s="48">
        <f>Inputs!AI117</f>
        <v>3165104.1999999997</v>
      </c>
      <c r="G60" s="48">
        <f t="shared" si="3"/>
        <v>11256181.730000004</v>
      </c>
      <c r="H60" s="48">
        <f>'Weather Analysis'!I17</f>
        <v>273.00000000000006</v>
      </c>
      <c r="I60" s="48">
        <f>'Weather Analysis'!I36</f>
        <v>0</v>
      </c>
      <c r="J60" s="48">
        <v>31</v>
      </c>
      <c r="K60" s="110">
        <v>1</v>
      </c>
      <c r="L60" s="48">
        <f>Inputs!G117+Inputs!I117+Inputs!L117+Inputs!O117+Inputs!R117+Inputs!AA117</f>
        <v>7650</v>
      </c>
      <c r="M60" s="48">
        <v>0</v>
      </c>
      <c r="N60" s="48">
        <f t="shared" si="4"/>
        <v>11067744.255910831</v>
      </c>
      <c r="O60" s="32">
        <f t="shared" si="5"/>
        <v>-188437.4740891736</v>
      </c>
      <c r="P60" s="41">
        <f t="shared" si="6"/>
        <v>-1.674079884362115E-2</v>
      </c>
      <c r="Q60" s="12">
        <f t="shared" si="10"/>
        <v>1.674079884362115E-2</v>
      </c>
      <c r="R60" s="134">
        <f t="shared" si="2"/>
        <v>35508681641.107971</v>
      </c>
      <c r="S60" s="134">
        <f t="shared" si="7"/>
        <v>615967.45770146698</v>
      </c>
      <c r="T60" s="134">
        <f t="shared" si="8"/>
        <v>379415908947.2085</v>
      </c>
    </row>
    <row r="61" spans="1:20" x14ac:dyDescent="0.2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11"/>
        <v>14362812.690000001</v>
      </c>
      <c r="E61" s="48">
        <v>0</v>
      </c>
      <c r="F61" s="48">
        <f>Inputs!AI118</f>
        <v>3115749.61</v>
      </c>
      <c r="G61" s="48">
        <f t="shared" si="3"/>
        <v>11247063.080000002</v>
      </c>
      <c r="H61" s="48">
        <f>'Weather Analysis'!I18</f>
        <v>354.3</v>
      </c>
      <c r="I61" s="48">
        <f>'Weather Analysis'!I37</f>
        <v>0</v>
      </c>
      <c r="J61" s="48">
        <v>30</v>
      </c>
      <c r="K61" s="110">
        <v>0</v>
      </c>
      <c r="L61" s="48">
        <f>Inputs!G118+Inputs!I118+Inputs!L118+Inputs!O118+Inputs!R118+Inputs!AA118</f>
        <v>7665</v>
      </c>
      <c r="M61" s="48">
        <v>0</v>
      </c>
      <c r="N61" s="48">
        <f t="shared" si="4"/>
        <v>11407715.374697603</v>
      </c>
      <c r="O61" s="32">
        <f t="shared" si="5"/>
        <v>160652.29469760135</v>
      </c>
      <c r="P61" s="41">
        <f t="shared" si="6"/>
        <v>1.4283932930302487E-2</v>
      </c>
      <c r="Q61" s="12">
        <f t="shared" si="10"/>
        <v>1.4283932930302487E-2</v>
      </c>
      <c r="R61" s="134">
        <f t="shared" si="2"/>
        <v>25809159791.60495</v>
      </c>
      <c r="S61" s="134">
        <f t="shared" si="7"/>
        <v>349089.76878677495</v>
      </c>
      <c r="T61" s="134">
        <f t="shared" si="8"/>
        <v>121863666671.60399</v>
      </c>
    </row>
    <row r="62" spans="1:20" x14ac:dyDescent="0.2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11"/>
        <v>14961929.949999999</v>
      </c>
      <c r="E62" s="48">
        <v>0</v>
      </c>
      <c r="F62" s="48">
        <f>Inputs!AI119</f>
        <v>2559998.35</v>
      </c>
      <c r="G62" s="48">
        <f t="shared" si="3"/>
        <v>12401931.6</v>
      </c>
      <c r="H62" s="48">
        <f>'Weather Analysis'!I19</f>
        <v>567.59999999999991</v>
      </c>
      <c r="I62" s="48">
        <f>'Weather Analysis'!I38</f>
        <v>0</v>
      </c>
      <c r="J62" s="48">
        <v>31</v>
      </c>
      <c r="K62" s="110">
        <v>0</v>
      </c>
      <c r="L62" s="48">
        <f>Inputs!G119+Inputs!I119+Inputs!L119+Inputs!O119+Inputs!R119+Inputs!AA119</f>
        <v>7688</v>
      </c>
      <c r="M62" s="48">
        <v>0</v>
      </c>
      <c r="N62" s="48">
        <f t="shared" si="4"/>
        <v>12168477.753978733</v>
      </c>
      <c r="O62" s="32">
        <f t="shared" si="5"/>
        <v>-233453.84602126665</v>
      </c>
      <c r="P62" s="41">
        <f t="shared" si="6"/>
        <v>-1.8823990774248962E-2</v>
      </c>
      <c r="Q62" s="12">
        <f t="shared" si="10"/>
        <v>1.8823990774248962E-2</v>
      </c>
      <c r="R62" s="134">
        <f t="shared" si="2"/>
        <v>54500698222.121277</v>
      </c>
      <c r="S62" s="134">
        <f t="shared" si="7"/>
        <v>-394106.140718868</v>
      </c>
      <c r="T62" s="134">
        <f t="shared" si="8"/>
        <v>155319650152.32019</v>
      </c>
    </row>
    <row r="63" spans="1:20" x14ac:dyDescent="0.2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11"/>
        <v>15423538.489999998</v>
      </c>
      <c r="E63" s="48">
        <v>0</v>
      </c>
      <c r="F63" s="48">
        <f>Inputs!AI120</f>
        <v>3196592.24</v>
      </c>
      <c r="G63" s="48">
        <f t="shared" si="3"/>
        <v>12226946.249999998</v>
      </c>
      <c r="H63" s="48">
        <f>'Weather Analysis'!J8</f>
        <v>615.30000000000007</v>
      </c>
      <c r="I63" s="48">
        <f>'Weather Analysis'!J27</f>
        <v>0</v>
      </c>
      <c r="J63" s="48">
        <v>31</v>
      </c>
      <c r="K63" s="110">
        <v>0</v>
      </c>
      <c r="L63" s="48">
        <f>Inputs!G120+Inputs!I120+Inputs!L120+Inputs!O120+Inputs!R120+Inputs!AA120</f>
        <v>7720</v>
      </c>
      <c r="M63" s="48">
        <v>0</v>
      </c>
      <c r="N63" s="48">
        <f t="shared" si="4"/>
        <v>12300516.627195904</v>
      </c>
      <c r="O63" s="32">
        <f t="shared" si="5"/>
        <v>73570.377195905894</v>
      </c>
      <c r="P63" s="41">
        <f t="shared" si="6"/>
        <v>6.0170688323673543E-3</v>
      </c>
      <c r="Q63" s="12">
        <f t="shared" si="10"/>
        <v>6.0170688323673543E-3</v>
      </c>
      <c r="R63" s="134">
        <f t="shared" si="2"/>
        <v>5412600400.7478704</v>
      </c>
      <c r="S63" s="134">
        <f t="shared" si="7"/>
        <v>307024.22321717255</v>
      </c>
      <c r="T63" s="134">
        <f t="shared" si="8"/>
        <v>94263873642.1082</v>
      </c>
    </row>
    <row r="64" spans="1:20" x14ac:dyDescent="0.2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11"/>
        <v>14375277.779999999</v>
      </c>
      <c r="E64" s="48">
        <v>0</v>
      </c>
      <c r="F64" s="48">
        <f>Inputs!AI121</f>
        <v>2869949.63</v>
      </c>
      <c r="G64" s="48">
        <f t="shared" si="3"/>
        <v>11505328.149999999</v>
      </c>
      <c r="H64" s="48">
        <f>'Weather Analysis'!J9</f>
        <v>692.7</v>
      </c>
      <c r="I64" s="48">
        <f>'Weather Analysis'!J28</f>
        <v>0</v>
      </c>
      <c r="J64" s="48">
        <v>28</v>
      </c>
      <c r="K64" s="110">
        <v>0</v>
      </c>
      <c r="L64" s="48">
        <f>Inputs!G121+Inputs!I121+Inputs!L121+Inputs!O121+Inputs!R121+Inputs!AA121</f>
        <v>7739</v>
      </c>
      <c r="M64" s="48">
        <v>0</v>
      </c>
      <c r="N64" s="48">
        <f t="shared" si="4"/>
        <v>11357816.557554064</v>
      </c>
      <c r="O64" s="32">
        <f t="shared" si="5"/>
        <v>-147511.59244593419</v>
      </c>
      <c r="P64" s="41">
        <f t="shared" si="6"/>
        <v>-1.2821154731334996E-2</v>
      </c>
      <c r="Q64" s="12">
        <f t="shared" si="10"/>
        <v>1.2821154731334996E-2</v>
      </c>
      <c r="R64" s="134">
        <f t="shared" si="2"/>
        <v>21759669905.93539</v>
      </c>
      <c r="S64" s="134">
        <f t="shared" si="7"/>
        <v>-221081.96964184009</v>
      </c>
      <c r="T64" s="134">
        <f t="shared" si="8"/>
        <v>48877237300.7155</v>
      </c>
    </row>
    <row r="65" spans="1:20" x14ac:dyDescent="0.2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11"/>
        <v>15036579.029999999</v>
      </c>
      <c r="E65" s="48">
        <v>0</v>
      </c>
      <c r="F65" s="48">
        <f>Inputs!AI122</f>
        <v>3393106.7</v>
      </c>
      <c r="G65" s="48">
        <f t="shared" si="3"/>
        <v>11643472.329999998</v>
      </c>
      <c r="H65" s="48">
        <f>'Weather Analysis'!J10</f>
        <v>456</v>
      </c>
      <c r="I65" s="48">
        <f>'Weather Analysis'!J29</f>
        <v>0</v>
      </c>
      <c r="J65" s="48">
        <v>31</v>
      </c>
      <c r="K65" s="110">
        <v>1</v>
      </c>
      <c r="L65" s="48">
        <f>Inputs!G122+Inputs!I122+Inputs!L122+Inputs!O122+Inputs!R122+Inputs!AA122</f>
        <v>7764</v>
      </c>
      <c r="M65" s="48">
        <v>0</v>
      </c>
      <c r="N65" s="48">
        <f t="shared" si="4"/>
        <v>11559905.188205661</v>
      </c>
      <c r="O65" s="32">
        <f t="shared" si="5"/>
        <v>-83567.14179433696</v>
      </c>
      <c r="P65" s="41">
        <f t="shared" si="6"/>
        <v>-7.1771666927074639E-3</v>
      </c>
      <c r="Q65" s="12">
        <f t="shared" si="10"/>
        <v>7.1771666927074639E-3</v>
      </c>
      <c r="R65" s="134">
        <f t="shared" si="2"/>
        <v>6983467187.674819</v>
      </c>
      <c r="S65" s="134">
        <f t="shared" si="7"/>
        <v>63944.450651597232</v>
      </c>
      <c r="T65" s="134">
        <f t="shared" si="8"/>
        <v>4088892769.1345534</v>
      </c>
    </row>
    <row r="66" spans="1:20" x14ac:dyDescent="0.2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11"/>
        <v>12453620.560000001</v>
      </c>
      <c r="E66" s="48">
        <v>0</v>
      </c>
      <c r="F66" s="48">
        <f>Inputs!AI123</f>
        <v>2336568.6500000004</v>
      </c>
      <c r="G66" s="48">
        <f t="shared" si="3"/>
        <v>10117051.91</v>
      </c>
      <c r="H66" s="48">
        <f>'Weather Analysis'!J11</f>
        <v>302.70000000000005</v>
      </c>
      <c r="I66" s="48">
        <f>'Weather Analysis'!J30</f>
        <v>0</v>
      </c>
      <c r="J66" s="48">
        <v>30</v>
      </c>
      <c r="K66" s="110">
        <v>1</v>
      </c>
      <c r="L66" s="48">
        <f>Inputs!G123+Inputs!I123+Inputs!L123+Inputs!O123+Inputs!R123+Inputs!AA123</f>
        <v>7789</v>
      </c>
      <c r="M66" s="48">
        <v>0</v>
      </c>
      <c r="N66" s="48">
        <f t="shared" si="4"/>
        <v>10977958.899211511</v>
      </c>
      <c r="O66" s="32">
        <f t="shared" si="5"/>
        <v>860906.98921151087</v>
      </c>
      <c r="P66" s="41">
        <f t="shared" si="6"/>
        <v>8.5094649792254631E-2</v>
      </c>
      <c r="Q66" s="12">
        <f t="shared" si="10"/>
        <v>8.5094649792254631E-2</v>
      </c>
      <c r="R66" s="134">
        <f t="shared" si="2"/>
        <v>741160844073.22852</v>
      </c>
      <c r="S66" s="134">
        <f t="shared" si="7"/>
        <v>944474.13100584783</v>
      </c>
      <c r="T66" s="134">
        <f t="shared" si="8"/>
        <v>892031384139.25134</v>
      </c>
    </row>
    <row r="67" spans="1:20" x14ac:dyDescent="0.2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si="11"/>
        <v>13478839.190000001</v>
      </c>
      <c r="E67" s="48">
        <v>0</v>
      </c>
      <c r="F67" s="48">
        <f>Inputs!AI124</f>
        <v>2384594.4500000002</v>
      </c>
      <c r="G67" s="48">
        <f t="shared" si="3"/>
        <v>11094244.740000002</v>
      </c>
      <c r="H67" s="48">
        <f>'Weather Analysis'!J12</f>
        <v>175.60000000000005</v>
      </c>
      <c r="I67" s="48">
        <f>'Weather Analysis'!J31</f>
        <v>19.8</v>
      </c>
      <c r="J67" s="48">
        <v>31</v>
      </c>
      <c r="K67" s="110">
        <v>1</v>
      </c>
      <c r="L67" s="48">
        <f>Inputs!G124+Inputs!I124+Inputs!L124+Inputs!O124+Inputs!R124+Inputs!AA124</f>
        <v>7811</v>
      </c>
      <c r="M67" s="48">
        <v>0</v>
      </c>
      <c r="N67" s="48">
        <f t="shared" si="4"/>
        <v>11732559.13825433</v>
      </c>
      <c r="O67" s="32">
        <f t="shared" si="5"/>
        <v>638314.39825432748</v>
      </c>
      <c r="P67" s="41">
        <f t="shared" si="6"/>
        <v>5.7535633403948808E-2</v>
      </c>
      <c r="Q67" s="12">
        <f t="shared" si="10"/>
        <v>5.7535633403948808E-2</v>
      </c>
      <c r="R67" s="134">
        <f t="shared" ref="R67:R86" si="12">O67*O67</f>
        <v>407445271018.78418</v>
      </c>
      <c r="S67" s="134">
        <f t="shared" si="7"/>
        <v>-222592.59095718339</v>
      </c>
      <c r="T67" s="134">
        <f t="shared" si="8"/>
        <v>49547461549.03196</v>
      </c>
    </row>
    <row r="68" spans="1:20" x14ac:dyDescent="0.2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11"/>
        <v>15789989.870000001</v>
      </c>
      <c r="E68" s="48">
        <v>0</v>
      </c>
      <c r="F68" s="48">
        <f>Inputs!AI125</f>
        <v>2793752.57</v>
      </c>
      <c r="G68" s="48">
        <f t="shared" ref="G68:G104" si="13">D68-E68-F68</f>
        <v>12996237.300000001</v>
      </c>
      <c r="H68" s="48">
        <f>'Weather Analysis'!J13</f>
        <v>20.799999999999997</v>
      </c>
      <c r="I68" s="48">
        <f>'Weather Analysis'!J32</f>
        <v>88.100000000000009</v>
      </c>
      <c r="J68" s="48">
        <v>30</v>
      </c>
      <c r="K68" s="110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14">$W$18+$W$19*H68+$W$20*I68+$W$21*J68+$W$22*K68+$W$23*L68+M68*$W$24</f>
        <v>13652679.373115234</v>
      </c>
      <c r="O68" s="32">
        <f t="shared" ref="O68:O86" si="15">N68-G68</f>
        <v>656442.07311523333</v>
      </c>
      <c r="P68" s="41">
        <f t="shared" ref="P68:P86" si="16">O68/G68</f>
        <v>5.0510163669851837E-2</v>
      </c>
      <c r="Q68" s="12">
        <f t="shared" si="10"/>
        <v>5.0510163669851837E-2</v>
      </c>
      <c r="R68" s="134">
        <f t="shared" si="12"/>
        <v>430916195355.82532</v>
      </c>
      <c r="S68" s="134">
        <f t="shared" ref="S68:S86" si="17">O68-O67</f>
        <v>18127.674860905856</v>
      </c>
      <c r="T68" s="134">
        <f t="shared" ref="T68:T86" si="18">S68*S68</f>
        <v>328612595.86271816</v>
      </c>
    </row>
    <row r="69" spans="1:20" x14ac:dyDescent="0.2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11"/>
        <v>15898923.970000003</v>
      </c>
      <c r="E69" s="48">
        <v>0</v>
      </c>
      <c r="F69" s="48">
        <f>Inputs!AI126</f>
        <v>2235041.04</v>
      </c>
      <c r="G69" s="48">
        <f t="shared" si="13"/>
        <v>13663882.930000003</v>
      </c>
      <c r="H69" s="48">
        <f>'Weather Analysis'!J14</f>
        <v>6</v>
      </c>
      <c r="I69" s="48">
        <f>'Weather Analysis'!J33</f>
        <v>76.5</v>
      </c>
      <c r="J69" s="48">
        <v>31</v>
      </c>
      <c r="K69" s="110">
        <v>0</v>
      </c>
      <c r="L69" s="48">
        <f>Inputs!G126+Inputs!I126+Inputs!L126+Inputs!O126+Inputs!R126+Inputs!AA126</f>
        <v>7883</v>
      </c>
      <c r="M69" s="48">
        <v>0</v>
      </c>
      <c r="N69" s="48">
        <f t="shared" si="14"/>
        <v>13726833.460614176</v>
      </c>
      <c r="O69" s="32">
        <f t="shared" si="15"/>
        <v>62950.53061417304</v>
      </c>
      <c r="P69" s="41">
        <f t="shared" si="16"/>
        <v>4.6070747924779696E-3</v>
      </c>
      <c r="Q69" s="12">
        <f t="shared" si="10"/>
        <v>4.6070747924779696E-3</v>
      </c>
      <c r="R69" s="134">
        <f t="shared" si="12"/>
        <v>3962769304.605937</v>
      </c>
      <c r="S69" s="134">
        <f t="shared" si="17"/>
        <v>-593491.54250106029</v>
      </c>
      <c r="T69" s="134">
        <f t="shared" si="18"/>
        <v>352232211020.28784</v>
      </c>
    </row>
    <row r="70" spans="1:20" x14ac:dyDescent="0.2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11"/>
        <v>17996971.880000003</v>
      </c>
      <c r="E70" s="48">
        <v>0</v>
      </c>
      <c r="F70" s="48">
        <f>Inputs!AI127</f>
        <v>3029650.33</v>
      </c>
      <c r="G70" s="48">
        <f t="shared" si="13"/>
        <v>14967321.550000003</v>
      </c>
      <c r="H70" s="48">
        <f>'Weather Analysis'!J15</f>
        <v>2.2999999999999998</v>
      </c>
      <c r="I70" s="48">
        <f>'Weather Analysis'!J34</f>
        <v>112.89999999999999</v>
      </c>
      <c r="J70" s="48">
        <v>31</v>
      </c>
      <c r="K70" s="110">
        <v>0</v>
      </c>
      <c r="L70" s="48">
        <f>Inputs!G127+Inputs!I127+Inputs!L127+Inputs!O127+Inputs!R127+Inputs!AA127</f>
        <v>7901</v>
      </c>
      <c r="M70" s="48">
        <v>0</v>
      </c>
      <c r="N70" s="48">
        <f t="shared" si="14"/>
        <v>14784487.156648902</v>
      </c>
      <c r="O70" s="32">
        <f t="shared" si="15"/>
        <v>-182834.39335110039</v>
      </c>
      <c r="P70" s="41">
        <f t="shared" si="16"/>
        <v>-1.2215571953894474E-2</v>
      </c>
      <c r="Q70" s="12">
        <f t="shared" si="10"/>
        <v>1.2215571953894474E-2</v>
      </c>
      <c r="R70" s="134">
        <f t="shared" si="12"/>
        <v>33428415392.064899</v>
      </c>
      <c r="S70" s="134">
        <f t="shared" si="17"/>
        <v>-245784.92396527342</v>
      </c>
      <c r="T70" s="134">
        <f t="shared" si="18"/>
        <v>60410228848.615242</v>
      </c>
    </row>
    <row r="71" spans="1:20" x14ac:dyDescent="0.2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11"/>
        <v>14213552.020000001</v>
      </c>
      <c r="E71" s="48">
        <v>0</v>
      </c>
      <c r="F71" s="48">
        <f>Inputs!AI128</f>
        <v>2605677.4699999997</v>
      </c>
      <c r="G71" s="48">
        <f t="shared" si="13"/>
        <v>11607874.550000001</v>
      </c>
      <c r="H71" s="48">
        <f>'Weather Analysis'!J16</f>
        <v>58.4</v>
      </c>
      <c r="I71" s="48">
        <f>'Weather Analysis'!J35</f>
        <v>11.700000000000001</v>
      </c>
      <c r="J71" s="48">
        <v>30</v>
      </c>
      <c r="K71" s="110">
        <v>1</v>
      </c>
      <c r="L71" s="48">
        <f>Inputs!G128+Inputs!I128+Inputs!L128+Inputs!O128+Inputs!R128+Inputs!AA128</f>
        <v>7934</v>
      </c>
      <c r="M71" s="48">
        <v>0</v>
      </c>
      <c r="N71" s="48">
        <f t="shared" si="14"/>
        <v>11141605.602560034</v>
      </c>
      <c r="O71" s="32">
        <f t="shared" si="15"/>
        <v>-466268.94743996672</v>
      </c>
      <c r="P71" s="41">
        <f t="shared" si="16"/>
        <v>-4.0168331026627667E-2</v>
      </c>
      <c r="Q71" s="12">
        <f t="shared" si="10"/>
        <v>4.0168331026627667E-2</v>
      </c>
      <c r="R71" s="134">
        <f t="shared" si="12"/>
        <v>217406731346.77444</v>
      </c>
      <c r="S71" s="134">
        <f t="shared" si="17"/>
        <v>-283434.55408886634</v>
      </c>
      <c r="T71" s="134">
        <f t="shared" si="18"/>
        <v>80335146451.554504</v>
      </c>
    </row>
    <row r="72" spans="1:20" x14ac:dyDescent="0.2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11"/>
        <v>13997119.66</v>
      </c>
      <c r="E72" s="48">
        <v>0</v>
      </c>
      <c r="F72" s="48">
        <f>Inputs!AI129</f>
        <v>2583543.65</v>
      </c>
      <c r="G72" s="48">
        <f t="shared" si="13"/>
        <v>11413576.01</v>
      </c>
      <c r="H72" s="48">
        <f>'Weather Analysis'!J17</f>
        <v>157.30000000000001</v>
      </c>
      <c r="I72" s="48">
        <f>'Weather Analysis'!J36</f>
        <v>10.3</v>
      </c>
      <c r="J72" s="48">
        <v>31</v>
      </c>
      <c r="K72" s="110">
        <v>1</v>
      </c>
      <c r="L72" s="48">
        <f>Inputs!G129+Inputs!I129+Inputs!L129+Inputs!O129+Inputs!R129+Inputs!AA129</f>
        <v>7977</v>
      </c>
      <c r="M72" s="48">
        <v>0</v>
      </c>
      <c r="N72" s="48">
        <f t="shared" si="14"/>
        <v>11704856.538786693</v>
      </c>
      <c r="O72" s="32">
        <f t="shared" si="15"/>
        <v>291280.52878669277</v>
      </c>
      <c r="P72" s="41">
        <f t="shared" si="16"/>
        <v>2.5520531736196214E-2</v>
      </c>
      <c r="Q72" s="12">
        <f t="shared" si="10"/>
        <v>2.5520531736196214E-2</v>
      </c>
      <c r="R72" s="134">
        <f t="shared" si="12"/>
        <v>84844346450.255356</v>
      </c>
      <c r="S72" s="134">
        <f t="shared" si="17"/>
        <v>757549.47622665949</v>
      </c>
      <c r="T72" s="134">
        <f t="shared" si="18"/>
        <v>573881208931.28613</v>
      </c>
    </row>
    <row r="73" spans="1:20" x14ac:dyDescent="0.2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11"/>
        <v>14613656.860000001</v>
      </c>
      <c r="E73" s="48">
        <v>0</v>
      </c>
      <c r="F73" s="48">
        <f>Inputs!AI130</f>
        <v>2752624.6</v>
      </c>
      <c r="G73" s="48">
        <f t="shared" si="13"/>
        <v>11861032.260000002</v>
      </c>
      <c r="H73" s="48">
        <f>'Weather Analysis'!J18</f>
        <v>447.7000000000001</v>
      </c>
      <c r="I73" s="48">
        <f>'Weather Analysis'!J37</f>
        <v>0</v>
      </c>
      <c r="J73" s="48">
        <v>30</v>
      </c>
      <c r="K73" s="110">
        <v>0</v>
      </c>
      <c r="L73" s="48">
        <f>Inputs!G130+Inputs!I130+Inputs!L130+Inputs!O130+Inputs!R130+Inputs!AA130</f>
        <v>8016</v>
      </c>
      <c r="M73" s="48">
        <v>0</v>
      </c>
      <c r="N73" s="48">
        <f t="shared" si="14"/>
        <v>12139957.340746451</v>
      </c>
      <c r="O73" s="32">
        <f t="shared" si="15"/>
        <v>278925.08074644953</v>
      </c>
      <c r="P73" s="41">
        <f t="shared" si="16"/>
        <v>2.3516088198081462E-2</v>
      </c>
      <c r="Q73" s="12">
        <f t="shared" si="10"/>
        <v>2.3516088198081462E-2</v>
      </c>
      <c r="R73" s="134">
        <f t="shared" si="12"/>
        <v>77799200669.413391</v>
      </c>
      <c r="S73" s="134">
        <f t="shared" si="17"/>
        <v>-12355.448040243238</v>
      </c>
      <c r="T73" s="134">
        <f t="shared" si="18"/>
        <v>152657096.27515048</v>
      </c>
    </row>
    <row r="74" spans="1:20" x14ac:dyDescent="0.2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11"/>
        <v>14785799.459999997</v>
      </c>
      <c r="E74" s="48">
        <v>0</v>
      </c>
      <c r="F74" s="48">
        <f>Inputs!AI131</f>
        <v>2539364.25</v>
      </c>
      <c r="G74" s="48">
        <f t="shared" si="13"/>
        <v>12246435.209999997</v>
      </c>
      <c r="H74" s="48">
        <f>'Weather Analysis'!J19</f>
        <v>515.4</v>
      </c>
      <c r="I74" s="48">
        <f>'Weather Analysis'!J38</f>
        <v>0</v>
      </c>
      <c r="J74" s="48">
        <v>31</v>
      </c>
      <c r="K74" s="110">
        <v>0</v>
      </c>
      <c r="L74" s="48">
        <f>Inputs!G131+Inputs!I131+Inputs!L131+Inputs!O131+Inputs!R131+Inputs!AA131</f>
        <v>8043</v>
      </c>
      <c r="M74" s="48">
        <v>0</v>
      </c>
      <c r="N74" s="48">
        <f t="shared" si="14"/>
        <v>12664722.510015542</v>
      </c>
      <c r="O74" s="32">
        <f t="shared" si="15"/>
        <v>418287.30001554452</v>
      </c>
      <c r="P74" s="41">
        <f t="shared" si="16"/>
        <v>3.4155841503492067E-2</v>
      </c>
      <c r="Q74" s="12">
        <f t="shared" si="10"/>
        <v>3.4155841503492067E-2</v>
      </c>
      <c r="R74" s="134">
        <f t="shared" si="12"/>
        <v>174964265354.29416</v>
      </c>
      <c r="S74" s="134">
        <f t="shared" si="17"/>
        <v>139362.21926909499</v>
      </c>
      <c r="T74" s="134">
        <f t="shared" si="18"/>
        <v>19421828159.607311</v>
      </c>
    </row>
    <row r="75" spans="1:20" x14ac:dyDescent="0.2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11"/>
        <v>16451556.24</v>
      </c>
      <c r="E75" s="48">
        <v>0</v>
      </c>
      <c r="F75" s="48">
        <f>Inputs!AI132</f>
        <v>2934568.9799999995</v>
      </c>
      <c r="G75" s="48">
        <f t="shared" si="13"/>
        <v>13516987.260000002</v>
      </c>
      <c r="H75" s="48">
        <f>'Weather Analysis'!K8</f>
        <v>824.49999999999989</v>
      </c>
      <c r="I75" s="48">
        <f>'Weather Analysis'!K27</f>
        <v>0</v>
      </c>
      <c r="J75" s="48">
        <v>31</v>
      </c>
      <c r="K75" s="110">
        <v>0</v>
      </c>
      <c r="L75" s="48">
        <f>Inputs!G132+Inputs!I132+Inputs!L132+Inputs!O132+Inputs!R132+Inputs!AA132</f>
        <v>8062</v>
      </c>
      <c r="M75" s="48">
        <v>0</v>
      </c>
      <c r="N75" s="48">
        <f t="shared" si="14"/>
        <v>13210894.991242522</v>
      </c>
      <c r="O75" s="32">
        <f t="shared" si="15"/>
        <v>-306092.26875747927</v>
      </c>
      <c r="P75" s="41">
        <f t="shared" si="16"/>
        <v>-2.264500682509922E-2</v>
      </c>
      <c r="Q75" s="12">
        <f t="shared" si="10"/>
        <v>2.264500682509922E-2</v>
      </c>
      <c r="R75" s="134">
        <f t="shared" si="12"/>
        <v>93692476993.100922</v>
      </c>
      <c r="S75" s="134">
        <f t="shared" si="17"/>
        <v>-724379.56877302378</v>
      </c>
      <c r="T75" s="134">
        <f t="shared" si="18"/>
        <v>524725759655.79187</v>
      </c>
    </row>
    <row r="76" spans="1:20" x14ac:dyDescent="0.2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11"/>
        <v>14787466.58</v>
      </c>
      <c r="E76" s="48">
        <v>0</v>
      </c>
      <c r="F76" s="48">
        <f>Inputs!AI133</f>
        <v>2674491.9299999997</v>
      </c>
      <c r="G76" s="48">
        <f t="shared" si="13"/>
        <v>12112974.65</v>
      </c>
      <c r="H76" s="48">
        <f>'Weather Analysis'!K9</f>
        <v>635.30000000000018</v>
      </c>
      <c r="I76" s="48">
        <f>'Weather Analysis'!K28</f>
        <v>0</v>
      </c>
      <c r="J76" s="48">
        <v>28</v>
      </c>
      <c r="K76" s="110">
        <v>0</v>
      </c>
      <c r="L76" s="48">
        <f>Inputs!G133+Inputs!I133+Inputs!L133+Inputs!O133+Inputs!R133+Inputs!AA133</f>
        <v>8086</v>
      </c>
      <c r="M76" s="48">
        <v>0</v>
      </c>
      <c r="N76" s="48">
        <f t="shared" si="14"/>
        <v>11832255.398437949</v>
      </c>
      <c r="O76" s="32">
        <f t="shared" si="15"/>
        <v>-280719.25156205148</v>
      </c>
      <c r="P76" s="41">
        <f t="shared" si="16"/>
        <v>-2.317508784368268E-2</v>
      </c>
      <c r="Q76" s="12">
        <f t="shared" si="10"/>
        <v>2.317508784368268E-2</v>
      </c>
      <c r="R76" s="134">
        <f t="shared" si="12"/>
        <v>78803298197.558334</v>
      </c>
      <c r="S76" s="134">
        <f t="shared" si="17"/>
        <v>25373.01719542779</v>
      </c>
      <c r="T76" s="134">
        <f t="shared" si="18"/>
        <v>643790001.59947431</v>
      </c>
    </row>
    <row r="77" spans="1:20" x14ac:dyDescent="0.2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11"/>
        <v>15903185.579999994</v>
      </c>
      <c r="E77" s="48">
        <v>0</v>
      </c>
      <c r="F77" s="48">
        <f>Inputs!AI134</f>
        <v>2908552.2800000003</v>
      </c>
      <c r="G77" s="48">
        <f t="shared" si="13"/>
        <v>12994633.299999993</v>
      </c>
      <c r="H77" s="48">
        <f>'Weather Analysis'!K10</f>
        <v>499.2</v>
      </c>
      <c r="I77" s="48">
        <f>'Weather Analysis'!K29</f>
        <v>0</v>
      </c>
      <c r="J77" s="48">
        <v>31</v>
      </c>
      <c r="K77" s="110">
        <v>1</v>
      </c>
      <c r="L77" s="48">
        <f>Inputs!G134+Inputs!I134+Inputs!L134+Inputs!O134+Inputs!R134+Inputs!AA134</f>
        <v>8093</v>
      </c>
      <c r="M77" s="48">
        <v>0</v>
      </c>
      <c r="N77" s="48">
        <f t="shared" si="14"/>
        <v>12172371.737675548</v>
      </c>
      <c r="O77" s="32">
        <f t="shared" si="15"/>
        <v>-822261.56232444569</v>
      </c>
      <c r="P77" s="41">
        <f t="shared" si="16"/>
        <v>-6.3277011620208323E-2</v>
      </c>
      <c r="Q77" s="12">
        <f t="shared" si="10"/>
        <v>6.3277011620208323E-2</v>
      </c>
      <c r="R77" s="134">
        <f t="shared" si="12"/>
        <v>676114076876.23828</v>
      </c>
      <c r="S77" s="134">
        <f t="shared" si="17"/>
        <v>-541542.31076239422</v>
      </c>
      <c r="T77" s="134">
        <f t="shared" si="18"/>
        <v>293268074345.87354</v>
      </c>
    </row>
    <row r="78" spans="1:20" x14ac:dyDescent="0.2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11"/>
        <v>13584384.76</v>
      </c>
      <c r="E78" s="48">
        <v>0</v>
      </c>
      <c r="F78" s="48">
        <f>Inputs!AI135</f>
        <v>2339369.9700000002</v>
      </c>
      <c r="G78" s="48">
        <f t="shared" si="13"/>
        <v>11245014.789999999</v>
      </c>
      <c r="H78" s="48">
        <f>'Weather Analysis'!K11</f>
        <v>371.9</v>
      </c>
      <c r="I78" s="48">
        <f>'Weather Analysis'!K30</f>
        <v>0</v>
      </c>
      <c r="J78" s="48">
        <v>30</v>
      </c>
      <c r="K78" s="110">
        <v>1</v>
      </c>
      <c r="L78" s="48">
        <f>Inputs!G135+Inputs!I135+Inputs!L135+Inputs!O135+Inputs!R135+Inputs!AA135</f>
        <v>8106</v>
      </c>
      <c r="M78" s="48">
        <v>0</v>
      </c>
      <c r="N78" s="48">
        <f t="shared" si="14"/>
        <v>11614027.140489737</v>
      </c>
      <c r="O78" s="32">
        <f t="shared" si="15"/>
        <v>369012.35048973747</v>
      </c>
      <c r="P78" s="41">
        <f t="shared" si="16"/>
        <v>3.2815639408308638E-2</v>
      </c>
      <c r="Q78" s="12">
        <f t="shared" si="10"/>
        <v>3.2815639408308638E-2</v>
      </c>
      <c r="R78" s="134">
        <f t="shared" si="12"/>
        <v>136170114813.96085</v>
      </c>
      <c r="S78" s="134">
        <f t="shared" si="17"/>
        <v>1191273.9128141832</v>
      </c>
      <c r="T78" s="134">
        <f t="shared" si="18"/>
        <v>1419133535351.614</v>
      </c>
    </row>
    <row r="79" spans="1:20" x14ac:dyDescent="0.2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11"/>
        <v>14538731.920000006</v>
      </c>
      <c r="E79" s="48">
        <v>0</v>
      </c>
      <c r="F79" s="48">
        <f>Inputs!AI136</f>
        <v>2339920.3899999997</v>
      </c>
      <c r="G79" s="48">
        <f t="shared" si="13"/>
        <v>12198811.530000005</v>
      </c>
      <c r="H79" s="48">
        <f>'Weather Analysis'!K12</f>
        <v>120.5</v>
      </c>
      <c r="I79" s="48">
        <f>'Weather Analysis'!K31</f>
        <v>23.699999999999996</v>
      </c>
      <c r="J79" s="48">
        <v>31</v>
      </c>
      <c r="K79" s="110">
        <v>1</v>
      </c>
      <c r="L79" s="48">
        <f>Inputs!G136+Inputs!I136+Inputs!L136+Inputs!O136+Inputs!R136+Inputs!AA136</f>
        <v>8119</v>
      </c>
      <c r="M79" s="48">
        <v>0</v>
      </c>
      <c r="N79" s="48">
        <f t="shared" si="14"/>
        <v>12257570.994397596</v>
      </c>
      <c r="O79" s="32">
        <f t="shared" si="15"/>
        <v>58759.464397590607</v>
      </c>
      <c r="P79" s="41">
        <f t="shared" si="16"/>
        <v>4.816818773950726E-3</v>
      </c>
      <c r="Q79" s="12">
        <f t="shared" si="10"/>
        <v>4.816818773950726E-3</v>
      </c>
      <c r="R79" s="134">
        <f t="shared" si="12"/>
        <v>3452674656.291718</v>
      </c>
      <c r="S79" s="134">
        <f t="shared" si="17"/>
        <v>-310252.88609214686</v>
      </c>
      <c r="T79" s="134">
        <f t="shared" si="18"/>
        <v>96256853328.506653</v>
      </c>
    </row>
    <row r="80" spans="1:20" x14ac:dyDescent="0.2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11"/>
        <v>15824994.650000002</v>
      </c>
      <c r="E80" s="48">
        <v>0</v>
      </c>
      <c r="F80" s="48">
        <f>Inputs!AI137</f>
        <v>2565190.25</v>
      </c>
      <c r="G80" s="48">
        <f t="shared" si="13"/>
        <v>13259804.400000002</v>
      </c>
      <c r="H80" s="48">
        <f>'Weather Analysis'!K13</f>
        <v>36.700000000000003</v>
      </c>
      <c r="I80" s="48">
        <f>'Weather Analysis'!K32</f>
        <v>45.5</v>
      </c>
      <c r="J80" s="48">
        <v>30</v>
      </c>
      <c r="K80" s="110">
        <v>0</v>
      </c>
      <c r="L80" s="48">
        <f>Inputs!G137+Inputs!I137+Inputs!L137+Inputs!O137+Inputs!R137+Inputs!AA137</f>
        <v>8166</v>
      </c>
      <c r="M80" s="48">
        <v>0</v>
      </c>
      <c r="N80" s="48">
        <f t="shared" si="14"/>
        <v>12994469.141821165</v>
      </c>
      <c r="O80" s="32">
        <f t="shared" si="15"/>
        <v>-265335.2581788376</v>
      </c>
      <c r="P80" s="41">
        <f t="shared" si="16"/>
        <v>-2.0010495643422731E-2</v>
      </c>
      <c r="Q80" s="12">
        <f t="shared" si="10"/>
        <v>2.0010495643422731E-2</v>
      </c>
      <c r="R80" s="134">
        <f t="shared" si="12"/>
        <v>70402799232.830399</v>
      </c>
      <c r="S80" s="134">
        <f t="shared" si="17"/>
        <v>-324094.7225764282</v>
      </c>
      <c r="T80" s="134">
        <f t="shared" si="18"/>
        <v>105037389201.89197</v>
      </c>
    </row>
    <row r="81" spans="1:20" x14ac:dyDescent="0.2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11"/>
        <v>17241588.73</v>
      </c>
      <c r="E81" s="48">
        <v>0</v>
      </c>
      <c r="F81" s="48">
        <f>Inputs!AI138</f>
        <v>2522388.0499999998</v>
      </c>
      <c r="G81" s="48">
        <f t="shared" si="13"/>
        <v>14719200.68</v>
      </c>
      <c r="H81" s="48">
        <f>'Weather Analysis'!K14</f>
        <v>0.9</v>
      </c>
      <c r="I81" s="48">
        <f>'Weather Analysis'!K33</f>
        <v>80</v>
      </c>
      <c r="J81" s="48">
        <v>31</v>
      </c>
      <c r="K81" s="110">
        <v>0</v>
      </c>
      <c r="L81" s="48">
        <f>Inputs!G138+Inputs!I138+Inputs!L138+Inputs!O138+Inputs!R138+Inputs!AA138</f>
        <v>8192</v>
      </c>
      <c r="M81" s="48">
        <v>0</v>
      </c>
      <c r="N81" s="48">
        <f t="shared" si="14"/>
        <v>14325422.464234587</v>
      </c>
      <c r="O81" s="32">
        <f t="shared" si="15"/>
        <v>-393778.2157654129</v>
      </c>
      <c r="P81" s="41">
        <f t="shared" si="16"/>
        <v>-2.6752690198759685E-2</v>
      </c>
      <c r="Q81" s="12">
        <f t="shared" si="10"/>
        <v>2.6752690198759685E-2</v>
      </c>
      <c r="R81" s="134">
        <f t="shared" si="12"/>
        <v>155061283211.39206</v>
      </c>
      <c r="S81" s="134">
        <f t="shared" si="17"/>
        <v>-128442.9575865753</v>
      </c>
      <c r="T81" s="134">
        <f t="shared" si="18"/>
        <v>16497593353.586781</v>
      </c>
    </row>
    <row r="82" spans="1:20" x14ac:dyDescent="0.2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11"/>
        <v>17963610.170000002</v>
      </c>
      <c r="E82" s="48">
        <v>0</v>
      </c>
      <c r="F82" s="48">
        <f>Inputs!AI139</f>
        <v>2960784.4699999997</v>
      </c>
      <c r="G82" s="48">
        <f t="shared" si="13"/>
        <v>15002825.700000003</v>
      </c>
      <c r="H82" s="48">
        <f>'Weather Analysis'!K15</f>
        <v>2.2000000000000002</v>
      </c>
      <c r="I82" s="48">
        <f>'Weather Analysis'!K34</f>
        <v>71.5</v>
      </c>
      <c r="J82" s="48">
        <v>31</v>
      </c>
      <c r="K82" s="110">
        <v>0</v>
      </c>
      <c r="L82" s="48">
        <f>Inputs!G139+Inputs!I139+Inputs!L139+Inputs!O139+Inputs!R139+Inputs!AA139</f>
        <v>8221</v>
      </c>
      <c r="M82" s="48">
        <v>0</v>
      </c>
      <c r="N82" s="48">
        <f t="shared" si="14"/>
        <v>14133717.081200626</v>
      </c>
      <c r="O82" s="32">
        <f t="shared" si="15"/>
        <v>-869108.61879937723</v>
      </c>
      <c r="P82" s="41">
        <f t="shared" si="16"/>
        <v>-5.792966179693583E-2</v>
      </c>
      <c r="Q82" s="12">
        <f t="shared" si="10"/>
        <v>5.792966179693583E-2</v>
      </c>
      <c r="R82" s="134">
        <f t="shared" si="12"/>
        <v>755349791271.36121</v>
      </c>
      <c r="S82" s="134">
        <f t="shared" si="17"/>
        <v>-475330.40303396434</v>
      </c>
      <c r="T82" s="134">
        <f t="shared" si="18"/>
        <v>225938992048.43097</v>
      </c>
    </row>
    <row r="83" spans="1:20" x14ac:dyDescent="0.2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11"/>
        <v>15002641.299999997</v>
      </c>
      <c r="E83" s="48">
        <v>0</v>
      </c>
      <c r="F83" s="48">
        <f>Inputs!AI140</f>
        <v>2469973.7000000002</v>
      </c>
      <c r="G83" s="48">
        <f t="shared" si="13"/>
        <v>12532667.599999998</v>
      </c>
      <c r="H83" s="48">
        <f>'Weather Analysis'!K16</f>
        <v>69.899999999999991</v>
      </c>
      <c r="I83" s="48">
        <f>'Weather Analysis'!K35</f>
        <v>26.900000000000006</v>
      </c>
      <c r="J83" s="48">
        <v>30</v>
      </c>
      <c r="K83" s="110">
        <v>1</v>
      </c>
      <c r="L83" s="48">
        <f>Inputs!G140+Inputs!I140+Inputs!L140+Inputs!O140+Inputs!R140+Inputs!AA140</f>
        <v>8244</v>
      </c>
      <c r="M83" s="48">
        <v>0</v>
      </c>
      <c r="N83" s="48">
        <f t="shared" si="14"/>
        <v>12101929.367208991</v>
      </c>
      <c r="O83" s="32">
        <f t="shared" si="15"/>
        <v>-430738.23279100657</v>
      </c>
      <c r="P83" s="41">
        <f t="shared" si="16"/>
        <v>-3.4369237782306349E-2</v>
      </c>
      <c r="Q83" s="12">
        <f t="shared" si="10"/>
        <v>3.4369237782306349E-2</v>
      </c>
      <c r="R83" s="134">
        <f t="shared" si="12"/>
        <v>185535425187.91937</v>
      </c>
      <c r="S83" s="134">
        <f t="shared" si="17"/>
        <v>438370.38600837067</v>
      </c>
      <c r="T83" s="134">
        <f t="shared" si="18"/>
        <v>192168595329.1279</v>
      </c>
    </row>
    <row r="84" spans="1:20" x14ac:dyDescent="0.2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11"/>
        <v>14113176.860000001</v>
      </c>
      <c r="E84" s="48">
        <v>0</v>
      </c>
      <c r="F84" s="48">
        <f>Inputs!AI141</f>
        <v>2345996.61</v>
      </c>
      <c r="G84" s="48">
        <f t="shared" si="13"/>
        <v>11767180.250000002</v>
      </c>
      <c r="H84" s="48">
        <f>'Weather Analysis'!K17</f>
        <v>254</v>
      </c>
      <c r="I84" s="48">
        <f>'Weather Analysis'!K36</f>
        <v>0</v>
      </c>
      <c r="J84" s="48">
        <v>31</v>
      </c>
      <c r="K84" s="110">
        <v>1</v>
      </c>
      <c r="L84" s="48">
        <f>Inputs!G141+Inputs!I141+Inputs!L141+Inputs!O141+Inputs!R141+Inputs!AA141</f>
        <v>8288</v>
      </c>
      <c r="M84" s="48">
        <v>0</v>
      </c>
      <c r="N84" s="48">
        <f t="shared" si="14"/>
        <v>12084224.810658049</v>
      </c>
      <c r="O84" s="32">
        <f t="shared" si="15"/>
        <v>317044.56065804698</v>
      </c>
      <c r="P84" s="41">
        <f t="shared" si="16"/>
        <v>2.6943120945057922E-2</v>
      </c>
      <c r="Q84" s="12">
        <f t="shared" si="10"/>
        <v>2.6943120945057922E-2</v>
      </c>
      <c r="R84" s="134">
        <f t="shared" si="12"/>
        <v>100517253442.85403</v>
      </c>
      <c r="S84" s="134">
        <f t="shared" si="17"/>
        <v>747782.79344905354</v>
      </c>
      <c r="T84" s="134">
        <f t="shared" si="18"/>
        <v>559179106178.46985</v>
      </c>
    </row>
    <row r="85" spans="1:20" x14ac:dyDescent="0.2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11"/>
        <v>14635247.929999998</v>
      </c>
      <c r="E85" s="48">
        <v>0</v>
      </c>
      <c r="F85" s="48">
        <f>Inputs!AI142</f>
        <v>2611589.88</v>
      </c>
      <c r="G85" s="48">
        <f t="shared" si="13"/>
        <v>12023658.049999997</v>
      </c>
      <c r="H85" s="48">
        <f>'Weather Analysis'!K18</f>
        <v>401.29999999999995</v>
      </c>
      <c r="I85" s="48">
        <f>'Weather Analysis'!K37</f>
        <v>0.4</v>
      </c>
      <c r="J85" s="48">
        <v>30</v>
      </c>
      <c r="K85" s="110">
        <v>0</v>
      </c>
      <c r="L85" s="48">
        <f>Inputs!G142+Inputs!I142+Inputs!L142+Inputs!O142+Inputs!R142+Inputs!AA142</f>
        <v>8301</v>
      </c>
      <c r="M85" s="48">
        <v>0</v>
      </c>
      <c r="N85" s="48">
        <f t="shared" si="14"/>
        <v>12542231.129950071</v>
      </c>
      <c r="O85" s="32">
        <f t="shared" si="15"/>
        <v>518573.07995007373</v>
      </c>
      <c r="P85" s="41">
        <f t="shared" si="16"/>
        <v>4.312939355008303E-2</v>
      </c>
      <c r="Q85" s="12">
        <f t="shared" si="10"/>
        <v>4.312939355008303E-2</v>
      </c>
      <c r="R85" s="134">
        <f t="shared" si="12"/>
        <v>268918039248.90558</v>
      </c>
      <c r="S85" s="134">
        <f t="shared" si="17"/>
        <v>201528.51929202676</v>
      </c>
      <c r="T85" s="134">
        <f t="shared" si="18"/>
        <v>40613744088.036804</v>
      </c>
    </row>
    <row r="86" spans="1:20" x14ac:dyDescent="0.2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11"/>
        <v>15098170.840000004</v>
      </c>
      <c r="E86" s="48">
        <v>0</v>
      </c>
      <c r="F86" s="48">
        <f>Inputs!AI143</f>
        <v>2244485.73</v>
      </c>
      <c r="G86" s="48">
        <f t="shared" si="13"/>
        <v>12853685.110000003</v>
      </c>
      <c r="H86" s="48">
        <f>'Weather Analysis'!K19</f>
        <v>557.30000000000007</v>
      </c>
      <c r="I86" s="48">
        <f>'Weather Analysis'!K38</f>
        <v>0</v>
      </c>
      <c r="J86" s="48">
        <v>31</v>
      </c>
      <c r="K86" s="110">
        <v>0</v>
      </c>
      <c r="L86" s="48">
        <f>Inputs!G143+Inputs!I143+Inputs!L143+Inputs!O143+Inputs!R143+Inputs!AA143</f>
        <v>8315</v>
      </c>
      <c r="M86" s="48">
        <v>0</v>
      </c>
      <c r="N86" s="48">
        <f t="shared" si="14"/>
        <v>13181381.164974198</v>
      </c>
      <c r="O86" s="32">
        <f t="shared" si="15"/>
        <v>327696.05497419462</v>
      </c>
      <c r="P86" s="41">
        <f t="shared" si="16"/>
        <v>2.5494327282006565E-2</v>
      </c>
      <c r="Q86" s="12">
        <f t="shared" si="10"/>
        <v>2.5494327282006565E-2</v>
      </c>
      <c r="R86" s="134">
        <f t="shared" si="12"/>
        <v>107384704445.65038</v>
      </c>
      <c r="S86" s="134">
        <f t="shared" si="17"/>
        <v>-190877.02497587912</v>
      </c>
      <c r="T86" s="134">
        <f t="shared" si="18"/>
        <v>36434038663.64238</v>
      </c>
    </row>
    <row r="87" spans="1:20" x14ac:dyDescent="0.2">
      <c r="A87" s="47">
        <v>44957</v>
      </c>
      <c r="B87" s="48">
        <f>Inputs!D144</f>
        <v>15764179.122748416</v>
      </c>
      <c r="C87" s="48">
        <f>Inputs!E144</f>
        <v>27611.989999999998</v>
      </c>
      <c r="D87" s="48">
        <f t="shared" si="11"/>
        <v>15791791.112748416</v>
      </c>
      <c r="E87" s="48">
        <v>0</v>
      </c>
      <c r="F87" s="48">
        <f>Inputs!AI144</f>
        <v>2662038.7200000002</v>
      </c>
      <c r="G87" s="48">
        <f t="shared" si="13"/>
        <v>13129752.392748415</v>
      </c>
      <c r="H87" s="93">
        <v>545.69999999999993</v>
      </c>
      <c r="I87" s="93">
        <v>0</v>
      </c>
      <c r="J87" s="93">
        <v>31</v>
      </c>
      <c r="K87" s="111">
        <v>0</v>
      </c>
      <c r="L87" s="48">
        <f>'Rate Class Customer Model'!Q12</f>
        <v>8322.054935186803</v>
      </c>
      <c r="M87" s="48">
        <v>0</v>
      </c>
      <c r="N87" s="48">
        <f t="shared" si="14"/>
        <v>13173645.803177146</v>
      </c>
      <c r="O87" s="32"/>
      <c r="Q87" s="5">
        <f>AVERAGE(Q3:Q86)</f>
        <v>2.761381573363398E-2</v>
      </c>
      <c r="R87" s="134">
        <f>SUM(R3:R86)</f>
        <v>12466481141460.676</v>
      </c>
      <c r="S87" s="134"/>
      <c r="T87" s="134">
        <f>SUM(T4:T86)</f>
        <v>16443198714941.961</v>
      </c>
    </row>
    <row r="88" spans="1:20" x14ac:dyDescent="0.2">
      <c r="A88" s="47">
        <v>44985</v>
      </c>
      <c r="B88" s="48">
        <f>Inputs!D145</f>
        <v>14136641.043564996</v>
      </c>
      <c r="C88" s="48">
        <f>Inputs!E145</f>
        <v>64932.92</v>
      </c>
      <c r="D88" s="48">
        <f t="shared" si="11"/>
        <v>14201573.963564996</v>
      </c>
      <c r="E88" s="48">
        <v>0</v>
      </c>
      <c r="F88" s="48">
        <f>Inputs!AI145</f>
        <v>2424443.54</v>
      </c>
      <c r="G88" s="48">
        <f t="shared" si="13"/>
        <v>11777130.423564997</v>
      </c>
      <c r="H88" s="93">
        <v>534.49999999999989</v>
      </c>
      <c r="I88" s="93">
        <v>0</v>
      </c>
      <c r="J88" s="93">
        <v>28</v>
      </c>
      <c r="K88" s="111">
        <v>0</v>
      </c>
      <c r="L88" s="48">
        <f>'Rate Class Customer Model'!Q13</f>
        <v>8329.1158561956745</v>
      </c>
      <c r="M88" s="48">
        <v>0</v>
      </c>
      <c r="N88" s="48">
        <f t="shared" si="14"/>
        <v>12063724.7073953</v>
      </c>
      <c r="O88" s="32"/>
      <c r="R88" s="134"/>
      <c r="S88" s="134"/>
      <c r="T88" s="134"/>
    </row>
    <row r="89" spans="1:20" x14ac:dyDescent="0.2">
      <c r="A89" s="47">
        <v>45016</v>
      </c>
      <c r="B89" s="48">
        <f>Inputs!D146</f>
        <v>15486309.284900974</v>
      </c>
      <c r="C89" s="48">
        <f>Inputs!E146</f>
        <v>96594.64</v>
      </c>
      <c r="D89" s="48">
        <f t="shared" si="11"/>
        <v>15582903.924900975</v>
      </c>
      <c r="E89" s="48">
        <v>0</v>
      </c>
      <c r="F89" s="48">
        <f>Inputs!AI146</f>
        <v>2847086.92</v>
      </c>
      <c r="G89" s="48">
        <f t="shared" si="13"/>
        <v>12735817.004900975</v>
      </c>
      <c r="H89" s="93">
        <v>556.09999999999991</v>
      </c>
      <c r="I89" s="93">
        <v>0</v>
      </c>
      <c r="J89" s="93">
        <v>31</v>
      </c>
      <c r="K89" s="111">
        <v>1</v>
      </c>
      <c r="L89" s="48">
        <f>'Rate Class Customer Model'!Q14</f>
        <v>8336.1827681053364</v>
      </c>
      <c r="M89" s="48">
        <v>0</v>
      </c>
      <c r="N89" s="48">
        <f t="shared" si="14"/>
        <v>12666678.073865291</v>
      </c>
      <c r="O89" s="32"/>
      <c r="R89" s="134"/>
      <c r="S89" s="134"/>
      <c r="T89" s="134"/>
    </row>
    <row r="90" spans="1:20" x14ac:dyDescent="0.2">
      <c r="A90" s="47">
        <v>45046</v>
      </c>
      <c r="B90" s="48">
        <f>Inputs!D147</f>
        <v>13612691.13400103</v>
      </c>
      <c r="C90" s="48">
        <f>Inputs!E147</f>
        <v>169996.45</v>
      </c>
      <c r="D90" s="48">
        <f t="shared" si="11"/>
        <v>13782687.584001029</v>
      </c>
      <c r="E90" s="48">
        <v>0</v>
      </c>
      <c r="F90" s="48">
        <f>Inputs!AI147</f>
        <v>2352437.29</v>
      </c>
      <c r="G90" s="48">
        <f t="shared" si="13"/>
        <v>11430250.294001028</v>
      </c>
      <c r="H90" s="93">
        <v>290.59999999999997</v>
      </c>
      <c r="I90" s="93">
        <v>2.6</v>
      </c>
      <c r="J90" s="93">
        <v>30</v>
      </c>
      <c r="K90" s="111">
        <v>1</v>
      </c>
      <c r="L90" s="48">
        <f>'Rate Class Customer Model'!Q15</f>
        <v>8343.255675998822</v>
      </c>
      <c r="M90" s="48">
        <v>0</v>
      </c>
      <c r="N90" s="48">
        <f t="shared" si="14"/>
        <v>11942230.715016652</v>
      </c>
      <c r="O90" s="32"/>
      <c r="R90" s="134"/>
      <c r="S90" s="134"/>
      <c r="T90" s="134"/>
    </row>
    <row r="91" spans="1:20" x14ac:dyDescent="0.2">
      <c r="A91" s="47">
        <v>45077</v>
      </c>
      <c r="B91" s="48">
        <f>Inputs!D148</f>
        <v>14486939.494704532</v>
      </c>
      <c r="C91" s="48">
        <f>Inputs!E148</f>
        <v>244919.24000000002</v>
      </c>
      <c r="D91" s="48">
        <f t="shared" si="11"/>
        <v>14731858.734704532</v>
      </c>
      <c r="E91" s="48">
        <v>0</v>
      </c>
      <c r="F91" s="48">
        <f>Inputs!AI148</f>
        <v>2446893.79</v>
      </c>
      <c r="G91" s="48">
        <f t="shared" si="13"/>
        <v>12284964.944704533</v>
      </c>
      <c r="H91" s="93">
        <v>153</v>
      </c>
      <c r="I91" s="93">
        <v>8.9</v>
      </c>
      <c r="J91" s="93">
        <v>31</v>
      </c>
      <c r="K91" s="111">
        <v>1</v>
      </c>
      <c r="L91" s="48">
        <f>'Rate Class Customer Model'!Q16</f>
        <v>8350.334584963477</v>
      </c>
      <c r="M91" s="48">
        <v>0</v>
      </c>
      <c r="N91" s="48">
        <f t="shared" si="14"/>
        <v>12271244.504161395</v>
      </c>
      <c r="O91" s="32"/>
      <c r="R91" s="134"/>
      <c r="S91" s="134"/>
      <c r="T91" s="134"/>
    </row>
    <row r="92" spans="1:20" x14ac:dyDescent="0.2">
      <c r="A92" s="47">
        <v>45107</v>
      </c>
      <c r="B92" s="48">
        <f>Inputs!D149</f>
        <v>15530585.732628452</v>
      </c>
      <c r="C92" s="48">
        <f>Inputs!E149</f>
        <v>213886.78000000003</v>
      </c>
      <c r="D92" s="48">
        <f t="shared" si="11"/>
        <v>15744472.512628451</v>
      </c>
      <c r="E92" s="48">
        <v>0</v>
      </c>
      <c r="F92" s="48">
        <f>Inputs!AI149</f>
        <v>2555143.6599999997</v>
      </c>
      <c r="G92" s="48">
        <f t="shared" si="13"/>
        <v>13189328.852628451</v>
      </c>
      <c r="H92" s="93">
        <v>34.9</v>
      </c>
      <c r="I92" s="93">
        <v>31.9</v>
      </c>
      <c r="J92" s="93">
        <v>30</v>
      </c>
      <c r="K92" s="111">
        <v>0</v>
      </c>
      <c r="L92" s="48">
        <f>'Rate Class Customer Model'!Q17</f>
        <v>8357.4195000909622</v>
      </c>
      <c r="M92" s="48">
        <v>0</v>
      </c>
      <c r="N92" s="48">
        <f t="shared" si="14"/>
        <v>12919520.880326411</v>
      </c>
      <c r="O92" s="32"/>
      <c r="R92" s="134"/>
      <c r="S92" s="134"/>
      <c r="T92" s="134"/>
    </row>
    <row r="93" spans="1:20" x14ac:dyDescent="0.2">
      <c r="A93" s="47">
        <v>45138</v>
      </c>
      <c r="B93" s="48">
        <f>Inputs!D150</f>
        <v>17054339.358404133</v>
      </c>
      <c r="C93" s="48">
        <f>Inputs!E150</f>
        <v>129654.62</v>
      </c>
      <c r="D93" s="48">
        <f t="shared" si="11"/>
        <v>17183993.978404135</v>
      </c>
      <c r="E93" s="48">
        <v>0</v>
      </c>
      <c r="F93" s="48">
        <f>Inputs!AI150</f>
        <v>2382616.04</v>
      </c>
      <c r="G93" s="48">
        <f t="shared" si="13"/>
        <v>14801377.938404135</v>
      </c>
      <c r="H93" s="93">
        <v>2.4</v>
      </c>
      <c r="I93" s="93">
        <v>80.3</v>
      </c>
      <c r="J93" s="93">
        <v>31</v>
      </c>
      <c r="K93" s="111">
        <v>0</v>
      </c>
      <c r="L93" s="48">
        <f>'Rate Class Customer Model'!Q18</f>
        <v>8364.5104264772599</v>
      </c>
      <c r="M93" s="48">
        <v>0</v>
      </c>
      <c r="N93" s="48">
        <f t="shared" si="14"/>
        <v>14619853.170541732</v>
      </c>
      <c r="O93" s="32"/>
      <c r="P93"/>
      <c r="Q93"/>
      <c r="R93" s="134"/>
      <c r="S93" s="134"/>
      <c r="T93" s="134"/>
    </row>
    <row r="94" spans="1:20" x14ac:dyDescent="0.2">
      <c r="A94" s="47">
        <v>45169</v>
      </c>
      <c r="B94" s="48">
        <f>Inputs!D151</f>
        <v>16860898.505161364</v>
      </c>
      <c r="C94" s="48">
        <f>Inputs!E151</f>
        <v>178256.49</v>
      </c>
      <c r="D94" s="48">
        <f t="shared" si="11"/>
        <v>17039154.995161362</v>
      </c>
      <c r="E94" s="48">
        <v>0</v>
      </c>
      <c r="F94" s="48">
        <f>Inputs!AI151</f>
        <v>2699374.0200000005</v>
      </c>
      <c r="G94" s="48">
        <f t="shared" si="13"/>
        <v>14339780.975161362</v>
      </c>
      <c r="H94" s="93">
        <v>19.8</v>
      </c>
      <c r="I94" s="93">
        <v>35.299999999999997</v>
      </c>
      <c r="J94" s="93">
        <v>31</v>
      </c>
      <c r="K94" s="111">
        <v>0</v>
      </c>
      <c r="L94" s="48">
        <f>'Rate Class Customer Model'!Q19</f>
        <v>8371.6073692226764</v>
      </c>
      <c r="M94" s="48">
        <v>0</v>
      </c>
      <c r="N94" s="48">
        <f t="shared" si="14"/>
        <v>13381898.954169573</v>
      </c>
      <c r="O94" s="32"/>
      <c r="P94"/>
      <c r="Q94"/>
      <c r="R94" s="134"/>
      <c r="S94" s="134"/>
      <c r="T94" s="134"/>
    </row>
    <row r="95" spans="1:20" x14ac:dyDescent="0.2">
      <c r="A95" s="47">
        <v>45199</v>
      </c>
      <c r="B95" s="48">
        <f>Inputs!D152</f>
        <v>15223621.157050353</v>
      </c>
      <c r="C95" s="48">
        <f>Inputs!E152</f>
        <v>162634.43</v>
      </c>
      <c r="D95" s="48">
        <f t="shared" si="11"/>
        <v>15386255.587050352</v>
      </c>
      <c r="E95" s="48">
        <v>0</v>
      </c>
      <c r="F95" s="48">
        <f>Inputs!AI152</f>
        <v>2578882.92</v>
      </c>
      <c r="G95" s="48">
        <f t="shared" si="13"/>
        <v>12807372.667050352</v>
      </c>
      <c r="H95" s="93">
        <v>52.500000000000007</v>
      </c>
      <c r="I95" s="93">
        <v>29.200000000000003</v>
      </c>
      <c r="J95" s="93">
        <v>30</v>
      </c>
      <c r="K95" s="111">
        <v>1</v>
      </c>
      <c r="L95" s="48">
        <f>'Rate Class Customer Model'!Q20</f>
        <v>8378.7103334318454</v>
      </c>
      <c r="M95" s="48">
        <v>0</v>
      </c>
      <c r="N95" s="48">
        <f t="shared" si="14"/>
        <v>12359599.892700925</v>
      </c>
      <c r="O95" s="32"/>
      <c r="P95"/>
      <c r="Q95"/>
      <c r="R95" s="134"/>
      <c r="S95" s="134"/>
      <c r="T95" s="134"/>
    </row>
    <row r="96" spans="1:20" x14ac:dyDescent="0.2">
      <c r="A96" s="47">
        <v>45230</v>
      </c>
      <c r="B96" s="48">
        <f>Inputs!D153</f>
        <v>14832443.876044633</v>
      </c>
      <c r="C96" s="48">
        <f>Inputs!E153</f>
        <v>107189.81</v>
      </c>
      <c r="D96" s="48">
        <f t="shared" ref="D96:D104" si="19">B96+C96</f>
        <v>14939633.686044633</v>
      </c>
      <c r="E96" s="48">
        <v>0</v>
      </c>
      <c r="F96" s="48">
        <f>Inputs!AI153</f>
        <v>2594136.36</v>
      </c>
      <c r="G96" s="48">
        <f t="shared" si="13"/>
        <v>12345497.326044634</v>
      </c>
      <c r="H96" s="93">
        <v>210.69999999999996</v>
      </c>
      <c r="I96" s="93">
        <v>9.4</v>
      </c>
      <c r="J96" s="93">
        <v>31</v>
      </c>
      <c r="K96" s="111">
        <v>1</v>
      </c>
      <c r="L96" s="48">
        <f>'Rate Class Customer Model'!Q21</f>
        <v>8385.8193242137295</v>
      </c>
      <c r="M96" s="48">
        <v>0</v>
      </c>
      <c r="N96" s="48">
        <f t="shared" si="14"/>
        <v>12439874.875573182</v>
      </c>
      <c r="O96" s="32"/>
      <c r="P96"/>
      <c r="Q96"/>
      <c r="R96" s="134"/>
      <c r="S96" s="134"/>
      <c r="T96" s="134"/>
    </row>
    <row r="97" spans="1:20" x14ac:dyDescent="0.2">
      <c r="A97" s="47">
        <v>45260</v>
      </c>
      <c r="B97" s="48">
        <f>Inputs!D154</f>
        <v>15091992.253819162</v>
      </c>
      <c r="C97" s="48">
        <f>Inputs!E154</f>
        <v>66484.479999999996</v>
      </c>
      <c r="D97" s="48">
        <f t="shared" si="19"/>
        <v>15158476.733819162</v>
      </c>
      <c r="E97" s="48">
        <v>0</v>
      </c>
      <c r="F97" s="48">
        <f>Inputs!AI154</f>
        <v>2537480</v>
      </c>
      <c r="G97" s="48">
        <f t="shared" si="13"/>
        <v>12620996.733819162</v>
      </c>
      <c r="H97" s="93">
        <v>448.1</v>
      </c>
      <c r="I97" s="93">
        <v>0</v>
      </c>
      <c r="J97" s="93">
        <v>30</v>
      </c>
      <c r="K97" s="111">
        <v>0</v>
      </c>
      <c r="L97" s="48">
        <f>'Rate Class Customer Model'!Q22</f>
        <v>8392.9343466816281</v>
      </c>
      <c r="M97" s="48">
        <v>0</v>
      </c>
      <c r="N97" s="48">
        <f t="shared" si="14"/>
        <v>12759868.038487947</v>
      </c>
      <c r="O97" s="32"/>
      <c r="P97"/>
      <c r="Q97"/>
      <c r="R97" s="134"/>
      <c r="S97" s="134"/>
      <c r="T97" s="134"/>
    </row>
    <row r="98" spans="1:20" x14ac:dyDescent="0.2">
      <c r="A98" s="47">
        <v>45291</v>
      </c>
      <c r="B98" s="48">
        <f>Inputs!D155</f>
        <v>14764998.982675916</v>
      </c>
      <c r="C98" s="48">
        <f>Inputs!E155</f>
        <v>34488.400000000001</v>
      </c>
      <c r="D98" s="48">
        <f t="shared" si="19"/>
        <v>14799487.382675916</v>
      </c>
      <c r="E98" s="48">
        <v>0</v>
      </c>
      <c r="F98" s="48">
        <f>Inputs!AI155</f>
        <v>2105716.64</v>
      </c>
      <c r="G98" s="48">
        <f t="shared" si="13"/>
        <v>12693770.742675915</v>
      </c>
      <c r="H98" s="93">
        <v>462.29999999999995</v>
      </c>
      <c r="I98" s="93">
        <v>0</v>
      </c>
      <c r="J98" s="93">
        <v>31</v>
      </c>
      <c r="K98" s="111">
        <v>0</v>
      </c>
      <c r="L98" s="48">
        <f>'Rate Class Customer Model'!Q23</f>
        <v>8406</v>
      </c>
      <c r="M98" s="48">
        <v>0</v>
      </c>
      <c r="N98" s="48">
        <f t="shared" si="14"/>
        <v>13172610.623699946</v>
      </c>
      <c r="O98" s="32"/>
      <c r="P98"/>
      <c r="Q98"/>
      <c r="R98" s="134"/>
      <c r="S98" s="134"/>
      <c r="T98" s="134"/>
    </row>
    <row r="99" spans="1:20" x14ac:dyDescent="0.2">
      <c r="A99" s="47">
        <v>45322</v>
      </c>
      <c r="B99" s="48">
        <f>Inputs!D156</f>
        <v>16534102.110555433</v>
      </c>
      <c r="C99" s="48">
        <f>Inputs!E156</f>
        <v>27221.46</v>
      </c>
      <c r="D99" s="48">
        <f t="shared" si="19"/>
        <v>16561323.570555434</v>
      </c>
      <c r="E99" s="48">
        <v>0</v>
      </c>
      <c r="F99" s="48">
        <f>Inputs!AI156</f>
        <v>2651169.0700000003</v>
      </c>
      <c r="G99" s="48">
        <f t="shared" si="13"/>
        <v>13910154.500555433</v>
      </c>
      <c r="H99" s="93">
        <v>606.9000000000002</v>
      </c>
      <c r="I99" s="93">
        <v>0</v>
      </c>
      <c r="J99" s="93">
        <v>31</v>
      </c>
      <c r="K99" s="111">
        <v>0</v>
      </c>
      <c r="L99" s="48">
        <f>'Rate Class Customer Model'!R12</f>
        <v>8436</v>
      </c>
      <c r="M99" s="48">
        <v>0</v>
      </c>
      <c r="N99" s="48">
        <f t="shared" si="14"/>
        <v>13462798.534034358</v>
      </c>
      <c r="O99" s="32"/>
      <c r="P99"/>
      <c r="Q99"/>
      <c r="R99" s="134"/>
      <c r="S99" s="134"/>
      <c r="T99" s="134"/>
    </row>
    <row r="100" spans="1:20" x14ac:dyDescent="0.2">
      <c r="A100" s="47">
        <v>45351</v>
      </c>
      <c r="B100" s="48">
        <f>Inputs!D157</f>
        <v>14760437.733178187</v>
      </c>
      <c r="C100" s="48">
        <f>Inputs!E157</f>
        <v>93645.29</v>
      </c>
      <c r="D100" s="48">
        <f t="shared" si="19"/>
        <v>14854083.023178186</v>
      </c>
      <c r="E100" s="48">
        <v>0</v>
      </c>
      <c r="F100" s="48">
        <f>Inputs!AI157</f>
        <v>2452155.4500000002</v>
      </c>
      <c r="G100" s="48">
        <f t="shared" si="13"/>
        <v>12401927.573178187</v>
      </c>
      <c r="H100" s="93">
        <v>509.09999999999997</v>
      </c>
      <c r="I100" s="93">
        <v>0</v>
      </c>
      <c r="J100" s="93">
        <v>29</v>
      </c>
      <c r="K100" s="111">
        <v>0</v>
      </c>
      <c r="L100" s="48">
        <f>'Rate Class Customer Model'!R13</f>
        <v>8440</v>
      </c>
      <c r="M100" s="48">
        <v>0</v>
      </c>
      <c r="N100" s="48">
        <f t="shared" si="14"/>
        <v>12571194.481051523</v>
      </c>
      <c r="O100" s="32"/>
      <c r="P100"/>
      <c r="Q100"/>
      <c r="R100" s="134"/>
      <c r="S100" s="134"/>
      <c r="T100" s="134"/>
    </row>
    <row r="101" spans="1:20" x14ac:dyDescent="0.2">
      <c r="A101" s="47">
        <v>45382</v>
      </c>
      <c r="B101" s="48">
        <f>Inputs!D158</f>
        <v>15024470.071688553</v>
      </c>
      <c r="C101" s="48">
        <f>Inputs!E158</f>
        <v>129827.51</v>
      </c>
      <c r="D101" s="48">
        <f t="shared" si="19"/>
        <v>15154297.581688553</v>
      </c>
      <c r="E101" s="48">
        <v>0</v>
      </c>
      <c r="F101" s="48">
        <f>Inputs!AI158</f>
        <v>2515743.84</v>
      </c>
      <c r="G101" s="48">
        <f t="shared" si="13"/>
        <v>12638553.741688553</v>
      </c>
      <c r="H101" s="93">
        <v>430.70000000000005</v>
      </c>
      <c r="I101" s="93">
        <v>0</v>
      </c>
      <c r="J101" s="93">
        <v>31</v>
      </c>
      <c r="K101" s="111">
        <v>1</v>
      </c>
      <c r="L101" s="48">
        <f>'Rate Class Customer Model'!R14</f>
        <v>8442</v>
      </c>
      <c r="M101" s="48">
        <v>0</v>
      </c>
      <c r="N101" s="48">
        <f t="shared" si="14"/>
        <v>12631603.743730271</v>
      </c>
      <c r="O101" s="32"/>
      <c r="P101"/>
      <c r="Q101"/>
      <c r="R101" s="134"/>
      <c r="S101" s="134"/>
      <c r="T101" s="134"/>
    </row>
    <row r="102" spans="1:20" x14ac:dyDescent="0.2">
      <c r="A102" s="47">
        <v>45412</v>
      </c>
      <c r="B102" s="48">
        <f>Inputs!D159</f>
        <v>14291771.432481281</v>
      </c>
      <c r="C102" s="48">
        <f>Inputs!E159</f>
        <v>126561.07</v>
      </c>
      <c r="D102" s="48">
        <f t="shared" si="19"/>
        <v>14418332.502481282</v>
      </c>
      <c r="E102" s="48">
        <v>0</v>
      </c>
      <c r="F102" s="48">
        <f>Inputs!AI159</f>
        <v>2597494.8499999996</v>
      </c>
      <c r="G102" s="48">
        <f t="shared" si="13"/>
        <v>11820837.652481282</v>
      </c>
      <c r="H102" s="93">
        <v>262.89999999999998</v>
      </c>
      <c r="I102" s="93">
        <v>0.7</v>
      </c>
      <c r="J102" s="93">
        <v>30</v>
      </c>
      <c r="K102" s="111">
        <v>1</v>
      </c>
      <c r="L102" s="48">
        <f>'Rate Class Customer Model'!R15</f>
        <v>8446</v>
      </c>
      <c r="M102" s="48">
        <v>0</v>
      </c>
      <c r="N102" s="48">
        <f t="shared" si="14"/>
        <v>12010890.192605292</v>
      </c>
      <c r="O102" s="32"/>
      <c r="P102"/>
      <c r="Q102"/>
      <c r="R102" s="134"/>
      <c r="S102" s="134"/>
      <c r="T102" s="134"/>
    </row>
    <row r="103" spans="1:20" x14ac:dyDescent="0.2">
      <c r="A103" s="47">
        <v>45443</v>
      </c>
      <c r="B103" s="48">
        <f>Inputs!D160</f>
        <v>15158175.05241408</v>
      </c>
      <c r="C103" s="48">
        <f>Inputs!E160</f>
        <v>184786.31</v>
      </c>
      <c r="D103" s="48">
        <f t="shared" si="19"/>
        <v>15342961.362414081</v>
      </c>
      <c r="E103" s="48">
        <v>0</v>
      </c>
      <c r="F103" s="48">
        <f>Inputs!AI160</f>
        <v>2572848.3100000005</v>
      </c>
      <c r="G103" s="48">
        <f t="shared" si="13"/>
        <v>12770113.05241408</v>
      </c>
      <c r="H103" s="93">
        <v>77.3</v>
      </c>
      <c r="I103" s="93">
        <v>11.1</v>
      </c>
      <c r="J103" s="93">
        <v>31</v>
      </c>
      <c r="K103" s="111">
        <v>1</v>
      </c>
      <c r="L103" s="48">
        <f>'Rate Class Customer Model'!R16</f>
        <v>8456</v>
      </c>
      <c r="M103" s="48">
        <v>0</v>
      </c>
      <c r="N103" s="48">
        <f t="shared" si="14"/>
        <v>12381230.031101283</v>
      </c>
      <c r="O103" s="32"/>
      <c r="P103"/>
      <c r="Q103"/>
      <c r="R103" s="134"/>
      <c r="S103" s="134"/>
      <c r="T103" s="134"/>
    </row>
    <row r="104" spans="1:20" x14ac:dyDescent="0.2">
      <c r="A104" s="47">
        <v>45473</v>
      </c>
      <c r="B104" s="48">
        <f>Inputs!D161</f>
        <v>16328490.095426783</v>
      </c>
      <c r="C104" s="48">
        <f>Inputs!E161</f>
        <v>204911.08</v>
      </c>
      <c r="D104" s="48">
        <f t="shared" si="19"/>
        <v>16533401.175426783</v>
      </c>
      <c r="E104" s="48">
        <v>0</v>
      </c>
      <c r="F104" s="48">
        <f>Inputs!AI161</f>
        <v>2367826.21</v>
      </c>
      <c r="G104" s="48">
        <f t="shared" si="13"/>
        <v>14165574.965426784</v>
      </c>
      <c r="H104" s="93">
        <v>26.8</v>
      </c>
      <c r="I104" s="93">
        <v>72.09999999999998</v>
      </c>
      <c r="J104" s="93">
        <v>30</v>
      </c>
      <c r="K104" s="111">
        <v>0</v>
      </c>
      <c r="L104" s="48">
        <f>'Rate Class Customer Model'!R17</f>
        <v>8480</v>
      </c>
      <c r="M104" s="48">
        <v>0</v>
      </c>
      <c r="N104" s="48">
        <f t="shared" si="14"/>
        <v>14249624.45289018</v>
      </c>
      <c r="O104" s="32"/>
      <c r="P104"/>
      <c r="Q104"/>
      <c r="R104" s="134"/>
      <c r="S104" s="134"/>
      <c r="T104" s="134"/>
    </row>
    <row r="105" spans="1:20" x14ac:dyDescent="0.2">
      <c r="A105" s="47">
        <v>45504</v>
      </c>
      <c r="B105" s="48"/>
      <c r="C105" s="48"/>
      <c r="D105" s="48"/>
      <c r="E105" s="48"/>
      <c r="F105" s="48"/>
      <c r="G105" s="48"/>
      <c r="H105" s="56">
        <f>(H9+H21+H33+H45+H57+H69+H81+H93)/8</f>
        <v>2.2625000000000002</v>
      </c>
      <c r="I105" s="56">
        <f>(I9+I21+I33+I45+I57+I69+I81+I93)/8</f>
        <v>100.26249999999999</v>
      </c>
      <c r="J105" s="93">
        <v>31</v>
      </c>
      <c r="K105" s="111">
        <v>0</v>
      </c>
      <c r="L105" s="96">
        <f>'Rate Class Customer Model'!R18</f>
        <v>8492.5406045191612</v>
      </c>
      <c r="M105" s="48">
        <v>0</v>
      </c>
      <c r="N105" s="48">
        <f t="shared" si="14"/>
        <v>15397159.601377618</v>
      </c>
      <c r="O105" s="32"/>
      <c r="P105"/>
      <c r="Q105"/>
      <c r="R105" s="134"/>
      <c r="S105" s="134"/>
      <c r="T105" s="134"/>
    </row>
    <row r="106" spans="1:20" x14ac:dyDescent="0.2">
      <c r="A106" s="47">
        <v>45535</v>
      </c>
      <c r="B106" s="48"/>
      <c r="C106" s="48"/>
      <c r="D106" s="48"/>
      <c r="E106" s="48"/>
      <c r="F106" s="48"/>
      <c r="G106" s="48"/>
      <c r="H106" s="56">
        <f t="shared" ref="H106:I106" si="20">(H10+H22+H34+H46+H58+H70+H82+H94)/8</f>
        <v>8.6000000000000014</v>
      </c>
      <c r="I106" s="56">
        <f t="shared" si="20"/>
        <v>79.587499999999991</v>
      </c>
      <c r="J106" s="93">
        <v>31</v>
      </c>
      <c r="K106" s="111">
        <v>0</v>
      </c>
      <c r="L106" s="96">
        <f>'Rate Class Customer Model'!R19</f>
        <v>8505.0997546470153</v>
      </c>
      <c r="M106" s="48">
        <v>0</v>
      </c>
      <c r="N106" s="48">
        <f t="shared" si="14"/>
        <v>14840904.124312181</v>
      </c>
      <c r="O106" s="32"/>
      <c r="P106"/>
      <c r="Q106"/>
      <c r="R106" s="134"/>
      <c r="S106" s="134"/>
      <c r="T106" s="134"/>
    </row>
    <row r="107" spans="1:20" x14ac:dyDescent="0.2">
      <c r="A107" s="47">
        <v>45565</v>
      </c>
      <c r="B107" s="48"/>
      <c r="C107" s="48"/>
      <c r="D107" s="48"/>
      <c r="E107" s="48"/>
      <c r="F107" s="48"/>
      <c r="G107" s="48"/>
      <c r="H107" s="56">
        <f t="shared" ref="H107:I107" si="21">(H11+H23+H35+H47+H59+H71+H83+H95)/8</f>
        <v>62.674999999999983</v>
      </c>
      <c r="I107" s="56">
        <f t="shared" si="21"/>
        <v>31.699999999999996</v>
      </c>
      <c r="J107" s="93">
        <v>30</v>
      </c>
      <c r="K107" s="111">
        <v>1</v>
      </c>
      <c r="L107" s="96">
        <f>'Rate Class Customer Model'!R20</f>
        <v>8517.6774778096387</v>
      </c>
      <c r="M107" s="48">
        <v>0</v>
      </c>
      <c r="N107" s="48">
        <f t="shared" si="14"/>
        <v>12675886.126150776</v>
      </c>
      <c r="O107" s="32"/>
      <c r="P107"/>
      <c r="Q107"/>
      <c r="R107" s="134"/>
      <c r="S107" s="134"/>
      <c r="T107" s="134"/>
    </row>
    <row r="108" spans="1:20" x14ac:dyDescent="0.2">
      <c r="A108" s="47">
        <v>45596</v>
      </c>
      <c r="B108" s="48"/>
      <c r="C108" s="48"/>
      <c r="D108" s="48"/>
      <c r="E108" s="48"/>
      <c r="F108" s="48"/>
      <c r="G108" s="48"/>
      <c r="H108" s="56">
        <f t="shared" ref="H108:I108" si="22">(H12+H24+H36+H48+H60+H72+H84+H96)/8</f>
        <v>229.3125</v>
      </c>
      <c r="I108" s="56">
        <f t="shared" si="22"/>
        <v>5.1125000000000007</v>
      </c>
      <c r="J108" s="93">
        <v>31</v>
      </c>
      <c r="K108" s="111">
        <v>1</v>
      </c>
      <c r="L108" s="96">
        <f>'Rate Class Customer Model'!R21</f>
        <v>8530.2738014736697</v>
      </c>
      <c r="M108" s="48">
        <v>0</v>
      </c>
      <c r="N108" s="48">
        <f t="shared" si="14"/>
        <v>12586377.005670207</v>
      </c>
      <c r="O108" s="32"/>
      <c r="P108"/>
      <c r="Q108"/>
      <c r="R108" s="134"/>
      <c r="S108" s="134"/>
      <c r="T108" s="134"/>
    </row>
    <row r="109" spans="1:20" x14ac:dyDescent="0.2">
      <c r="A109" s="47">
        <v>45626</v>
      </c>
      <c r="B109" s="48"/>
      <c r="C109" s="48"/>
      <c r="D109" s="48"/>
      <c r="E109" s="48"/>
      <c r="F109" s="48"/>
      <c r="G109" s="48"/>
      <c r="H109" s="56">
        <f t="shared" ref="H109:I109" si="23">(H13+H25+H37+H49+H61+H73+H85+H97)/8</f>
        <v>439.67500000000001</v>
      </c>
      <c r="I109" s="56">
        <f t="shared" si="23"/>
        <v>0.05</v>
      </c>
      <c r="J109" s="93">
        <v>30</v>
      </c>
      <c r="K109" s="111">
        <v>0</v>
      </c>
      <c r="L109" s="96">
        <f>'Rate Class Customer Model'!R22</f>
        <v>8542.8887531463643</v>
      </c>
      <c r="M109" s="48">
        <v>0</v>
      </c>
      <c r="N109" s="48">
        <f t="shared" si="14"/>
        <v>12993604.400968518</v>
      </c>
      <c r="O109" s="32"/>
      <c r="R109" s="134"/>
      <c r="S109" s="134"/>
      <c r="T109" s="134"/>
    </row>
    <row r="110" spans="1:20" x14ac:dyDescent="0.2">
      <c r="A110" s="47">
        <v>45657</v>
      </c>
      <c r="B110" s="48"/>
      <c r="C110" s="48"/>
      <c r="D110" s="48"/>
      <c r="E110" s="48"/>
      <c r="F110" s="48"/>
      <c r="G110" s="48"/>
      <c r="H110" s="56">
        <f t="shared" ref="H110:I110" si="24">(H14+H26+H38+H50+H62+H74+H86+H98)/8</f>
        <v>573.38750000000005</v>
      </c>
      <c r="I110" s="56">
        <f t="shared" si="24"/>
        <v>0</v>
      </c>
      <c r="J110" s="93">
        <v>31</v>
      </c>
      <c r="K110" s="111">
        <v>0</v>
      </c>
      <c r="L110" s="96">
        <f>'Rate Class Customer Model'!R23</f>
        <v>8555.5223603756567</v>
      </c>
      <c r="M110" s="48">
        <v>0</v>
      </c>
      <c r="N110" s="48">
        <f t="shared" si="14"/>
        <v>13603323.525808295</v>
      </c>
      <c r="O110" s="32"/>
      <c r="R110" s="134"/>
      <c r="S110" s="134"/>
      <c r="T110" s="134"/>
    </row>
    <row r="111" spans="1:20" x14ac:dyDescent="0.2">
      <c r="A111" s="33"/>
      <c r="J111" s="10"/>
      <c r="K111" s="58"/>
    </row>
    <row r="112" spans="1:20" x14ac:dyDescent="0.2">
      <c r="A112" s="33"/>
      <c r="J112" s="10"/>
      <c r="K112" s="58"/>
      <c r="S112" s="172" t="s">
        <v>140</v>
      </c>
    </row>
    <row r="113" spans="1:31" ht="12.6" customHeight="1" x14ac:dyDescent="0.2">
      <c r="A113" s="33"/>
      <c r="H113" s="98" t="s">
        <v>147</v>
      </c>
      <c r="I113" s="95"/>
      <c r="J113" s="10"/>
      <c r="K113" s="58"/>
      <c r="S113" s="172"/>
    </row>
    <row r="114" spans="1:31" x14ac:dyDescent="0.2">
      <c r="A114" s="33"/>
      <c r="H114" s="99" t="s">
        <v>89</v>
      </c>
      <c r="I114" s="97"/>
      <c r="J114" s="10"/>
      <c r="K114" s="58"/>
      <c r="N114" s="32">
        <f>SUM(N2:N110)</f>
        <v>1292185791.9457352</v>
      </c>
      <c r="S114" s="172"/>
      <c r="W114" s="27">
        <v>2016</v>
      </c>
      <c r="X114" s="27">
        <v>2017</v>
      </c>
      <c r="Y114" s="27">
        <v>2018</v>
      </c>
      <c r="Z114" s="27">
        <v>2019</v>
      </c>
      <c r="AA114" s="27">
        <v>2020</v>
      </c>
      <c r="AB114" s="27">
        <v>2021</v>
      </c>
      <c r="AC114" s="27">
        <v>2022</v>
      </c>
      <c r="AD114" s="27">
        <v>2023</v>
      </c>
      <c r="AE114" s="27">
        <v>2024</v>
      </c>
    </row>
    <row r="115" spans="1:31" x14ac:dyDescent="0.2">
      <c r="A115" s="33"/>
      <c r="J115" s="10"/>
      <c r="K115" s="58"/>
      <c r="O115" s="52" t="s">
        <v>133</v>
      </c>
      <c r="P115" s="52" t="s">
        <v>134</v>
      </c>
      <c r="Q115" s="52" t="s">
        <v>139</v>
      </c>
      <c r="R115" s="52" t="s">
        <v>106</v>
      </c>
      <c r="S115" s="172"/>
      <c r="W115">
        <f t="array" ref="W115:AE115">TRANSPOSE(S116:S124)</f>
        <v>0.99178615751510579</v>
      </c>
      <c r="X115">
        <v>1.006295151156879</v>
      </c>
      <c r="Y115">
        <v>0.98784034084910499</v>
      </c>
      <c r="Z115">
        <v>1.0022088601509016</v>
      </c>
      <c r="AA115">
        <v>0.99381408751684008</v>
      </c>
      <c r="AB115">
        <v>0.9967432843831957</v>
      </c>
      <c r="AC115">
        <v>1.0049038239398991</v>
      </c>
      <c r="AD115">
        <v>1.0168667606055013</v>
      </c>
      <c r="AE115">
        <v>1.001644354054305</v>
      </c>
    </row>
    <row r="116" spans="1:31" x14ac:dyDescent="0.2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0</v>
      </c>
      <c r="F116" s="6">
        <f>SUM(F3:F14)</f>
        <v>66595461.769999996</v>
      </c>
      <c r="G116" s="6">
        <f>SUM(G3:G14)</f>
        <v>135175786.38</v>
      </c>
      <c r="N116" s="6">
        <f>SUM(N3:N14)</f>
        <v>132510643.81659734</v>
      </c>
      <c r="O116" s="6">
        <f>E116</f>
        <v>0</v>
      </c>
      <c r="P116" s="6">
        <f>F116</f>
        <v>66595461.769999996</v>
      </c>
      <c r="Q116" s="6">
        <f>N116+O116+P116</f>
        <v>199106105.58659732</v>
      </c>
      <c r="R116" s="6">
        <f>'Power Purchased Model - WN'!Q116</f>
        <v>197470679.39752829</v>
      </c>
      <c r="S116" s="5">
        <f>R116/Q116</f>
        <v>0.99178615751510579</v>
      </c>
      <c r="T116" s="6"/>
    </row>
    <row r="117" spans="1:31" x14ac:dyDescent="0.2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0</v>
      </c>
      <c r="F117" s="6">
        <f>SUM(F15:F26)</f>
        <v>59043555.620000005</v>
      </c>
      <c r="G117" s="6">
        <f>SUM(G15:G26)</f>
        <v>130593904.94999999</v>
      </c>
      <c r="N117" s="6">
        <f>SUM(N15:N26)</f>
        <v>131674337.10147783</v>
      </c>
      <c r="O117" s="6">
        <f t="shared" ref="O117:O122" si="25">E117</f>
        <v>0</v>
      </c>
      <c r="P117" s="6">
        <f>F117</f>
        <v>59043555.620000005</v>
      </c>
      <c r="Q117" s="6">
        <f t="shared" ref="Q117:Q122" si="26">N117+O117+P117</f>
        <v>190717892.72147784</v>
      </c>
      <c r="R117" s="6">
        <f>'Power Purchased Model - WN'!Q117</f>
        <v>191918490.68448097</v>
      </c>
      <c r="S117" s="5">
        <f t="shared" ref="S117:S124" si="27">R117/Q117</f>
        <v>1.006295151156879</v>
      </c>
      <c r="T117" s="6"/>
    </row>
    <row r="118" spans="1:31" x14ac:dyDescent="0.2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0</v>
      </c>
      <c r="F118" s="6">
        <f>SUM(F27:F38)</f>
        <v>52211839.280000001</v>
      </c>
      <c r="G118" s="6">
        <f>SUM(G27:G38)</f>
        <v>137782115.54000002</v>
      </c>
      <c r="N118" s="6">
        <f>SUM(N27:N38)</f>
        <v>137453251.06029546</v>
      </c>
      <c r="O118" s="6">
        <f t="shared" si="25"/>
        <v>0</v>
      </c>
      <c r="P118" s="6">
        <f>F118</f>
        <v>52211839.280000001</v>
      </c>
      <c r="Q118" s="6">
        <f t="shared" si="26"/>
        <v>189665090.34029546</v>
      </c>
      <c r="R118" s="6">
        <f>'Power Purchased Model - WN'!Q118</f>
        <v>187358827.48893377</v>
      </c>
      <c r="S118" s="5">
        <f t="shared" si="27"/>
        <v>0.98784034084910499</v>
      </c>
      <c r="T118" s="6"/>
    </row>
    <row r="119" spans="1:31" x14ac:dyDescent="0.2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0</v>
      </c>
      <c r="F119" s="6">
        <f>SUM(F39:F50)</f>
        <v>42225842.570000008</v>
      </c>
      <c r="G119" s="6">
        <f>SUM(G39:G50)</f>
        <v>135056311.13</v>
      </c>
      <c r="N119" s="6">
        <f>SUM(N39:N50)</f>
        <v>137511593.98099035</v>
      </c>
      <c r="O119" s="6">
        <f t="shared" si="25"/>
        <v>0</v>
      </c>
      <c r="P119" s="6">
        <f>F119</f>
        <v>42225842.570000008</v>
      </c>
      <c r="Q119" s="6">
        <f t="shared" si="26"/>
        <v>179737436.55099034</v>
      </c>
      <c r="R119" s="6">
        <f>'Power Purchased Model - WN'!Q119</f>
        <v>180134451.41221303</v>
      </c>
      <c r="S119" s="5">
        <f t="shared" si="27"/>
        <v>1.0022088601509016</v>
      </c>
      <c r="T119" s="6"/>
    </row>
    <row r="120" spans="1:31" x14ac:dyDescent="0.2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0</v>
      </c>
      <c r="F120" s="6">
        <f>SUM(F51:F62)</f>
        <v>33334087.879999999</v>
      </c>
      <c r="G120" s="6">
        <f>SUM(G51:G62)</f>
        <v>140046370.87</v>
      </c>
      <c r="N120" s="6">
        <f>SUM(N51:N62)</f>
        <v>139666225.71235925</v>
      </c>
      <c r="O120" s="6">
        <f t="shared" si="25"/>
        <v>0</v>
      </c>
      <c r="P120" s="6">
        <f>F120</f>
        <v>33334087.879999999</v>
      </c>
      <c r="Q120" s="6">
        <f t="shared" si="26"/>
        <v>173000313.59235924</v>
      </c>
      <c r="R120" s="6">
        <f>'Power Purchased Model - WN'!Q120</f>
        <v>171930148.7929177</v>
      </c>
      <c r="S120" s="5">
        <f t="shared" si="27"/>
        <v>0.99381408751684008</v>
      </c>
      <c r="T120" s="6"/>
    </row>
    <row r="121" spans="1:31" x14ac:dyDescent="0.2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0</v>
      </c>
      <c r="F121" s="6">
        <f>SUM(F63:F74)</f>
        <v>32720465.579999998</v>
      </c>
      <c r="G121" s="6">
        <f>SUM(G63:G74)</f>
        <v>145343403.19000003</v>
      </c>
      <c r="N121" s="6">
        <f>SUM(N63:N74)</f>
        <v>147743898.39290851</v>
      </c>
      <c r="O121" s="6">
        <f t="shared" si="25"/>
        <v>0</v>
      </c>
      <c r="P121" s="6">
        <f t="shared" ref="P121" si="28">F121</f>
        <v>32720465.579999998</v>
      </c>
      <c r="Q121" s="6">
        <f t="shared" si="26"/>
        <v>180464363.9729085</v>
      </c>
      <c r="R121" s="6">
        <f>'Power Purchased Model - WN'!Q121</f>
        <v>179876642.86048126</v>
      </c>
      <c r="S121" s="5">
        <f t="shared" si="27"/>
        <v>0.9967432843831957</v>
      </c>
      <c r="T121" s="6"/>
    </row>
    <row r="122" spans="1:31" x14ac:dyDescent="0.2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0</v>
      </c>
      <c r="F122" s="6">
        <f>SUM(F75:F86)</f>
        <v>30917312.239999998</v>
      </c>
      <c r="G122" s="6">
        <f>SUM(G75:G86)</f>
        <v>154227443.32000002</v>
      </c>
      <c r="N122" s="6">
        <f>SUM(N75:N86)</f>
        <v>152450495.42229104</v>
      </c>
      <c r="O122" s="6">
        <f t="shared" si="25"/>
        <v>0</v>
      </c>
      <c r="P122" s="6">
        <f>F122</f>
        <v>30917312.239999998</v>
      </c>
      <c r="Q122" s="6">
        <f t="shared" si="26"/>
        <v>183367807.66229105</v>
      </c>
      <c r="R122" s="6">
        <f>'Power Purchased Model - WN'!Q122</f>
        <v>184267011.1073122</v>
      </c>
      <c r="S122" s="5">
        <f t="shared" si="27"/>
        <v>1.0049038239398991</v>
      </c>
      <c r="T122" s="6"/>
    </row>
    <row r="123" spans="1:31" x14ac:dyDescent="0.2">
      <c r="A123" s="27">
        <v>2023</v>
      </c>
      <c r="D123" s="6">
        <f>SUM(D87:D98)</f>
        <v>184342290.19570395</v>
      </c>
      <c r="E123" s="6">
        <f t="shared" ref="E123:G123" si="29">SUM(E87:E98)</f>
        <v>0</v>
      </c>
      <c r="F123" s="6">
        <f>SUM(F87:F98)</f>
        <v>30186249.899999999</v>
      </c>
      <c r="G123" s="6">
        <f t="shared" si="29"/>
        <v>154156040.29570395</v>
      </c>
      <c r="N123" s="6">
        <f>SUM(N87:N98)</f>
        <v>153770750.23911551</v>
      </c>
      <c r="O123" s="6">
        <v>0</v>
      </c>
      <c r="P123" s="6">
        <f>F123</f>
        <v>30186249.899999999</v>
      </c>
      <c r="Q123" s="6">
        <f t="shared" ref="Q123:Q124" si="30">N123+O123+P123</f>
        <v>183957000.13911551</v>
      </c>
      <c r="R123" s="6">
        <f>'Power Purchased Model - WN'!Q123</f>
        <v>187059758.82216814</v>
      </c>
      <c r="S123" s="5">
        <f t="shared" si="27"/>
        <v>1.0168667606055013</v>
      </c>
      <c r="T123" s="6"/>
    </row>
    <row r="124" spans="1:31" x14ac:dyDescent="0.2">
      <c r="A124" s="27">
        <v>2024</v>
      </c>
      <c r="D124" s="6">
        <f>SUM(D99:D110)</f>
        <v>92864399.215744317</v>
      </c>
      <c r="E124" s="6">
        <f t="shared" ref="E124:G124" si="31">SUM(E99:E110)</f>
        <v>0</v>
      </c>
      <c r="F124" s="6">
        <f t="shared" si="31"/>
        <v>15157237.73</v>
      </c>
      <c r="G124" s="6">
        <f t="shared" si="31"/>
        <v>77707161.485744327</v>
      </c>
      <c r="N124" s="15">
        <f>SUM(N99:N110)</f>
        <v>159404596.21970052</v>
      </c>
      <c r="O124" s="6">
        <v>0</v>
      </c>
      <c r="P124" s="6">
        <f>SUM(F99:F104)+F138</f>
        <v>29575984.290000062</v>
      </c>
      <c r="Q124" s="6">
        <f t="shared" si="30"/>
        <v>188980580.50970057</v>
      </c>
      <c r="R124" s="6">
        <f>'Power Purchased Model - WN'!Q124</f>
        <v>189291331.49344659</v>
      </c>
      <c r="S124" s="5">
        <f t="shared" si="27"/>
        <v>1.001644354054305</v>
      </c>
      <c r="T124" s="5"/>
    </row>
    <row r="125" spans="1:31" x14ac:dyDescent="0.2">
      <c r="N125" s="6"/>
    </row>
    <row r="126" spans="1:31" x14ac:dyDescent="0.2">
      <c r="A126" s="42" t="s">
        <v>7</v>
      </c>
      <c r="B126" s="6">
        <f>SUM(B116:B122)</f>
        <v>1282930063.3699999</v>
      </c>
      <c r="D126" s="6">
        <f>SUM(D116:D124)</f>
        <v>1572480589.7314482</v>
      </c>
      <c r="E126" s="6">
        <f t="shared" ref="E126:F126" si="32">SUM(E116:E124)</f>
        <v>0</v>
      </c>
      <c r="F126" s="6">
        <f t="shared" si="32"/>
        <v>362392052.56999999</v>
      </c>
      <c r="G126" s="6">
        <f>SUM(G116:G124)</f>
        <v>1210088537.1614482</v>
      </c>
      <c r="L126" s="1" t="s">
        <v>126</v>
      </c>
      <c r="N126" s="6">
        <f>SUM(N116:N123)+SUM(N99:N104)</f>
        <v>1210088537.1614482</v>
      </c>
      <c r="Q126" s="6">
        <f>SUM(Q116:Q122)</f>
        <v>1296059010.4269197</v>
      </c>
    </row>
    <row r="127" spans="1:31" x14ac:dyDescent="0.2">
      <c r="N127" s="32">
        <f>N126-G126</f>
        <v>0</v>
      </c>
      <c r="Q127" s="6">
        <f>Q126-D126</f>
        <v>-276421579.30452847</v>
      </c>
    </row>
    <row r="129" spans="1:20" x14ac:dyDescent="0.2">
      <c r="F129" s="60" t="s">
        <v>151</v>
      </c>
      <c r="O129"/>
      <c r="P129"/>
      <c r="Q129"/>
      <c r="R129"/>
      <c r="S129"/>
      <c r="T129"/>
    </row>
    <row r="130" spans="1:20" x14ac:dyDescent="0.2">
      <c r="A130" s="27">
        <v>2016</v>
      </c>
      <c r="F130" s="6">
        <f>SUM(F9:F14)</f>
        <v>33497818.990000002</v>
      </c>
      <c r="N130" s="6">
        <f>SUM(N116:N124)</f>
        <v>1292185791.9457359</v>
      </c>
    </row>
    <row r="131" spans="1:20" x14ac:dyDescent="0.2">
      <c r="A131" s="27">
        <v>2017</v>
      </c>
      <c r="F131" s="6">
        <f>SUM(F21:F26)</f>
        <v>27447480.450000003</v>
      </c>
      <c r="N131" s="32">
        <f>N114-N130</f>
        <v>0</v>
      </c>
    </row>
    <row r="132" spans="1:20" x14ac:dyDescent="0.2">
      <c r="A132" s="27">
        <v>2018</v>
      </c>
      <c r="B132"/>
      <c r="C132"/>
      <c r="D132"/>
      <c r="E132"/>
      <c r="F132" s="32">
        <f>SUM(F33:F38)</f>
        <v>24790562.309999999</v>
      </c>
      <c r="G132"/>
      <c r="H132"/>
      <c r="I132"/>
      <c r="J132"/>
      <c r="L132"/>
      <c r="M132"/>
      <c r="N132"/>
      <c r="O132"/>
    </row>
    <row r="133" spans="1:20" x14ac:dyDescent="0.2">
      <c r="A133" s="27">
        <v>2019</v>
      </c>
      <c r="B133"/>
      <c r="C133"/>
      <c r="D133"/>
      <c r="E133"/>
      <c r="F133" s="32">
        <f>SUM(F45:F50)</f>
        <v>20518276.920000002</v>
      </c>
      <c r="G133"/>
      <c r="H133"/>
      <c r="I133"/>
      <c r="J133"/>
      <c r="L133"/>
      <c r="M133"/>
      <c r="N133"/>
      <c r="O133"/>
    </row>
    <row r="134" spans="1:20" x14ac:dyDescent="0.2">
      <c r="A134" s="27">
        <v>2020</v>
      </c>
      <c r="B134"/>
      <c r="C134"/>
      <c r="D134"/>
      <c r="E134"/>
      <c r="F134" s="32">
        <f>SUM(F57:F62)</f>
        <v>18423404.809999999</v>
      </c>
      <c r="G134"/>
      <c r="H134"/>
      <c r="I134"/>
      <c r="J134"/>
      <c r="L134"/>
      <c r="M134"/>
      <c r="N134"/>
      <c r="O134"/>
    </row>
    <row r="135" spans="1:20" x14ac:dyDescent="0.2">
      <c r="A135" s="27">
        <v>2021</v>
      </c>
      <c r="B135"/>
      <c r="C135"/>
      <c r="D135"/>
      <c r="E135"/>
      <c r="F135" s="32">
        <f>SUM(F69:F74)</f>
        <v>15745901.34</v>
      </c>
      <c r="G135"/>
      <c r="H135"/>
      <c r="I135"/>
      <c r="J135"/>
      <c r="L135"/>
      <c r="M135"/>
      <c r="N135"/>
      <c r="O135"/>
    </row>
    <row r="136" spans="1:20" x14ac:dyDescent="0.2">
      <c r="A136" s="27">
        <v>2022</v>
      </c>
      <c r="B136"/>
      <c r="C136"/>
      <c r="F136" s="6">
        <f>SUM(F81:F86)</f>
        <v>15155218.440000001</v>
      </c>
      <c r="H136" s="6"/>
      <c r="I136" s="6"/>
      <c r="J136" s="6"/>
      <c r="L136"/>
      <c r="M136"/>
      <c r="N136"/>
      <c r="O136"/>
    </row>
    <row r="137" spans="1:20" x14ac:dyDescent="0.2">
      <c r="A137" s="27">
        <v>2023</v>
      </c>
      <c r="B137"/>
      <c r="C137"/>
      <c r="F137" s="6">
        <f>SUM(F93:F98)</f>
        <v>14898205.98</v>
      </c>
      <c r="H137" s="6"/>
      <c r="I137" s="6"/>
      <c r="J137" s="6"/>
      <c r="L137"/>
      <c r="M137"/>
      <c r="N137"/>
      <c r="O137"/>
    </row>
    <row r="138" spans="1:20" x14ac:dyDescent="0.2">
      <c r="A138" s="27">
        <v>2024</v>
      </c>
      <c r="B138"/>
      <c r="C138"/>
      <c r="E138" s="60" t="s">
        <v>152</v>
      </c>
      <c r="F138" s="6" cm="1">
        <f t="array" ref="F138">TREND(F135:F137,A135:A137,A138)</f>
        <v>14418746.560000062</v>
      </c>
      <c r="H138" s="6"/>
      <c r="I138" s="6"/>
      <c r="J138" s="6"/>
      <c r="L138"/>
      <c r="M138"/>
      <c r="N138"/>
      <c r="O138"/>
    </row>
    <row r="139" spans="1:20" x14ac:dyDescent="0.2">
      <c r="A139"/>
      <c r="B139"/>
      <c r="C139"/>
      <c r="H139" s="6"/>
      <c r="I139" s="6"/>
      <c r="J139" s="6"/>
      <c r="L139"/>
      <c r="M139"/>
      <c r="N139"/>
      <c r="O139"/>
    </row>
    <row r="140" spans="1:20" x14ac:dyDescent="0.2">
      <c r="A140"/>
      <c r="B140"/>
      <c r="C140"/>
      <c r="E140" s="6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 x14ac:dyDescent="0.2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 x14ac:dyDescent="0.2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 x14ac:dyDescent="0.2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 x14ac:dyDescent="0.2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 x14ac:dyDescent="0.2">
      <c r="A145"/>
      <c r="H145" s="6"/>
      <c r="I145" s="6"/>
      <c r="J145" s="6"/>
      <c r="P145"/>
      <c r="Q145"/>
      <c r="R145"/>
      <c r="S145"/>
      <c r="T145"/>
    </row>
    <row r="146" spans="1:20" x14ac:dyDescent="0.2">
      <c r="A146"/>
      <c r="H146" s="6"/>
      <c r="I146" s="6"/>
      <c r="J146" s="6"/>
      <c r="P146"/>
      <c r="Q146"/>
      <c r="R146"/>
      <c r="S146"/>
      <c r="T146"/>
    </row>
    <row r="147" spans="1:20" x14ac:dyDescent="0.2">
      <c r="A147"/>
      <c r="H147" s="6"/>
      <c r="I147" s="6"/>
      <c r="J147" s="6"/>
      <c r="P147"/>
      <c r="Q147"/>
      <c r="R147"/>
      <c r="S147"/>
      <c r="T147"/>
    </row>
    <row r="148" spans="1:20" x14ac:dyDescent="0.2">
      <c r="A148"/>
      <c r="H148" s="6"/>
      <c r="I148" s="6"/>
      <c r="J148" s="6"/>
      <c r="K148" s="6"/>
      <c r="P148"/>
      <c r="Q148"/>
      <c r="R148"/>
      <c r="S148"/>
      <c r="T148"/>
    </row>
    <row r="149" spans="1:20" x14ac:dyDescent="0.2">
      <c r="A149"/>
      <c r="P149"/>
      <c r="Q149"/>
      <c r="R149"/>
      <c r="S149"/>
      <c r="T149"/>
    </row>
    <row r="150" spans="1:20" x14ac:dyDescent="0.2">
      <c r="A150"/>
      <c r="P150"/>
      <c r="Q150"/>
      <c r="R150"/>
      <c r="S150"/>
      <c r="T150"/>
    </row>
    <row r="151" spans="1:20" x14ac:dyDescent="0.2">
      <c r="A151"/>
      <c r="P151"/>
      <c r="Q151"/>
      <c r="R151"/>
      <c r="S151"/>
      <c r="T151"/>
    </row>
    <row r="152" spans="1:20" x14ac:dyDescent="0.2">
      <c r="A152"/>
      <c r="P152"/>
      <c r="Q152"/>
      <c r="R152"/>
      <c r="S152"/>
      <c r="T152"/>
    </row>
    <row r="153" spans="1:20" x14ac:dyDescent="0.2">
      <c r="A153"/>
      <c r="P153"/>
      <c r="Q153"/>
      <c r="R153"/>
      <c r="S153"/>
      <c r="T153"/>
    </row>
    <row r="154" spans="1:20" x14ac:dyDescent="0.2">
      <c r="A154"/>
      <c r="P154"/>
      <c r="Q154"/>
      <c r="R154"/>
      <c r="S154"/>
      <c r="T154"/>
    </row>
    <row r="155" spans="1:20" x14ac:dyDescent="0.2">
      <c r="A155"/>
      <c r="P155"/>
      <c r="Q155"/>
      <c r="R155"/>
      <c r="S155"/>
      <c r="T155"/>
    </row>
    <row r="156" spans="1:20" customFormat="1" x14ac:dyDescent="0.2">
      <c r="K156" s="57"/>
    </row>
    <row r="157" spans="1:20" customFormat="1" x14ac:dyDescent="0.2">
      <c r="K157" s="57"/>
    </row>
  </sheetData>
  <mergeCells count="1">
    <mergeCell ref="S112:S115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I157"/>
  <sheetViews>
    <sheetView zoomScale="78" zoomScaleNormal="78" workbookViewId="0">
      <pane xSplit="1" ySplit="2" topLeftCell="D104" activePane="bottomRight" state="frozen"/>
      <selection pane="topRight" activeCell="C1" sqref="C1"/>
      <selection pane="bottomLeft" activeCell="A3" sqref="A3"/>
      <selection pane="bottomRight" activeCell="T118" sqref="T118"/>
    </sheetView>
  </sheetViews>
  <sheetFormatPr defaultRowHeight="12.75" x14ac:dyDescent="0.2"/>
  <cols>
    <col min="1" max="1" width="11.85546875" style="27" customWidth="1"/>
    <col min="2" max="7" width="16.85546875" style="6" customWidth="1"/>
    <col min="8" max="8" width="11.5703125" style="1" customWidth="1"/>
    <col min="9" max="9" width="13.42578125" style="1" customWidth="1"/>
    <col min="10" max="10" width="10.140625" style="1" customWidth="1"/>
    <col min="11" max="11" width="10.28515625" style="57" customWidth="1"/>
    <col min="12" max="13" width="13" style="1" customWidth="1"/>
    <col min="14" max="14" width="15.5703125" style="1" bestFit="1" customWidth="1"/>
    <col min="15" max="15" width="16" style="1" customWidth="1"/>
    <col min="16" max="16" width="18.28515625" style="1" bestFit="1" customWidth="1"/>
    <col min="17" max="17" width="15" style="1" bestFit="1" customWidth="1"/>
    <col min="18" max="18" width="17.85546875" style="1" bestFit="1" customWidth="1"/>
    <col min="19" max="19" width="11.42578125" style="1" customWidth="1"/>
    <col min="20" max="20" width="17.85546875" style="1" bestFit="1" customWidth="1"/>
    <col min="21" max="21" width="4.85546875" customWidth="1"/>
    <col min="22" max="22" width="44.42578125" customWidth="1"/>
    <col min="23" max="23" width="18.42578125" customWidth="1"/>
    <col min="24" max="28" width="12.5703125" customWidth="1"/>
    <col min="29" max="29" width="21.85546875" customWidth="1"/>
    <col min="30" max="30" width="12.5703125" customWidth="1"/>
    <col min="31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5703125" bestFit="1" customWidth="1"/>
    <col min="38" max="38" width="42.85546875" bestFit="1" customWidth="1"/>
  </cols>
  <sheetData>
    <row r="1" spans="1:35" x14ac:dyDescent="0.2">
      <c r="O1"/>
      <c r="P1"/>
      <c r="Q1"/>
      <c r="R1"/>
      <c r="S1"/>
      <c r="T1"/>
      <c r="AF1" s="105"/>
      <c r="AG1" s="105"/>
      <c r="AH1" s="105"/>
      <c r="AI1" s="105"/>
    </row>
    <row r="2" spans="1:35" ht="38.25" x14ac:dyDescent="0.2">
      <c r="A2" s="100"/>
      <c r="B2" s="101" t="s">
        <v>75</v>
      </c>
      <c r="C2" s="101" t="s">
        <v>107</v>
      </c>
      <c r="D2" s="101" t="s">
        <v>113</v>
      </c>
      <c r="E2" s="101" t="s">
        <v>115</v>
      </c>
      <c r="F2" s="101" t="s">
        <v>116</v>
      </c>
      <c r="G2" s="101" t="s">
        <v>117</v>
      </c>
      <c r="H2" s="102" t="s">
        <v>2</v>
      </c>
      <c r="I2" s="102" t="s">
        <v>3</v>
      </c>
      <c r="J2" s="102" t="s">
        <v>90</v>
      </c>
      <c r="K2" s="103" t="s">
        <v>13</v>
      </c>
      <c r="L2" s="102" t="s">
        <v>104</v>
      </c>
      <c r="M2" s="102" t="s">
        <v>114</v>
      </c>
      <c r="N2" s="102" t="s">
        <v>8</v>
      </c>
      <c r="O2"/>
      <c r="P2"/>
      <c r="Q2"/>
      <c r="R2"/>
      <c r="S2"/>
      <c r="T2"/>
      <c r="V2" s="43" t="s">
        <v>14</v>
      </c>
      <c r="AF2" s="105"/>
      <c r="AG2" s="105"/>
      <c r="AH2" s="105"/>
      <c r="AI2" s="105"/>
    </row>
    <row r="3" spans="1:35" ht="13.5" thickBot="1" x14ac:dyDescent="0.25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66" si="0">B3+C3</f>
        <v>17276658.48</v>
      </c>
      <c r="E3" s="48">
        <v>1398553.38</v>
      </c>
      <c r="F3" s="48">
        <v>4160319.42</v>
      </c>
      <c r="G3" s="48">
        <f>D3-E3-F3</f>
        <v>11717785.680000002</v>
      </c>
      <c r="H3" s="48">
        <f>'Power Purchased Model'!H87</f>
        <v>545.69999999999993</v>
      </c>
      <c r="I3" s="48">
        <f>'Power Purchased Model'!I87</f>
        <v>0</v>
      </c>
      <c r="J3" s="48">
        <v>31</v>
      </c>
      <c r="K3" s="110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10948151.18900279</v>
      </c>
      <c r="O3"/>
      <c r="P3"/>
      <c r="Q3"/>
      <c r="R3"/>
      <c r="S3"/>
      <c r="T3"/>
      <c r="AF3" s="105"/>
      <c r="AG3" s="105"/>
      <c r="AH3" s="105"/>
      <c r="AI3" s="105"/>
    </row>
    <row r="4" spans="1:35" x14ac:dyDescent="0.2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v>1222410.74</v>
      </c>
      <c r="F4" s="48">
        <v>4296011.57</v>
      </c>
      <c r="G4" s="48">
        <f t="shared" ref="G4:G67" si="1">D4-E4-F4</f>
        <v>10880832.73</v>
      </c>
      <c r="H4" s="48">
        <f>'Power Purchased Model'!H88</f>
        <v>534.49999999999989</v>
      </c>
      <c r="I4" s="48">
        <f>'Power Purchased Model'!I88</f>
        <v>0</v>
      </c>
      <c r="J4" s="48">
        <v>29</v>
      </c>
      <c r="K4" s="110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2">$W$18+$W$19*H4+$W$20*I4+$W$21*J4+$W$22*K4+$W$23*L4+M4*$W$24</f>
        <v>10273286.976411542</v>
      </c>
      <c r="O4"/>
      <c r="P4"/>
      <c r="Q4"/>
      <c r="R4"/>
      <c r="S4"/>
      <c r="T4"/>
      <c r="V4" s="114" t="s">
        <v>15</v>
      </c>
      <c r="W4" s="114"/>
      <c r="AF4" s="105"/>
      <c r="AG4" s="105"/>
      <c r="AH4" s="105"/>
      <c r="AI4" s="105"/>
    </row>
    <row r="5" spans="1:35" x14ac:dyDescent="0.2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v>1328244.3800000001</v>
      </c>
      <c r="F5" s="48">
        <v>4380082.97</v>
      </c>
      <c r="G5" s="48">
        <f t="shared" si="1"/>
        <v>10807575.789999999</v>
      </c>
      <c r="H5" s="48">
        <f>'Power Purchased Model'!H89</f>
        <v>556.09999999999991</v>
      </c>
      <c r="I5" s="48">
        <f>'Power Purchased Model'!I89</f>
        <v>0</v>
      </c>
      <c r="J5" s="48">
        <v>31</v>
      </c>
      <c r="K5" s="110">
        <v>1</v>
      </c>
      <c r="L5" s="48">
        <f>Inputs!G62+Inputs!I62+Inputs!L62+Inputs!O62+Inputs!R62+Inputs!AA62</f>
        <v>6984</v>
      </c>
      <c r="M5" s="48">
        <v>0</v>
      </c>
      <c r="N5" s="48">
        <f t="shared" si="2"/>
        <v>10504589.000668231</v>
      </c>
      <c r="O5"/>
      <c r="P5"/>
      <c r="Q5"/>
      <c r="R5"/>
      <c r="S5"/>
      <c r="T5"/>
      <c r="V5" t="s">
        <v>16</v>
      </c>
      <c r="W5" s="135">
        <v>0.95542479415903248</v>
      </c>
      <c r="AF5" s="105"/>
      <c r="AG5" s="105"/>
      <c r="AH5" s="105"/>
      <c r="AI5" s="105"/>
    </row>
    <row r="6" spans="1:35" x14ac:dyDescent="0.2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v>1253861.8099999998</v>
      </c>
      <c r="F6" s="48">
        <v>4125931.53</v>
      </c>
      <c r="G6" s="48">
        <f t="shared" si="1"/>
        <v>10104563.939999999</v>
      </c>
      <c r="H6" s="48">
        <f>'Power Purchased Model'!H90</f>
        <v>290.59999999999997</v>
      </c>
      <c r="I6" s="48">
        <f>'Power Purchased Model'!I90</f>
        <v>2.6</v>
      </c>
      <c r="J6" s="48">
        <v>30</v>
      </c>
      <c r="K6" s="110">
        <v>1</v>
      </c>
      <c r="L6" s="48">
        <f>Inputs!G63+Inputs!I63+Inputs!L63+Inputs!O63+Inputs!R63+Inputs!AA63</f>
        <v>6995</v>
      </c>
      <c r="M6" s="48">
        <v>0</v>
      </c>
      <c r="N6" s="48">
        <f t="shared" si="2"/>
        <v>9763386.5095043816</v>
      </c>
      <c r="O6"/>
      <c r="P6"/>
      <c r="Q6"/>
      <c r="R6"/>
      <c r="S6"/>
      <c r="T6"/>
      <c r="V6" t="s">
        <v>17</v>
      </c>
      <c r="W6" s="135">
        <v>0.91283653729382963</v>
      </c>
      <c r="AF6" s="105"/>
      <c r="AG6" s="105"/>
      <c r="AH6" s="105"/>
      <c r="AI6" s="105"/>
    </row>
    <row r="7" spans="1:35" x14ac:dyDescent="0.2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v>1195532.79</v>
      </c>
      <c r="F7" s="48">
        <v>4159261.96</v>
      </c>
      <c r="G7" s="48">
        <f t="shared" si="1"/>
        <v>10234090.780000001</v>
      </c>
      <c r="H7" s="48">
        <f>'Power Purchased Model'!H91</f>
        <v>153</v>
      </c>
      <c r="I7" s="48">
        <f>'Power Purchased Model'!I91</f>
        <v>8.9</v>
      </c>
      <c r="J7" s="48">
        <v>31</v>
      </c>
      <c r="K7" s="110">
        <v>1</v>
      </c>
      <c r="L7" s="48">
        <f>Inputs!G64+Inputs!I64+Inputs!L64+Inputs!O64+Inputs!R64+Inputs!AA64</f>
        <v>7003</v>
      </c>
      <c r="M7" s="48">
        <v>0</v>
      </c>
      <c r="N7" s="48">
        <f t="shared" si="2"/>
        <v>10029517.020859923</v>
      </c>
      <c r="O7"/>
      <c r="P7"/>
      <c r="Q7"/>
      <c r="R7"/>
      <c r="S7"/>
      <c r="T7"/>
      <c r="V7" t="s">
        <v>18</v>
      </c>
      <c r="W7" s="135">
        <v>0.90604457916088132</v>
      </c>
      <c r="AF7" s="105"/>
      <c r="AG7" s="105"/>
      <c r="AH7" s="105"/>
      <c r="AI7" s="105"/>
    </row>
    <row r="8" spans="1:35" x14ac:dyDescent="0.2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v>1306218.8199999998</v>
      </c>
      <c r="F8" s="48">
        <v>4271213.41</v>
      </c>
      <c r="G8" s="48">
        <f t="shared" si="1"/>
        <v>11447199.939999998</v>
      </c>
      <c r="H8" s="48">
        <f>'Power Purchased Model'!H92</f>
        <v>34.9</v>
      </c>
      <c r="I8" s="48">
        <f>'Power Purchased Model'!I92</f>
        <v>31.9</v>
      </c>
      <c r="J8" s="48">
        <v>30</v>
      </c>
      <c r="K8" s="110">
        <v>0</v>
      </c>
      <c r="L8" s="48">
        <f>Inputs!G65+Inputs!I65+Inputs!L65+Inputs!O65+Inputs!R65+Inputs!AA65</f>
        <v>7015</v>
      </c>
      <c r="M8" s="48">
        <v>0</v>
      </c>
      <c r="N8" s="48">
        <f t="shared" si="2"/>
        <v>10657229.943084178</v>
      </c>
      <c r="O8"/>
      <c r="P8"/>
      <c r="Q8"/>
      <c r="R8"/>
      <c r="S8"/>
      <c r="T8"/>
      <c r="V8" t="s">
        <v>19</v>
      </c>
      <c r="W8" s="136">
        <v>398903.16033600213</v>
      </c>
      <c r="AF8" s="105"/>
      <c r="AG8" s="105"/>
      <c r="AH8" s="105"/>
      <c r="AI8" s="105"/>
    </row>
    <row r="9" spans="1:35" ht="13.5" thickBot="1" x14ac:dyDescent="0.25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v>1366765.55</v>
      </c>
      <c r="F9" s="48">
        <v>3813952.6999999997</v>
      </c>
      <c r="G9" s="48">
        <f t="shared" si="1"/>
        <v>12653341.41</v>
      </c>
      <c r="H9" s="48">
        <f>'Power Purchased Model'!H93</f>
        <v>2.4</v>
      </c>
      <c r="I9" s="48">
        <f>'Power Purchased Model'!I93</f>
        <v>80.3</v>
      </c>
      <c r="J9" s="48">
        <v>31</v>
      </c>
      <c r="K9" s="110">
        <v>0</v>
      </c>
      <c r="L9" s="48">
        <f>Inputs!G66+Inputs!I66+Inputs!L66+Inputs!O66+Inputs!R66+Inputs!AA66</f>
        <v>7029</v>
      </c>
      <c r="M9" s="48">
        <v>0</v>
      </c>
      <c r="N9" s="48">
        <f t="shared" si="2"/>
        <v>12382061.634272147</v>
      </c>
      <c r="O9"/>
      <c r="P9"/>
      <c r="Q9"/>
      <c r="R9"/>
      <c r="S9"/>
      <c r="T9"/>
      <c r="V9" s="112" t="s">
        <v>20</v>
      </c>
      <c r="W9" s="112">
        <v>84</v>
      </c>
      <c r="AF9" s="105"/>
      <c r="AG9" s="105"/>
      <c r="AH9" s="105"/>
      <c r="AI9" s="105"/>
    </row>
    <row r="10" spans="1:35" x14ac:dyDescent="0.2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v>1456378.23</v>
      </c>
      <c r="F10" s="48">
        <v>4753916.74</v>
      </c>
      <c r="G10" s="48">
        <f t="shared" si="1"/>
        <v>14045928.409999998</v>
      </c>
      <c r="H10" s="48">
        <f>'Power Purchased Model'!H94</f>
        <v>19.8</v>
      </c>
      <c r="I10" s="48">
        <f>'Power Purchased Model'!I94</f>
        <v>35.299999999999997</v>
      </c>
      <c r="J10" s="48">
        <v>31</v>
      </c>
      <c r="K10" s="110">
        <v>0</v>
      </c>
      <c r="L10" s="48">
        <f>Inputs!G67+Inputs!I67+Inputs!L67+Inputs!O67+Inputs!R67+Inputs!AA67</f>
        <v>7045</v>
      </c>
      <c r="M10" s="48">
        <v>0</v>
      </c>
      <c r="N10" s="48">
        <f t="shared" si="2"/>
        <v>11106348.772183599</v>
      </c>
      <c r="O10"/>
      <c r="P10"/>
      <c r="Q10"/>
      <c r="R10"/>
      <c r="S10"/>
      <c r="T10"/>
      <c r="AF10" s="105"/>
      <c r="AG10" s="105"/>
      <c r="AH10" s="105"/>
      <c r="AI10" s="105"/>
    </row>
    <row r="11" spans="1:35" ht="13.5" thickBot="1" x14ac:dyDescent="0.25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v>1349320.0799999998</v>
      </c>
      <c r="F11" s="48">
        <v>4536643.54</v>
      </c>
      <c r="G11" s="48">
        <f t="shared" si="1"/>
        <v>11329825.549999997</v>
      </c>
      <c r="H11" s="48">
        <f>'Power Purchased Model'!H95</f>
        <v>52.500000000000007</v>
      </c>
      <c r="I11" s="48">
        <f>'Power Purchased Model'!I95</f>
        <v>29.200000000000003</v>
      </c>
      <c r="J11" s="48">
        <v>30</v>
      </c>
      <c r="K11" s="110">
        <v>1</v>
      </c>
      <c r="L11" s="48">
        <f>Inputs!G68+Inputs!I68+Inputs!L68+Inputs!O68+Inputs!R68+Inputs!AA68</f>
        <v>7053</v>
      </c>
      <c r="M11" s="48">
        <v>0</v>
      </c>
      <c r="N11" s="48">
        <f t="shared" si="2"/>
        <v>10190511.458330674</v>
      </c>
      <c r="O11"/>
      <c r="P11"/>
      <c r="Q11"/>
      <c r="R11"/>
      <c r="S11"/>
      <c r="T11"/>
      <c r="V11" t="s">
        <v>21</v>
      </c>
    </row>
    <row r="12" spans="1:35" x14ac:dyDescent="0.2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v>1234720.6599999999</v>
      </c>
      <c r="F12" s="48">
        <v>4536507.6399999997</v>
      </c>
      <c r="G12" s="48">
        <f t="shared" si="1"/>
        <v>10272831.66</v>
      </c>
      <c r="H12" s="48">
        <f>'Power Purchased Model'!H96</f>
        <v>210.69999999999996</v>
      </c>
      <c r="I12" s="48">
        <f>'Power Purchased Model'!I96</f>
        <v>9.4</v>
      </c>
      <c r="J12" s="48">
        <v>31</v>
      </c>
      <c r="K12" s="110">
        <v>1</v>
      </c>
      <c r="L12" s="48">
        <f>Inputs!G69+Inputs!I69+Inputs!L69+Inputs!O69+Inputs!R69+Inputs!AA69</f>
        <v>7064</v>
      </c>
      <c r="M12" s="48">
        <v>0</v>
      </c>
      <c r="N12" s="48">
        <f t="shared" si="2"/>
        <v>10252011.511966698</v>
      </c>
      <c r="O12"/>
      <c r="P12"/>
      <c r="Q12"/>
      <c r="R12"/>
      <c r="S12"/>
      <c r="T12"/>
      <c r="V12" s="113"/>
      <c r="W12" s="113" t="s">
        <v>25</v>
      </c>
      <c r="X12" s="113" t="s">
        <v>26</v>
      </c>
      <c r="Y12" s="113" t="s">
        <v>27</v>
      </c>
      <c r="Z12" s="113" t="s">
        <v>28</v>
      </c>
      <c r="AA12" s="113" t="s">
        <v>29</v>
      </c>
    </row>
    <row r="13" spans="1:35" x14ac:dyDescent="0.2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v>1266138.96</v>
      </c>
      <c r="F13" s="48">
        <v>4373435.6499999994</v>
      </c>
      <c r="G13" s="48">
        <f t="shared" si="1"/>
        <v>10360075.34</v>
      </c>
      <c r="H13" s="48">
        <f>'Power Purchased Model'!H97</f>
        <v>448.1</v>
      </c>
      <c r="I13" s="48">
        <f>'Power Purchased Model'!I97</f>
        <v>0</v>
      </c>
      <c r="J13" s="48">
        <v>30</v>
      </c>
      <c r="K13" s="110">
        <v>0</v>
      </c>
      <c r="L13" s="48">
        <f>Inputs!G70+Inputs!I70+Inputs!L70+Inputs!O70+Inputs!R70+Inputs!AA70</f>
        <v>7067</v>
      </c>
      <c r="M13" s="48">
        <v>0</v>
      </c>
      <c r="N13" s="48">
        <f t="shared" si="2"/>
        <v>10583023.631995331</v>
      </c>
      <c r="O13"/>
      <c r="P13"/>
      <c r="Q13"/>
      <c r="R13"/>
      <c r="S13"/>
      <c r="T13"/>
      <c r="V13" t="s">
        <v>22</v>
      </c>
      <c r="W13">
        <v>6</v>
      </c>
      <c r="X13">
        <v>128317006431744.59</v>
      </c>
      <c r="Y13">
        <v>21386167738624.098</v>
      </c>
      <c r="Z13" s="137">
        <v>134.399611927168</v>
      </c>
      <c r="AA13">
        <v>1.0685257992552773E-38</v>
      </c>
    </row>
    <row r="14" spans="1:35" x14ac:dyDescent="0.2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v>1137069.6299999999</v>
      </c>
      <c r="F14" s="48">
        <v>3672969.6100000003</v>
      </c>
      <c r="G14" s="48">
        <f t="shared" si="1"/>
        <v>11321735.149999999</v>
      </c>
      <c r="H14" s="48">
        <f>'Power Purchased Model'!H98</f>
        <v>462.29999999999995</v>
      </c>
      <c r="I14" s="48">
        <f>'Power Purchased Model'!I98</f>
        <v>0</v>
      </c>
      <c r="J14" s="48">
        <v>31</v>
      </c>
      <c r="K14" s="110">
        <v>0</v>
      </c>
      <c r="L14" s="48">
        <f>Inputs!G71+Inputs!I71+Inputs!L71+Inputs!O71+Inputs!R71+Inputs!AA71</f>
        <v>7085</v>
      </c>
      <c r="M14" s="48">
        <v>0</v>
      </c>
      <c r="N14" s="48">
        <f t="shared" si="2"/>
        <v>10968049.888432335</v>
      </c>
      <c r="O14"/>
      <c r="P14"/>
      <c r="Q14"/>
      <c r="R14"/>
      <c r="S14"/>
      <c r="T14"/>
      <c r="V14" t="s">
        <v>23</v>
      </c>
      <c r="W14">
        <v>77</v>
      </c>
      <c r="X14">
        <v>12252527312105.867</v>
      </c>
      <c r="Y14">
        <v>159123731326.05023</v>
      </c>
      <c r="Z14" s="137"/>
      <c r="AA14" s="137"/>
    </row>
    <row r="15" spans="1:35" ht="13.5" thickBot="1" x14ac:dyDescent="0.25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v>1299339.8</v>
      </c>
      <c r="F15" s="48">
        <v>4258095.4399999995</v>
      </c>
      <c r="G15" s="48">
        <f t="shared" si="1"/>
        <v>11607269.35</v>
      </c>
      <c r="H15" s="48">
        <f>H3</f>
        <v>545.69999999999993</v>
      </c>
      <c r="I15" s="48">
        <f>I3</f>
        <v>0</v>
      </c>
      <c r="J15" s="48">
        <v>31</v>
      </c>
      <c r="K15" s="110">
        <v>0</v>
      </c>
      <c r="L15" s="48">
        <f>Inputs!G72+Inputs!I72+Inputs!L72+Inputs!O72+Inputs!R72+Inputs!AA72</f>
        <v>7094</v>
      </c>
      <c r="M15" s="48">
        <v>0</v>
      </c>
      <c r="N15" s="48">
        <f t="shared" si="2"/>
        <v>11141624.134885423</v>
      </c>
      <c r="O15"/>
      <c r="P15"/>
      <c r="Q15"/>
      <c r="R15"/>
      <c r="S15"/>
      <c r="T15"/>
      <c r="V15" s="112" t="s">
        <v>7</v>
      </c>
      <c r="W15" s="112">
        <v>83</v>
      </c>
      <c r="X15" s="112">
        <v>140569533743850.47</v>
      </c>
      <c r="Y15" s="112"/>
      <c r="Z15" s="138"/>
      <c r="AA15" s="138"/>
    </row>
    <row r="16" spans="1:35" ht="13.5" thickBot="1" x14ac:dyDescent="0.25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v>1201380.51</v>
      </c>
      <c r="F16" s="48">
        <v>3901375.5300000003</v>
      </c>
      <c r="G16" s="48">
        <f t="shared" si="1"/>
        <v>10030269.460000001</v>
      </c>
      <c r="H16" s="48">
        <f t="shared" ref="H16:I79" si="3">H4</f>
        <v>534.49999999999989</v>
      </c>
      <c r="I16" s="48">
        <f t="shared" si="3"/>
        <v>0</v>
      </c>
      <c r="J16" s="48">
        <v>28</v>
      </c>
      <c r="K16" s="110">
        <v>0</v>
      </c>
      <c r="L16" s="48">
        <f>Inputs!G73+Inputs!I73+Inputs!L73+Inputs!O73+Inputs!R73+Inputs!AA73</f>
        <v>7111</v>
      </c>
      <c r="M16" s="48">
        <v>0</v>
      </c>
      <c r="N16" s="48">
        <f t="shared" si="2"/>
        <v>10160003.284120595</v>
      </c>
      <c r="O16"/>
      <c r="P16"/>
      <c r="Q16"/>
      <c r="R16"/>
      <c r="S16"/>
      <c r="T16"/>
    </row>
    <row r="17" spans="1:28" x14ac:dyDescent="0.2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v>1325848.7599999998</v>
      </c>
      <c r="F17" s="48">
        <v>4291491.49</v>
      </c>
      <c r="G17" s="48">
        <f t="shared" si="1"/>
        <v>11045373.5</v>
      </c>
      <c r="H17" s="48">
        <f t="shared" si="3"/>
        <v>556.09999999999991</v>
      </c>
      <c r="I17" s="48">
        <f t="shared" si="3"/>
        <v>0</v>
      </c>
      <c r="J17" s="48">
        <v>31</v>
      </c>
      <c r="K17" s="110">
        <v>1</v>
      </c>
      <c r="L17" s="48">
        <f>Inputs!G74+Inputs!I74+Inputs!L74+Inputs!O74+Inputs!R74+Inputs!AA74</f>
        <v>7115</v>
      </c>
      <c r="M17" s="48">
        <v>0</v>
      </c>
      <c r="N17" s="48">
        <f t="shared" si="2"/>
        <v>10714051.446210587</v>
      </c>
      <c r="O17"/>
      <c r="P17"/>
      <c r="Q17"/>
      <c r="R17"/>
      <c r="S17"/>
      <c r="T17"/>
      <c r="V17" s="113"/>
      <c r="W17" s="113" t="s">
        <v>30</v>
      </c>
      <c r="X17" s="113" t="s">
        <v>19</v>
      </c>
      <c r="Y17" s="113" t="s">
        <v>31</v>
      </c>
      <c r="Z17" s="113" t="s">
        <v>32</v>
      </c>
      <c r="AA17" s="113" t="s">
        <v>33</v>
      </c>
      <c r="AB17" s="113" t="s">
        <v>34</v>
      </c>
    </row>
    <row r="18" spans="1:28" x14ac:dyDescent="0.2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v>1205713.79</v>
      </c>
      <c r="F18" s="48">
        <v>3567728.34</v>
      </c>
      <c r="G18" s="48">
        <f t="shared" si="1"/>
        <v>9389596.7699999996</v>
      </c>
      <c r="H18" s="48">
        <f t="shared" si="3"/>
        <v>290.59999999999997</v>
      </c>
      <c r="I18" s="48">
        <f t="shared" si="3"/>
        <v>2.6</v>
      </c>
      <c r="J18" s="48">
        <v>30</v>
      </c>
      <c r="K18" s="110">
        <v>1</v>
      </c>
      <c r="L18" s="48">
        <f>Inputs!G75+Inputs!I75+Inputs!L75+Inputs!O75+Inputs!R75+Inputs!AA75</f>
        <v>7119</v>
      </c>
      <c r="M18" s="48">
        <v>0</v>
      </c>
      <c r="N18" s="48">
        <f t="shared" si="2"/>
        <v>9961656.3052849323</v>
      </c>
      <c r="O18"/>
      <c r="P18"/>
      <c r="Q18"/>
      <c r="R18"/>
      <c r="S18"/>
      <c r="T18"/>
      <c r="V18" t="s">
        <v>24</v>
      </c>
      <c r="W18" s="136">
        <v>-11446292.259978946</v>
      </c>
      <c r="X18" s="136">
        <v>1894729.8713523496</v>
      </c>
      <c r="Y18" s="137">
        <v>-6.0411209181017655</v>
      </c>
      <c r="Z18" s="137">
        <v>5.0815512018787012E-8</v>
      </c>
      <c r="AA18" s="136">
        <v>-15219181.44438298</v>
      </c>
      <c r="AB18" s="136">
        <v>-7673403.0755749112</v>
      </c>
    </row>
    <row r="19" spans="1:28" x14ac:dyDescent="0.2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v>1314156.01</v>
      </c>
      <c r="F19" s="48">
        <v>3987885.81</v>
      </c>
      <c r="G19" s="48">
        <f t="shared" si="1"/>
        <v>9971542.3200000003</v>
      </c>
      <c r="H19" s="48">
        <f t="shared" si="3"/>
        <v>153</v>
      </c>
      <c r="I19" s="48">
        <f t="shared" si="3"/>
        <v>8.9</v>
      </c>
      <c r="J19" s="48">
        <v>31</v>
      </c>
      <c r="K19" s="110">
        <v>1</v>
      </c>
      <c r="L19" s="48">
        <f>Inputs!G76+Inputs!I76+Inputs!L76+Inputs!O76+Inputs!R76+Inputs!AA76</f>
        <v>7125</v>
      </c>
      <c r="M19" s="48">
        <v>0</v>
      </c>
      <c r="N19" s="48">
        <f t="shared" si="2"/>
        <v>10224588.916708529</v>
      </c>
      <c r="O19"/>
      <c r="P19"/>
      <c r="Q19"/>
      <c r="R19"/>
      <c r="S19"/>
      <c r="T19"/>
      <c r="V19" t="s">
        <v>2</v>
      </c>
      <c r="W19" s="136">
        <v>1908.6774191767352</v>
      </c>
      <c r="X19" s="136">
        <v>313.91277188568682</v>
      </c>
      <c r="Y19" s="137">
        <v>6.0802795875785236</v>
      </c>
      <c r="Z19" s="137">
        <v>4.3097038926344034E-8</v>
      </c>
      <c r="AA19" s="136">
        <v>1283.5972323908099</v>
      </c>
      <c r="AB19" s="136">
        <v>2533.7576059626604</v>
      </c>
    </row>
    <row r="20" spans="1:28" x14ac:dyDescent="0.2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v>1376051.22</v>
      </c>
      <c r="F20" s="48">
        <v>3867008.4699999997</v>
      </c>
      <c r="G20" s="48">
        <f t="shared" si="1"/>
        <v>11231673.719999999</v>
      </c>
      <c r="H20" s="48">
        <f t="shared" si="3"/>
        <v>34.9</v>
      </c>
      <c r="I20" s="48">
        <f t="shared" si="3"/>
        <v>31.9</v>
      </c>
      <c r="J20" s="48">
        <v>30</v>
      </c>
      <c r="K20" s="110">
        <v>0</v>
      </c>
      <c r="L20" s="48">
        <f>Inputs!G77+Inputs!I77+Inputs!L77+Inputs!O77+Inputs!R77+Inputs!AA77</f>
        <v>7136</v>
      </c>
      <c r="M20" s="48">
        <v>0</v>
      </c>
      <c r="N20" s="48">
        <f t="shared" si="2"/>
        <v>10850702.888966812</v>
      </c>
      <c r="O20"/>
      <c r="P20"/>
      <c r="Q20"/>
      <c r="R20"/>
      <c r="S20"/>
      <c r="T20"/>
      <c r="V20" t="s">
        <v>3</v>
      </c>
      <c r="W20" s="136">
        <v>29655.712191950635</v>
      </c>
      <c r="X20" s="136">
        <v>2244.0233373843021</v>
      </c>
      <c r="Y20" s="137">
        <v>13.215420578699588</v>
      </c>
      <c r="Z20" s="137">
        <v>1.712362563743408E-21</v>
      </c>
      <c r="AA20" s="136">
        <v>25187.290858030032</v>
      </c>
      <c r="AB20" s="136">
        <v>34124.133525871235</v>
      </c>
    </row>
    <row r="21" spans="1:28" x14ac:dyDescent="0.2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v>1358368.19</v>
      </c>
      <c r="F21" s="48">
        <v>3233481.45</v>
      </c>
      <c r="G21" s="48">
        <f t="shared" si="1"/>
        <v>12239047.559999999</v>
      </c>
      <c r="H21" s="48">
        <f t="shared" si="3"/>
        <v>2.4</v>
      </c>
      <c r="I21" s="48">
        <f t="shared" si="3"/>
        <v>80.3</v>
      </c>
      <c r="J21" s="48">
        <v>31</v>
      </c>
      <c r="K21" s="110">
        <v>0</v>
      </c>
      <c r="L21" s="48">
        <f>Inputs!G78+Inputs!I78+Inputs!L78+Inputs!O78+Inputs!R78+Inputs!AA78</f>
        <v>7145</v>
      </c>
      <c r="M21" s="48">
        <v>0</v>
      </c>
      <c r="N21" s="48">
        <f t="shared" si="2"/>
        <v>12567539.83032492</v>
      </c>
      <c r="O21"/>
      <c r="P21"/>
      <c r="Q21"/>
      <c r="R21"/>
      <c r="S21"/>
      <c r="T21"/>
      <c r="V21" t="s">
        <v>90</v>
      </c>
      <c r="W21" s="136">
        <v>329141.93769719225</v>
      </c>
      <c r="X21" s="136">
        <v>57750.698255594907</v>
      </c>
      <c r="Y21" s="137">
        <v>5.6993585816134242</v>
      </c>
      <c r="Z21" s="137">
        <v>2.1087728655213577E-7</v>
      </c>
      <c r="AA21" s="136">
        <v>214145.60595899058</v>
      </c>
      <c r="AB21" s="136">
        <v>444138.26943539392</v>
      </c>
    </row>
    <row r="22" spans="1:28" x14ac:dyDescent="0.2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v>1152624.01</v>
      </c>
      <c r="F22" s="48">
        <v>3878368.4</v>
      </c>
      <c r="G22" s="48">
        <f t="shared" si="1"/>
        <v>11969958.379999999</v>
      </c>
      <c r="H22" s="48">
        <f t="shared" si="3"/>
        <v>19.8</v>
      </c>
      <c r="I22" s="48">
        <f t="shared" si="3"/>
        <v>35.299999999999997</v>
      </c>
      <c r="J22" s="48">
        <v>31</v>
      </c>
      <c r="K22" s="110">
        <v>0</v>
      </c>
      <c r="L22" s="48">
        <f>Inputs!G79+Inputs!I79+Inputs!L79+Inputs!O79+Inputs!R79+Inputs!AA79</f>
        <v>7160</v>
      </c>
      <c r="M22" s="48">
        <v>0</v>
      </c>
      <c r="N22" s="48">
        <f t="shared" si="2"/>
        <v>11290228.018270401</v>
      </c>
      <c r="O22"/>
      <c r="P22"/>
      <c r="Q22"/>
      <c r="R22"/>
      <c r="S22"/>
      <c r="T22"/>
      <c r="V22" t="s">
        <v>13</v>
      </c>
      <c r="W22" s="136">
        <v>-481000.88311969</v>
      </c>
      <c r="X22" s="136">
        <v>119331.6743249312</v>
      </c>
      <c r="Y22" s="137">
        <v>-4.0307896946954811</v>
      </c>
      <c r="Z22" s="137">
        <v>1.2959189063699509E-4</v>
      </c>
      <c r="AA22" s="136">
        <v>-718620.60412826447</v>
      </c>
      <c r="AB22" s="136">
        <v>-243381.1621111155</v>
      </c>
    </row>
    <row r="23" spans="1:28" x14ac:dyDescent="0.2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v>1015208.41</v>
      </c>
      <c r="F23" s="48">
        <v>3513213.06</v>
      </c>
      <c r="G23" s="48">
        <f t="shared" si="1"/>
        <v>10859252.779999999</v>
      </c>
      <c r="H23" s="48">
        <f t="shared" si="3"/>
        <v>52.500000000000007</v>
      </c>
      <c r="I23" s="48">
        <f t="shared" si="3"/>
        <v>29.200000000000003</v>
      </c>
      <c r="J23" s="48">
        <v>30</v>
      </c>
      <c r="K23" s="110">
        <v>1</v>
      </c>
      <c r="L23" s="48">
        <f>Inputs!G80+Inputs!I80+Inputs!L80+Inputs!O80+Inputs!R80+Inputs!AA80</f>
        <v>7167</v>
      </c>
      <c r="M23" s="48">
        <v>0</v>
      </c>
      <c r="N23" s="48">
        <f t="shared" si="2"/>
        <v>10372791.754451504</v>
      </c>
      <c r="O23"/>
      <c r="P23"/>
      <c r="Q23"/>
      <c r="R23"/>
      <c r="S23"/>
      <c r="T23"/>
      <c r="V23" t="s">
        <v>104</v>
      </c>
      <c r="W23" s="136">
        <v>1598.949965972183</v>
      </c>
      <c r="X23" s="136">
        <v>113.10278726807043</v>
      </c>
      <c r="Y23" s="137">
        <v>14.137140247325945</v>
      </c>
      <c r="Z23" s="137">
        <v>4.2551007095808547E-23</v>
      </c>
      <c r="AA23" s="136">
        <v>1373.7335436939602</v>
      </c>
      <c r="AB23" s="136">
        <v>1824.1663882504058</v>
      </c>
    </row>
    <row r="24" spans="1:28" ht="13.5" thickBot="1" x14ac:dyDescent="0.25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v>941287.92</v>
      </c>
      <c r="F24" s="48">
        <v>3734043.4200000004</v>
      </c>
      <c r="G24" s="48">
        <f t="shared" si="1"/>
        <v>10276033.219999999</v>
      </c>
      <c r="H24" s="48">
        <f t="shared" si="3"/>
        <v>210.69999999999996</v>
      </c>
      <c r="I24" s="48">
        <f t="shared" si="3"/>
        <v>9.4</v>
      </c>
      <c r="J24" s="48">
        <v>31</v>
      </c>
      <c r="K24" s="110">
        <v>1</v>
      </c>
      <c r="L24" s="48">
        <f>Inputs!G81+Inputs!I81+Inputs!L81+Inputs!O81+Inputs!R81+Inputs!AA81</f>
        <v>7177</v>
      </c>
      <c r="M24" s="48">
        <v>0</v>
      </c>
      <c r="N24" s="48">
        <f t="shared" si="2"/>
        <v>10432692.858121553</v>
      </c>
      <c r="O24"/>
      <c r="P24"/>
      <c r="Q24"/>
      <c r="R24"/>
      <c r="S24"/>
      <c r="T24"/>
      <c r="V24" s="112" t="s">
        <v>114</v>
      </c>
      <c r="W24" s="139">
        <v>-1627709.7353904694</v>
      </c>
      <c r="X24" s="139">
        <v>290896.87693051365</v>
      </c>
      <c r="Y24" s="138">
        <v>-5.5954871450176462</v>
      </c>
      <c r="Z24" s="138">
        <v>3.2314060963009273E-7</v>
      </c>
      <c r="AA24" s="139">
        <v>-2206959.4201831087</v>
      </c>
      <c r="AB24" s="139">
        <v>-1048460.0505978301</v>
      </c>
    </row>
    <row r="25" spans="1:28" x14ac:dyDescent="0.2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v>892084.91999999993</v>
      </c>
      <c r="F25" s="48">
        <v>3835597.14</v>
      </c>
      <c r="G25" s="48">
        <f t="shared" si="1"/>
        <v>10525579.159999998</v>
      </c>
      <c r="H25" s="48">
        <f t="shared" si="3"/>
        <v>448.1</v>
      </c>
      <c r="I25" s="48">
        <f t="shared" si="3"/>
        <v>0</v>
      </c>
      <c r="J25" s="48">
        <v>30</v>
      </c>
      <c r="K25" s="110">
        <v>0</v>
      </c>
      <c r="L25" s="48">
        <f>Inputs!G82+Inputs!I82+Inputs!L82+Inputs!O82+Inputs!R82+Inputs!AA82</f>
        <v>7191</v>
      </c>
      <c r="M25" s="48">
        <v>0</v>
      </c>
      <c r="N25" s="48">
        <f t="shared" si="2"/>
        <v>10781293.427775882</v>
      </c>
      <c r="O25"/>
      <c r="P25"/>
      <c r="Q25"/>
      <c r="R25"/>
      <c r="S25"/>
      <c r="T25"/>
      <c r="V25" s="43"/>
    </row>
    <row r="26" spans="1:28" x14ac:dyDescent="0.2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v>768931.66999999993</v>
      </c>
      <c r="F26" s="48">
        <v>3124271.8600000003</v>
      </c>
      <c r="G26" s="48">
        <f t="shared" si="1"/>
        <v>11448308.73</v>
      </c>
      <c r="H26" s="48">
        <f t="shared" si="3"/>
        <v>462.29999999999995</v>
      </c>
      <c r="I26" s="48">
        <f t="shared" si="3"/>
        <v>0</v>
      </c>
      <c r="J26" s="48">
        <v>31</v>
      </c>
      <c r="K26" s="110">
        <v>0</v>
      </c>
      <c r="L26" s="48">
        <f>Inputs!G83+Inputs!I83+Inputs!L83+Inputs!O83+Inputs!R83+Inputs!AA83</f>
        <v>7190</v>
      </c>
      <c r="M26" s="48">
        <v>0</v>
      </c>
      <c r="N26" s="48">
        <f t="shared" si="2"/>
        <v>11135939.634859413</v>
      </c>
      <c r="O26"/>
      <c r="P26"/>
      <c r="Q26"/>
      <c r="R26"/>
      <c r="S26"/>
      <c r="T26"/>
      <c r="V26" s="43" t="s">
        <v>135</v>
      </c>
      <c r="W26" s="155">
        <f>Q87</f>
        <v>0</v>
      </c>
    </row>
    <row r="27" spans="1:28" x14ac:dyDescent="0.2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v>920893.58000000007</v>
      </c>
      <c r="F27" s="48">
        <v>3911965.81</v>
      </c>
      <c r="G27" s="48">
        <f t="shared" si="1"/>
        <v>12096568.779999994</v>
      </c>
      <c r="H27" s="48">
        <f t="shared" si="3"/>
        <v>545.69999999999993</v>
      </c>
      <c r="I27" s="48">
        <f t="shared" si="3"/>
        <v>0</v>
      </c>
      <c r="J27" s="48">
        <v>31</v>
      </c>
      <c r="K27" s="110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11309513.881312503</v>
      </c>
      <c r="O27"/>
      <c r="P27"/>
      <c r="Q27"/>
      <c r="R27"/>
      <c r="S27"/>
      <c r="T27"/>
    </row>
    <row r="28" spans="1:28" x14ac:dyDescent="0.2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v>760193.62</v>
      </c>
      <c r="F28" s="48">
        <v>3678957.04</v>
      </c>
      <c r="G28" s="48">
        <f t="shared" si="1"/>
        <v>10552431.760000002</v>
      </c>
      <c r="H28" s="48">
        <f t="shared" si="3"/>
        <v>534.49999999999989</v>
      </c>
      <c r="I28" s="48">
        <f t="shared" si="3"/>
        <v>0</v>
      </c>
      <c r="J28" s="48">
        <v>28</v>
      </c>
      <c r="K28" s="110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10305507.731024064</v>
      </c>
      <c r="O28"/>
      <c r="P28"/>
      <c r="Q28"/>
      <c r="R28"/>
      <c r="S28"/>
      <c r="T28"/>
      <c r="V28" t="s">
        <v>136</v>
      </c>
      <c r="W28" s="143">
        <f>T87</f>
        <v>0</v>
      </c>
    </row>
    <row r="29" spans="1:28" x14ac:dyDescent="0.2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v>806290.22000000009</v>
      </c>
      <c r="F29" s="48">
        <v>3925852.3400000003</v>
      </c>
      <c r="G29" s="48">
        <f t="shared" si="1"/>
        <v>11295312.890000001</v>
      </c>
      <c r="H29" s="48">
        <f t="shared" si="3"/>
        <v>556.09999999999991</v>
      </c>
      <c r="I29" s="48">
        <f t="shared" si="3"/>
        <v>0</v>
      </c>
      <c r="J29" s="48">
        <v>31</v>
      </c>
      <c r="K29" s="110">
        <v>1</v>
      </c>
      <c r="L29" s="48">
        <f>Inputs!G86+Inputs!I86+Inputs!L86+Inputs!O86+Inputs!R86+Inputs!AA86</f>
        <v>7212</v>
      </c>
      <c r="M29" s="48">
        <v>0</v>
      </c>
      <c r="N29" s="48">
        <f t="shared" si="2"/>
        <v>10869149.592909889</v>
      </c>
      <c r="O29"/>
      <c r="P29"/>
      <c r="Q29"/>
      <c r="R29"/>
      <c r="S29"/>
      <c r="T29"/>
      <c r="V29" t="s">
        <v>137</v>
      </c>
      <c r="W29" s="143">
        <f>R87</f>
        <v>0</v>
      </c>
    </row>
    <row r="30" spans="1:28" x14ac:dyDescent="0.2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v>722326.02</v>
      </c>
      <c r="F30" s="48">
        <v>3713769.13</v>
      </c>
      <c r="G30" s="48">
        <f t="shared" si="1"/>
        <v>10410325.170000002</v>
      </c>
      <c r="H30" s="48">
        <f t="shared" si="3"/>
        <v>290.59999999999997</v>
      </c>
      <c r="I30" s="48">
        <f t="shared" si="3"/>
        <v>2.6</v>
      </c>
      <c r="J30" s="48">
        <v>30</v>
      </c>
      <c r="K30" s="110">
        <v>1</v>
      </c>
      <c r="L30" s="48">
        <f>Inputs!G87+Inputs!I87+Inputs!L87+Inputs!O87+Inputs!R87+Inputs!AA87</f>
        <v>7220</v>
      </c>
      <c r="M30" s="48">
        <v>0</v>
      </c>
      <c r="N30" s="48">
        <f t="shared" si="2"/>
        <v>10123150.251848122</v>
      </c>
      <c r="O30"/>
      <c r="P30"/>
      <c r="Q30"/>
      <c r="R30"/>
      <c r="S30"/>
      <c r="T30"/>
    </row>
    <row r="31" spans="1:28" x14ac:dyDescent="0.2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v>825640.29</v>
      </c>
      <c r="F31" s="48">
        <v>3812144.22</v>
      </c>
      <c r="G31" s="48">
        <f t="shared" si="1"/>
        <v>10791383.969999997</v>
      </c>
      <c r="H31" s="48">
        <f t="shared" si="3"/>
        <v>153</v>
      </c>
      <c r="I31" s="48">
        <f t="shared" si="3"/>
        <v>8.9</v>
      </c>
      <c r="J31" s="48">
        <v>31</v>
      </c>
      <c r="K31" s="110">
        <v>1</v>
      </c>
      <c r="L31" s="48">
        <f>Inputs!G88+Inputs!I88+Inputs!L88+Inputs!O88+Inputs!R88+Inputs!AA88</f>
        <v>7230</v>
      </c>
      <c r="M31" s="48">
        <v>0</v>
      </c>
      <c r="N31" s="48">
        <f t="shared" si="2"/>
        <v>10392478.663135609</v>
      </c>
      <c r="O31"/>
      <c r="P31"/>
      <c r="Q31"/>
      <c r="R31"/>
      <c r="S31"/>
      <c r="T31"/>
      <c r="V31" t="s">
        <v>138</v>
      </c>
      <c r="W31" s="156" t="e">
        <f>W28/W29</f>
        <v>#DIV/0!</v>
      </c>
    </row>
    <row r="32" spans="1:28" x14ac:dyDescent="0.2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si="0"/>
        <v>15934792.240000002</v>
      </c>
      <c r="E32" s="48">
        <v>784226.41</v>
      </c>
      <c r="F32" s="48">
        <v>3559018.29</v>
      </c>
      <c r="G32" s="48">
        <f t="shared" si="1"/>
        <v>11591547.540000003</v>
      </c>
      <c r="H32" s="48">
        <f t="shared" si="3"/>
        <v>34.9</v>
      </c>
      <c r="I32" s="48">
        <f t="shared" si="3"/>
        <v>31.9</v>
      </c>
      <c r="J32" s="48">
        <v>30</v>
      </c>
      <c r="K32" s="110">
        <v>0</v>
      </c>
      <c r="L32" s="48">
        <f>Inputs!G89+Inputs!I89+Inputs!L89+Inputs!O89+Inputs!R89+Inputs!AA89</f>
        <v>7247</v>
      </c>
      <c r="M32" s="48">
        <v>0</v>
      </c>
      <c r="N32" s="48">
        <f t="shared" si="2"/>
        <v>11028186.335189724</v>
      </c>
      <c r="O32"/>
      <c r="P32"/>
      <c r="Q32"/>
      <c r="R32"/>
      <c r="S32"/>
      <c r="T32"/>
    </row>
    <row r="33" spans="1:20" x14ac:dyDescent="0.2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0"/>
        <v>17490899.32</v>
      </c>
      <c r="E33" s="48">
        <v>792777.92999999993</v>
      </c>
      <c r="F33" s="48">
        <v>3396535.0500000003</v>
      </c>
      <c r="G33" s="48">
        <f t="shared" si="1"/>
        <v>13301586.34</v>
      </c>
      <c r="H33" s="48">
        <f t="shared" si="3"/>
        <v>2.4</v>
      </c>
      <c r="I33" s="48">
        <f t="shared" si="3"/>
        <v>80.3</v>
      </c>
      <c r="J33" s="48">
        <v>31</v>
      </c>
      <c r="K33" s="110">
        <v>0</v>
      </c>
      <c r="L33" s="48">
        <f>Inputs!G90+Inputs!I90+Inputs!L90+Inputs!O90+Inputs!R90+Inputs!AA90</f>
        <v>7270</v>
      </c>
      <c r="M33" s="48">
        <v>0</v>
      </c>
      <c r="N33" s="48">
        <f t="shared" si="2"/>
        <v>12767408.576071443</v>
      </c>
      <c r="O33"/>
      <c r="P33"/>
      <c r="Q33"/>
      <c r="R33"/>
      <c r="S33"/>
      <c r="T33"/>
    </row>
    <row r="34" spans="1:20" x14ac:dyDescent="0.2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0"/>
        <v>17759554.780000005</v>
      </c>
      <c r="E34" s="48">
        <v>827923.55</v>
      </c>
      <c r="F34" s="48">
        <v>3522903.7199999997</v>
      </c>
      <c r="G34" s="48">
        <f t="shared" si="1"/>
        <v>13408727.510000005</v>
      </c>
      <c r="H34" s="48">
        <f t="shared" si="3"/>
        <v>19.8</v>
      </c>
      <c r="I34" s="48">
        <f t="shared" si="3"/>
        <v>35.299999999999997</v>
      </c>
      <c r="J34" s="48">
        <v>31</v>
      </c>
      <c r="K34" s="110">
        <v>0</v>
      </c>
      <c r="L34" s="48">
        <f>Inputs!G91+Inputs!I91+Inputs!L91+Inputs!O91+Inputs!R91+Inputs!AA91</f>
        <v>7289</v>
      </c>
      <c r="M34" s="48">
        <v>0</v>
      </c>
      <c r="N34" s="48">
        <f t="shared" si="2"/>
        <v>11496492.563880812</v>
      </c>
      <c r="O34"/>
      <c r="P34"/>
      <c r="Q34"/>
      <c r="R34"/>
      <c r="S34"/>
      <c r="T34"/>
    </row>
    <row r="35" spans="1:20" x14ac:dyDescent="0.2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0"/>
        <v>15656131.729999997</v>
      </c>
      <c r="E35" s="48">
        <v>797357.40999999992</v>
      </c>
      <c r="F35" s="48">
        <v>3371795.6599999997</v>
      </c>
      <c r="G35" s="48">
        <f t="shared" si="1"/>
        <v>11486978.659999996</v>
      </c>
      <c r="H35" s="48">
        <f t="shared" si="3"/>
        <v>52.500000000000007</v>
      </c>
      <c r="I35" s="48">
        <f t="shared" si="3"/>
        <v>29.200000000000003</v>
      </c>
      <c r="J35" s="48">
        <v>30</v>
      </c>
      <c r="K35" s="110">
        <v>1</v>
      </c>
      <c r="L35" s="48">
        <f>Inputs!G92+Inputs!I92+Inputs!L92+Inputs!O92+Inputs!R92+Inputs!AA92</f>
        <v>7297</v>
      </c>
      <c r="M35" s="48">
        <v>0</v>
      </c>
      <c r="N35" s="48">
        <f t="shared" si="2"/>
        <v>10580655.250027888</v>
      </c>
      <c r="O35"/>
      <c r="P35"/>
      <c r="Q35"/>
      <c r="R35"/>
      <c r="S35"/>
      <c r="T35"/>
    </row>
    <row r="36" spans="1:20" x14ac:dyDescent="0.2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0"/>
        <v>15183493.600000003</v>
      </c>
      <c r="E36" s="48">
        <v>847707.74</v>
      </c>
      <c r="F36" s="48">
        <v>3547208.5700000003</v>
      </c>
      <c r="G36" s="48">
        <f t="shared" si="1"/>
        <v>10788577.290000003</v>
      </c>
      <c r="H36" s="48">
        <f t="shared" si="3"/>
        <v>210.69999999999996</v>
      </c>
      <c r="I36" s="48">
        <f t="shared" si="3"/>
        <v>9.4</v>
      </c>
      <c r="J36" s="48">
        <v>31</v>
      </c>
      <c r="K36" s="110">
        <v>1</v>
      </c>
      <c r="L36" s="48">
        <f>Inputs!G93+Inputs!I93+Inputs!L93+Inputs!O93+Inputs!R93+Inputs!AA93</f>
        <v>7309</v>
      </c>
      <c r="M36" s="48">
        <v>0</v>
      </c>
      <c r="N36" s="48">
        <f t="shared" si="2"/>
        <v>10643754.253629882</v>
      </c>
      <c r="O36"/>
      <c r="P36"/>
      <c r="Q36"/>
      <c r="R36"/>
      <c r="S36"/>
      <c r="T36"/>
    </row>
    <row r="37" spans="1:20" x14ac:dyDescent="0.2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0"/>
        <v>15276960.700000001</v>
      </c>
      <c r="E37" s="48">
        <v>844669.66999999993</v>
      </c>
      <c r="F37" s="48">
        <v>3441518.25</v>
      </c>
      <c r="G37" s="48">
        <f t="shared" si="1"/>
        <v>10990772.780000001</v>
      </c>
      <c r="H37" s="48">
        <f t="shared" si="3"/>
        <v>448.1</v>
      </c>
      <c r="I37" s="48">
        <f t="shared" si="3"/>
        <v>0</v>
      </c>
      <c r="J37" s="48">
        <v>30</v>
      </c>
      <c r="K37" s="110">
        <v>0</v>
      </c>
      <c r="L37" s="48">
        <f>Inputs!G94+Inputs!I94+Inputs!L94+Inputs!O94+Inputs!R94+Inputs!AA94</f>
        <v>7309</v>
      </c>
      <c r="M37" s="48">
        <v>0</v>
      </c>
      <c r="N37" s="48">
        <f t="shared" si="2"/>
        <v>10969969.5237606</v>
      </c>
      <c r="O37"/>
      <c r="P37"/>
      <c r="Q37"/>
      <c r="R37"/>
      <c r="S37"/>
      <c r="T37"/>
    </row>
    <row r="38" spans="1:20" x14ac:dyDescent="0.2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0"/>
        <v>14468067.609999999</v>
      </c>
      <c r="E38" s="48">
        <v>620430.38</v>
      </c>
      <c r="F38" s="48">
        <v>2779734.3800000004</v>
      </c>
      <c r="G38" s="48">
        <f t="shared" si="1"/>
        <v>11067902.849999998</v>
      </c>
      <c r="H38" s="48">
        <f t="shared" si="3"/>
        <v>462.29999999999995</v>
      </c>
      <c r="I38" s="48">
        <f t="shared" si="3"/>
        <v>0</v>
      </c>
      <c r="J38" s="48">
        <v>31</v>
      </c>
      <c r="K38" s="110">
        <v>0</v>
      </c>
      <c r="L38" s="48">
        <f>Inputs!G95+Inputs!I95+Inputs!L95+Inputs!O95+Inputs!R95+Inputs!AA95</f>
        <v>7329</v>
      </c>
      <c r="M38" s="48">
        <v>0</v>
      </c>
      <c r="N38" s="48">
        <f t="shared" si="2"/>
        <v>11358193.680129547</v>
      </c>
      <c r="O38"/>
      <c r="P38"/>
      <c r="Q38"/>
      <c r="R38"/>
      <c r="S38"/>
      <c r="T38"/>
    </row>
    <row r="39" spans="1:20" x14ac:dyDescent="0.2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0"/>
        <v>16341694.570000002</v>
      </c>
      <c r="E39" s="48">
        <v>407405.83</v>
      </c>
      <c r="F39" s="48">
        <v>3683035.57</v>
      </c>
      <c r="G39" s="48">
        <f t="shared" si="1"/>
        <v>12251253.170000002</v>
      </c>
      <c r="H39" s="48">
        <f t="shared" si="3"/>
        <v>545.69999999999993</v>
      </c>
      <c r="I39" s="48">
        <f t="shared" si="3"/>
        <v>0</v>
      </c>
      <c r="J39" s="48">
        <v>31</v>
      </c>
      <c r="K39" s="110">
        <v>0</v>
      </c>
      <c r="L39" s="48">
        <f>Inputs!G96+Inputs!I96+Inputs!L96+Inputs!O96+Inputs!R96+Inputs!AA96</f>
        <v>7335</v>
      </c>
      <c r="M39" s="48">
        <v>0</v>
      </c>
      <c r="N39" s="48">
        <f t="shared" si="2"/>
        <v>11526971.076684719</v>
      </c>
      <c r="O39"/>
      <c r="P39"/>
      <c r="Q39"/>
      <c r="R39"/>
      <c r="S39"/>
      <c r="T39"/>
    </row>
    <row r="40" spans="1:20" x14ac:dyDescent="0.2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0"/>
        <v>14310438.430000002</v>
      </c>
      <c r="E40" s="48">
        <v>332490.93</v>
      </c>
      <c r="F40" s="48">
        <v>3240575.56</v>
      </c>
      <c r="G40" s="48">
        <f t="shared" si="1"/>
        <v>10737371.940000001</v>
      </c>
      <c r="H40" s="48">
        <f t="shared" si="3"/>
        <v>534.49999999999989</v>
      </c>
      <c r="I40" s="48">
        <f t="shared" si="3"/>
        <v>0</v>
      </c>
      <c r="J40" s="48">
        <v>28</v>
      </c>
      <c r="K40" s="110">
        <v>0</v>
      </c>
      <c r="L40" s="48">
        <f>Inputs!G97+Inputs!I97+Inputs!L97+Inputs!O97+Inputs!R97+Inputs!AA97</f>
        <v>7343</v>
      </c>
      <c r="M40" s="48">
        <v>0</v>
      </c>
      <c r="N40" s="48">
        <f t="shared" si="2"/>
        <v>10530959.676226141</v>
      </c>
      <c r="O40"/>
      <c r="P40"/>
      <c r="Q40"/>
      <c r="R40"/>
      <c r="S40"/>
      <c r="T40"/>
    </row>
    <row r="41" spans="1:20" x14ac:dyDescent="0.2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0"/>
        <v>15013862.310000001</v>
      </c>
      <c r="E41" s="48">
        <v>257080.83</v>
      </c>
      <c r="F41" s="48">
        <v>3459058.4499999997</v>
      </c>
      <c r="G41" s="48">
        <f t="shared" si="1"/>
        <v>11297723.030000001</v>
      </c>
      <c r="H41" s="48">
        <f t="shared" si="3"/>
        <v>556.09999999999991</v>
      </c>
      <c r="I41" s="48">
        <f t="shared" si="3"/>
        <v>0</v>
      </c>
      <c r="J41" s="48">
        <v>31</v>
      </c>
      <c r="K41" s="110">
        <v>1</v>
      </c>
      <c r="L41" s="48">
        <f>Inputs!G98+Inputs!I98+Inputs!L98+Inputs!O98+Inputs!R98+Inputs!AA98</f>
        <v>7347</v>
      </c>
      <c r="M41" s="48">
        <v>0</v>
      </c>
      <c r="N41" s="48">
        <f t="shared" si="2"/>
        <v>11085007.838316135</v>
      </c>
      <c r="O41"/>
      <c r="P41"/>
      <c r="Q41"/>
      <c r="R41"/>
      <c r="S41"/>
      <c r="T41"/>
    </row>
    <row r="42" spans="1:20" x14ac:dyDescent="0.2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0"/>
        <v>13275278.340000002</v>
      </c>
      <c r="E42" s="48">
        <v>203874.13</v>
      </c>
      <c r="F42" s="48">
        <v>3178346.6399999997</v>
      </c>
      <c r="G42" s="48">
        <f t="shared" si="1"/>
        <v>9893057.5700000003</v>
      </c>
      <c r="H42" s="48">
        <f t="shared" si="3"/>
        <v>290.59999999999997</v>
      </c>
      <c r="I42" s="48">
        <f t="shared" si="3"/>
        <v>2.6</v>
      </c>
      <c r="J42" s="48">
        <v>30</v>
      </c>
      <c r="K42" s="110">
        <v>1</v>
      </c>
      <c r="L42" s="48">
        <f>Inputs!G99+Inputs!I99+Inputs!L99+Inputs!O99+Inputs!R99+Inputs!AA99</f>
        <v>7358</v>
      </c>
      <c r="M42" s="48">
        <v>0</v>
      </c>
      <c r="N42" s="48">
        <f t="shared" si="2"/>
        <v>10343805.347152283</v>
      </c>
      <c r="O42"/>
      <c r="P42"/>
      <c r="Q42"/>
      <c r="R42"/>
      <c r="S42"/>
      <c r="T42"/>
    </row>
    <row r="43" spans="1:20" x14ac:dyDescent="0.2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0"/>
        <v>13493268.119999999</v>
      </c>
      <c r="E43" s="48">
        <v>178685.52999999997</v>
      </c>
      <c r="F43" s="48">
        <v>3335680.38</v>
      </c>
      <c r="G43" s="48">
        <f t="shared" si="1"/>
        <v>9978902.2100000009</v>
      </c>
      <c r="H43" s="48">
        <f t="shared" si="3"/>
        <v>153</v>
      </c>
      <c r="I43" s="48">
        <f t="shared" si="3"/>
        <v>8.9</v>
      </c>
      <c r="J43" s="48">
        <v>31</v>
      </c>
      <c r="K43" s="110">
        <v>1</v>
      </c>
      <c r="L43" s="48">
        <f>Inputs!G100+Inputs!I100+Inputs!L100+Inputs!O100+Inputs!R100+Inputs!AA100</f>
        <v>7367</v>
      </c>
      <c r="M43" s="48">
        <v>0</v>
      </c>
      <c r="N43" s="48">
        <f t="shared" si="2"/>
        <v>10611534.808473798</v>
      </c>
      <c r="O43"/>
      <c r="P43"/>
      <c r="Q43"/>
      <c r="R43"/>
      <c r="S43"/>
      <c r="T43"/>
    </row>
    <row r="44" spans="1:20" x14ac:dyDescent="0.2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0"/>
        <v>14303688.979999997</v>
      </c>
      <c r="E44" s="48">
        <v>166608.38999999998</v>
      </c>
      <c r="F44" s="48">
        <v>3264723.41</v>
      </c>
      <c r="G44" s="48">
        <f t="shared" si="1"/>
        <v>10872357.179999996</v>
      </c>
      <c r="H44" s="48">
        <f t="shared" si="3"/>
        <v>34.9</v>
      </c>
      <c r="I44" s="48">
        <f t="shared" si="3"/>
        <v>31.9</v>
      </c>
      <c r="J44" s="48">
        <v>30</v>
      </c>
      <c r="K44" s="110">
        <v>0</v>
      </c>
      <c r="L44" s="48">
        <f>Inputs!G101+Inputs!I101+Inputs!L101+Inputs!O101+Inputs!R101+Inputs!AA101</f>
        <v>7382</v>
      </c>
      <c r="M44" s="48">
        <v>0</v>
      </c>
      <c r="N44" s="48">
        <f t="shared" si="2"/>
        <v>11244044.58059597</v>
      </c>
      <c r="O44"/>
      <c r="P44"/>
      <c r="Q44"/>
      <c r="R44"/>
      <c r="S44"/>
      <c r="T44"/>
    </row>
    <row r="45" spans="1:20" x14ac:dyDescent="0.2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0"/>
        <v>17472101.57</v>
      </c>
      <c r="E45" s="48">
        <v>181458.09</v>
      </c>
      <c r="F45" s="48">
        <v>3433936.9</v>
      </c>
      <c r="G45" s="48">
        <f t="shared" si="1"/>
        <v>13856706.58</v>
      </c>
      <c r="H45" s="48">
        <f t="shared" si="3"/>
        <v>2.4</v>
      </c>
      <c r="I45" s="48">
        <f t="shared" si="3"/>
        <v>80.3</v>
      </c>
      <c r="J45" s="48">
        <v>31</v>
      </c>
      <c r="K45" s="110">
        <v>0</v>
      </c>
      <c r="L45" s="48">
        <f>Inputs!G102+Inputs!I102+Inputs!L102+Inputs!O102+Inputs!R102+Inputs!AA102</f>
        <v>7383</v>
      </c>
      <c r="M45" s="48">
        <v>0</v>
      </c>
      <c r="N45" s="48">
        <f t="shared" si="2"/>
        <v>12948089.922226299</v>
      </c>
      <c r="O45"/>
      <c r="P45"/>
      <c r="Q45"/>
      <c r="R45"/>
      <c r="S45"/>
      <c r="T45"/>
    </row>
    <row r="46" spans="1:20" x14ac:dyDescent="0.2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0"/>
        <v>16370922.329999998</v>
      </c>
      <c r="E46" s="48">
        <v>182486.43</v>
      </c>
      <c r="F46" s="48">
        <v>3410964.21</v>
      </c>
      <c r="G46" s="48">
        <f t="shared" si="1"/>
        <v>12777471.689999998</v>
      </c>
      <c r="H46" s="48">
        <f t="shared" si="3"/>
        <v>19.8</v>
      </c>
      <c r="I46" s="48">
        <f t="shared" si="3"/>
        <v>35.299999999999997</v>
      </c>
      <c r="J46" s="48">
        <v>31</v>
      </c>
      <c r="K46" s="110">
        <v>0</v>
      </c>
      <c r="L46" s="48">
        <f>Inputs!G103+Inputs!I103+Inputs!L103+Inputs!O103+Inputs!R103+Inputs!AA103</f>
        <v>7409</v>
      </c>
      <c r="M46" s="48">
        <v>0</v>
      </c>
      <c r="N46" s="48">
        <f t="shared" si="2"/>
        <v>11688366.559797475</v>
      </c>
      <c r="O46"/>
      <c r="P46"/>
      <c r="Q46"/>
      <c r="R46"/>
      <c r="S46"/>
      <c r="T46"/>
    </row>
    <row r="47" spans="1:20" x14ac:dyDescent="0.2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0"/>
        <v>14335859.039999999</v>
      </c>
      <c r="E47" s="48">
        <v>174129.58999999997</v>
      </c>
      <c r="F47" s="48">
        <v>3388939.5999999996</v>
      </c>
      <c r="G47" s="48">
        <f t="shared" si="1"/>
        <v>10772789.85</v>
      </c>
      <c r="H47" s="48">
        <f t="shared" si="3"/>
        <v>52.500000000000007</v>
      </c>
      <c r="I47" s="48">
        <f t="shared" si="3"/>
        <v>29.200000000000003</v>
      </c>
      <c r="J47" s="48">
        <v>30</v>
      </c>
      <c r="K47" s="110">
        <v>1</v>
      </c>
      <c r="L47" s="48">
        <f>Inputs!G104+Inputs!I104+Inputs!L104+Inputs!O104+Inputs!R104+Inputs!AA104</f>
        <v>7446</v>
      </c>
      <c r="M47" s="48">
        <v>0</v>
      </c>
      <c r="N47" s="48">
        <f t="shared" si="2"/>
        <v>10818898.794957742</v>
      </c>
      <c r="O47"/>
      <c r="P47"/>
      <c r="Q47"/>
      <c r="R47"/>
      <c r="S47"/>
      <c r="T47"/>
    </row>
    <row r="48" spans="1:20" x14ac:dyDescent="0.2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0"/>
        <v>13894453.25</v>
      </c>
      <c r="E48" s="48">
        <v>182414.28999999998</v>
      </c>
      <c r="F48" s="48">
        <v>3391531.8600000003</v>
      </c>
      <c r="G48" s="48">
        <f t="shared" si="1"/>
        <v>10320507.100000001</v>
      </c>
      <c r="H48" s="48">
        <f t="shared" si="3"/>
        <v>210.69999999999996</v>
      </c>
      <c r="I48" s="48">
        <f t="shared" si="3"/>
        <v>9.4</v>
      </c>
      <c r="J48" s="48">
        <v>31</v>
      </c>
      <c r="K48" s="110">
        <v>1</v>
      </c>
      <c r="L48" s="48">
        <f>Inputs!G105+Inputs!I105+Inputs!L105+Inputs!O105+Inputs!R105+Inputs!AA105</f>
        <v>7456</v>
      </c>
      <c r="M48" s="48">
        <v>0</v>
      </c>
      <c r="N48" s="48">
        <f t="shared" si="2"/>
        <v>10878799.898627793</v>
      </c>
      <c r="O48"/>
      <c r="P48"/>
      <c r="Q48"/>
      <c r="R48"/>
      <c r="S48"/>
      <c r="T48"/>
    </row>
    <row r="49" spans="1:20" x14ac:dyDescent="0.2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0"/>
        <v>14325509.250000004</v>
      </c>
      <c r="E49" s="48">
        <v>189033.54000000004</v>
      </c>
      <c r="F49" s="48">
        <v>3150961.7699999996</v>
      </c>
      <c r="G49" s="48">
        <f t="shared" si="1"/>
        <v>10985513.940000005</v>
      </c>
      <c r="H49" s="48">
        <f t="shared" si="3"/>
        <v>448.1</v>
      </c>
      <c r="I49" s="48">
        <f t="shared" si="3"/>
        <v>0</v>
      </c>
      <c r="J49" s="48">
        <v>30</v>
      </c>
      <c r="K49" s="110">
        <v>0</v>
      </c>
      <c r="L49" s="48">
        <f>Inputs!G106+Inputs!I106+Inputs!L106+Inputs!O106+Inputs!R106+Inputs!AA106</f>
        <v>7479</v>
      </c>
      <c r="M49" s="48">
        <v>0</v>
      </c>
      <c r="N49" s="48">
        <f t="shared" si="2"/>
        <v>11241791.017975871</v>
      </c>
      <c r="O49"/>
      <c r="P49"/>
      <c r="Q49"/>
      <c r="R49"/>
      <c r="S49"/>
      <c r="T49"/>
    </row>
    <row r="50" spans="1:20" x14ac:dyDescent="0.2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0"/>
        <v>14145077.510000002</v>
      </c>
      <c r="E50" s="48">
        <v>156379.99</v>
      </c>
      <c r="F50" s="48">
        <v>2676040.65</v>
      </c>
      <c r="G50" s="48">
        <f t="shared" si="1"/>
        <v>11312656.870000001</v>
      </c>
      <c r="H50" s="48">
        <f t="shared" si="3"/>
        <v>462.29999999999995</v>
      </c>
      <c r="I50" s="48">
        <f t="shared" si="3"/>
        <v>0</v>
      </c>
      <c r="J50" s="48">
        <v>31</v>
      </c>
      <c r="K50" s="110">
        <v>0</v>
      </c>
      <c r="L50" s="48">
        <f>Inputs!G107+Inputs!I107+Inputs!L107+Inputs!O107+Inputs!R107+Inputs!AA107</f>
        <v>7489</v>
      </c>
      <c r="M50" s="48">
        <v>0</v>
      </c>
      <c r="N50" s="48">
        <f t="shared" si="2"/>
        <v>11614025.674685096</v>
      </c>
      <c r="O50"/>
      <c r="P50"/>
      <c r="Q50"/>
      <c r="R50"/>
      <c r="S50"/>
      <c r="T50"/>
    </row>
    <row r="51" spans="1:20" x14ac:dyDescent="0.2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0"/>
        <v>15049228.480000002</v>
      </c>
      <c r="E51" s="48">
        <v>171026.52000000002</v>
      </c>
      <c r="F51" s="48">
        <v>3175805.51</v>
      </c>
      <c r="G51" s="48">
        <f t="shared" si="1"/>
        <v>11702396.450000003</v>
      </c>
      <c r="H51" s="48">
        <f t="shared" si="3"/>
        <v>545.69999999999993</v>
      </c>
      <c r="I51" s="48">
        <f t="shared" si="3"/>
        <v>0</v>
      </c>
      <c r="J51" s="48">
        <v>31</v>
      </c>
      <c r="K51" s="110">
        <v>0</v>
      </c>
      <c r="L51" s="48">
        <f>Inputs!G108+Inputs!I108+Inputs!L108+Inputs!O108+Inputs!R108+Inputs!AA108</f>
        <v>7508</v>
      </c>
      <c r="M51" s="48">
        <v>0</v>
      </c>
      <c r="N51" s="48">
        <f t="shared" si="2"/>
        <v>11803589.420797907</v>
      </c>
      <c r="O51"/>
      <c r="P51"/>
      <c r="Q51"/>
      <c r="R51"/>
      <c r="S51"/>
      <c r="T51"/>
    </row>
    <row r="52" spans="1:20" x14ac:dyDescent="0.2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0"/>
        <v>14270047.250000002</v>
      </c>
      <c r="E52" s="48">
        <v>163565.26999999999</v>
      </c>
      <c r="F52" s="48">
        <v>3106057.9</v>
      </c>
      <c r="G52" s="48">
        <f t="shared" si="1"/>
        <v>11000424.080000002</v>
      </c>
      <c r="H52" s="48">
        <f t="shared" si="3"/>
        <v>534.49999999999989</v>
      </c>
      <c r="I52" s="48">
        <f t="shared" si="3"/>
        <v>0</v>
      </c>
      <c r="J52" s="48">
        <v>29</v>
      </c>
      <c r="K52" s="110">
        <v>0</v>
      </c>
      <c r="L52" s="48">
        <f>Inputs!G109+Inputs!I109+Inputs!L109+Inputs!O109+Inputs!R109+Inputs!AA109</f>
        <v>7522</v>
      </c>
      <c r="M52" s="48">
        <v>0</v>
      </c>
      <c r="N52" s="48">
        <f t="shared" si="2"/>
        <v>11146313.657832354</v>
      </c>
      <c r="O52"/>
      <c r="P52"/>
      <c r="Q52"/>
      <c r="R52"/>
      <c r="S52"/>
      <c r="T52"/>
    </row>
    <row r="53" spans="1:20" x14ac:dyDescent="0.2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0"/>
        <v>13588538.530000001</v>
      </c>
      <c r="E53" s="48">
        <v>155745.59</v>
      </c>
      <c r="F53" s="48">
        <v>2605804.7000000002</v>
      </c>
      <c r="G53" s="48">
        <f t="shared" si="1"/>
        <v>10826988.240000002</v>
      </c>
      <c r="H53" s="48">
        <f t="shared" si="3"/>
        <v>556.09999999999991</v>
      </c>
      <c r="I53" s="48">
        <f t="shared" si="3"/>
        <v>0</v>
      </c>
      <c r="J53" s="48">
        <v>31</v>
      </c>
      <c r="K53" s="110">
        <v>1</v>
      </c>
      <c r="L53" s="48">
        <f>Inputs!G110+Inputs!I110+Inputs!L110+Inputs!O110+Inputs!R110+Inputs!AA110</f>
        <v>7534</v>
      </c>
      <c r="M53" s="48">
        <v>0</v>
      </c>
      <c r="N53" s="48">
        <f t="shared" si="2"/>
        <v>11384011.481952934</v>
      </c>
      <c r="O53"/>
      <c r="P53"/>
      <c r="Q53"/>
      <c r="R53"/>
      <c r="S53"/>
      <c r="T53"/>
    </row>
    <row r="54" spans="1:20" x14ac:dyDescent="0.2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0"/>
        <v>10227380.470000004</v>
      </c>
      <c r="E54" s="48">
        <v>130250.96000000002</v>
      </c>
      <c r="F54" s="48">
        <v>981046.64999999991</v>
      </c>
      <c r="G54" s="48">
        <f t="shared" si="1"/>
        <v>9116082.8600000031</v>
      </c>
      <c r="H54" s="48">
        <f t="shared" si="3"/>
        <v>290.59999999999997</v>
      </c>
      <c r="I54" s="48">
        <f t="shared" si="3"/>
        <v>2.6</v>
      </c>
      <c r="J54" s="48">
        <v>30</v>
      </c>
      <c r="K54" s="110">
        <v>1</v>
      </c>
      <c r="L54" s="48">
        <f>Inputs!G111+Inputs!I111+Inputs!L111+Inputs!O111+Inputs!R111+Inputs!AA111</f>
        <v>7547</v>
      </c>
      <c r="M54" s="48">
        <v>1</v>
      </c>
      <c r="N54" s="48">
        <f t="shared" si="2"/>
        <v>9018297.1553305574</v>
      </c>
      <c r="O54"/>
      <c r="P54"/>
      <c r="Q54"/>
      <c r="R54"/>
      <c r="S54"/>
      <c r="T54"/>
    </row>
    <row r="55" spans="1:20" x14ac:dyDescent="0.2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0"/>
        <v>11249287.380000005</v>
      </c>
      <c r="E55" s="48">
        <v>127787.47</v>
      </c>
      <c r="F55" s="48">
        <v>1321734.96</v>
      </c>
      <c r="G55" s="48">
        <f t="shared" si="1"/>
        <v>9799764.950000003</v>
      </c>
      <c r="H55" s="48">
        <f t="shared" si="3"/>
        <v>153</v>
      </c>
      <c r="I55" s="48">
        <f t="shared" si="3"/>
        <v>8.9</v>
      </c>
      <c r="J55" s="48">
        <v>31</v>
      </c>
      <c r="K55" s="110">
        <v>1</v>
      </c>
      <c r="L55" s="48">
        <f>Inputs!G112+Inputs!I112+Inputs!L112+Inputs!O112+Inputs!R112+Inputs!AA112</f>
        <v>7550</v>
      </c>
      <c r="M55" s="48">
        <v>1</v>
      </c>
      <c r="N55" s="48">
        <f t="shared" si="2"/>
        <v>9276432.9168562368</v>
      </c>
      <c r="O55"/>
      <c r="P55"/>
      <c r="Q55"/>
      <c r="R55"/>
      <c r="S55"/>
      <c r="T55"/>
    </row>
    <row r="56" spans="1:20" x14ac:dyDescent="0.2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0"/>
        <v>15388580.119999997</v>
      </c>
      <c r="E56" s="48">
        <v>140825.13</v>
      </c>
      <c r="F56" s="48">
        <v>2831032.41</v>
      </c>
      <c r="G56" s="48">
        <f t="shared" si="1"/>
        <v>12416722.579999996</v>
      </c>
      <c r="H56" s="48">
        <f t="shared" si="3"/>
        <v>34.9</v>
      </c>
      <c r="I56" s="48">
        <f t="shared" si="3"/>
        <v>31.9</v>
      </c>
      <c r="J56" s="48">
        <v>30</v>
      </c>
      <c r="K56" s="110">
        <v>0</v>
      </c>
      <c r="L56" s="48">
        <f>Inputs!G113+Inputs!I113+Inputs!L113+Inputs!O113+Inputs!R113+Inputs!AA113</f>
        <v>7557</v>
      </c>
      <c r="M56" s="48">
        <v>0</v>
      </c>
      <c r="N56" s="48">
        <f t="shared" si="2"/>
        <v>11523860.824641101</v>
      </c>
      <c r="O56"/>
      <c r="P56"/>
      <c r="Q56"/>
      <c r="R56"/>
      <c r="S56"/>
      <c r="T56"/>
    </row>
    <row r="57" spans="1:20" x14ac:dyDescent="0.2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0"/>
        <v>18264809.57</v>
      </c>
      <c r="E57" s="48">
        <v>162185.27999999997</v>
      </c>
      <c r="F57" s="48">
        <v>3020618.2</v>
      </c>
      <c r="G57" s="48">
        <f t="shared" si="1"/>
        <v>15082006.09</v>
      </c>
      <c r="H57" s="48">
        <f t="shared" si="3"/>
        <v>2.4</v>
      </c>
      <c r="I57" s="48">
        <f t="shared" si="3"/>
        <v>80.3</v>
      </c>
      <c r="J57" s="48">
        <v>31</v>
      </c>
      <c r="K57" s="110">
        <v>0</v>
      </c>
      <c r="L57" s="48">
        <f>Inputs!G114+Inputs!I114+Inputs!L114+Inputs!O114+Inputs!R114+Inputs!AA114</f>
        <v>7566</v>
      </c>
      <c r="M57" s="48">
        <v>0</v>
      </c>
      <c r="N57" s="48">
        <f t="shared" si="2"/>
        <v>13240697.765999209</v>
      </c>
      <c r="O57"/>
      <c r="P57"/>
      <c r="Q57"/>
      <c r="R57"/>
      <c r="S57"/>
      <c r="T57"/>
    </row>
    <row r="58" spans="1:20" x14ac:dyDescent="0.2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0"/>
        <v>16955555.359999999</v>
      </c>
      <c r="E58" s="48">
        <v>158668.94</v>
      </c>
      <c r="F58" s="48">
        <v>3014862.76</v>
      </c>
      <c r="G58" s="48">
        <f t="shared" si="1"/>
        <v>13782023.659999998</v>
      </c>
      <c r="H58" s="48">
        <f t="shared" si="3"/>
        <v>19.8</v>
      </c>
      <c r="I58" s="48">
        <f t="shared" si="3"/>
        <v>35.299999999999997</v>
      </c>
      <c r="J58" s="48">
        <v>31</v>
      </c>
      <c r="K58" s="110">
        <v>0</v>
      </c>
      <c r="L58" s="48">
        <f>Inputs!G115+Inputs!I115+Inputs!L115+Inputs!O115+Inputs!R115+Inputs!AA115</f>
        <v>7581</v>
      </c>
      <c r="M58" s="48">
        <v>0</v>
      </c>
      <c r="N58" s="48">
        <f t="shared" si="2"/>
        <v>11963385.953944691</v>
      </c>
      <c r="O58"/>
      <c r="P58"/>
      <c r="Q58"/>
      <c r="R58"/>
      <c r="S58"/>
      <c r="T58"/>
    </row>
    <row r="59" spans="1:20" x14ac:dyDescent="0.2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0"/>
        <v>14641003.019999998</v>
      </c>
      <c r="E59" s="48">
        <v>149561.73000000001</v>
      </c>
      <c r="F59" s="48">
        <v>3076655.74</v>
      </c>
      <c r="G59" s="48">
        <f t="shared" si="1"/>
        <v>11414785.549999997</v>
      </c>
      <c r="H59" s="48">
        <f t="shared" si="3"/>
        <v>52.500000000000007</v>
      </c>
      <c r="I59" s="48">
        <f t="shared" si="3"/>
        <v>29.200000000000003</v>
      </c>
      <c r="J59" s="48">
        <v>30</v>
      </c>
      <c r="K59" s="110">
        <v>1</v>
      </c>
      <c r="L59" s="48">
        <f>Inputs!G116+Inputs!I116+Inputs!L116+Inputs!O116+Inputs!R116+Inputs!AA116</f>
        <v>7596</v>
      </c>
      <c r="M59" s="48">
        <v>0</v>
      </c>
      <c r="N59" s="48">
        <f t="shared" si="2"/>
        <v>11058741.289853571</v>
      </c>
      <c r="O59"/>
      <c r="P59"/>
      <c r="Q59"/>
      <c r="R59"/>
      <c r="S59"/>
      <c r="T59"/>
    </row>
    <row r="60" spans="1:20" x14ac:dyDescent="0.2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0"/>
        <v>14421285.930000003</v>
      </c>
      <c r="E60" s="48">
        <v>146356.07999999999</v>
      </c>
      <c r="F60" s="48">
        <v>3018748.12</v>
      </c>
      <c r="G60" s="48">
        <f t="shared" si="1"/>
        <v>11256181.730000004</v>
      </c>
      <c r="H60" s="48">
        <f t="shared" si="3"/>
        <v>210.69999999999996</v>
      </c>
      <c r="I60" s="48">
        <f t="shared" si="3"/>
        <v>9.4</v>
      </c>
      <c r="J60" s="48">
        <v>31</v>
      </c>
      <c r="K60" s="110">
        <v>1</v>
      </c>
      <c r="L60" s="48">
        <f>Inputs!G117+Inputs!I117+Inputs!L117+Inputs!O117+Inputs!R117+Inputs!AA117</f>
        <v>7650</v>
      </c>
      <c r="M60" s="48">
        <v>0</v>
      </c>
      <c r="N60" s="48">
        <f t="shared" si="2"/>
        <v>11188996.192026397</v>
      </c>
      <c r="O60"/>
      <c r="P60"/>
      <c r="Q60"/>
      <c r="R60"/>
      <c r="S60"/>
      <c r="T60"/>
    </row>
    <row r="61" spans="1:20" x14ac:dyDescent="0.2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0"/>
        <v>14362812.690000001</v>
      </c>
      <c r="E61" s="48">
        <v>165563.92000000001</v>
      </c>
      <c r="F61" s="48">
        <v>2950185.69</v>
      </c>
      <c r="G61" s="48">
        <f t="shared" si="1"/>
        <v>11247063.080000002</v>
      </c>
      <c r="H61" s="48">
        <f t="shared" si="3"/>
        <v>448.1</v>
      </c>
      <c r="I61" s="48">
        <f t="shared" si="3"/>
        <v>0</v>
      </c>
      <c r="J61" s="48">
        <v>30</v>
      </c>
      <c r="K61" s="110">
        <v>0</v>
      </c>
      <c r="L61" s="48">
        <f>Inputs!G118+Inputs!I118+Inputs!L118+Inputs!O118+Inputs!R118+Inputs!AA118</f>
        <v>7665</v>
      </c>
      <c r="M61" s="48">
        <v>0</v>
      </c>
      <c r="N61" s="48">
        <f t="shared" si="2"/>
        <v>11539195.711646697</v>
      </c>
      <c r="O61"/>
      <c r="P61"/>
      <c r="Q61"/>
      <c r="R61"/>
      <c r="S61"/>
      <c r="T61"/>
    </row>
    <row r="62" spans="1:20" x14ac:dyDescent="0.2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0"/>
        <v>14961929.949999999</v>
      </c>
      <c r="E62" s="48">
        <v>196766.91999999998</v>
      </c>
      <c r="F62" s="48">
        <v>2363231.4300000002</v>
      </c>
      <c r="G62" s="48">
        <f t="shared" si="1"/>
        <v>12401931.6</v>
      </c>
      <c r="H62" s="48">
        <f t="shared" si="3"/>
        <v>462.29999999999995</v>
      </c>
      <c r="I62" s="48">
        <f t="shared" si="3"/>
        <v>0</v>
      </c>
      <c r="J62" s="48">
        <v>31</v>
      </c>
      <c r="K62" s="110">
        <v>0</v>
      </c>
      <c r="L62" s="48">
        <f>Inputs!G119+Inputs!I119+Inputs!L119+Inputs!O119+Inputs!R119+Inputs!AA119</f>
        <v>7688</v>
      </c>
      <c r="M62" s="48">
        <v>0</v>
      </c>
      <c r="N62" s="48">
        <f t="shared" si="2"/>
        <v>11932216.717913561</v>
      </c>
      <c r="O62"/>
      <c r="P62"/>
      <c r="Q62"/>
      <c r="R62"/>
      <c r="S62"/>
      <c r="T62"/>
    </row>
    <row r="63" spans="1:20" x14ac:dyDescent="0.2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0"/>
        <v>15423538.489999998</v>
      </c>
      <c r="E63" s="48">
        <v>543748.41999999993</v>
      </c>
      <c r="F63" s="48">
        <v>2652843.8200000003</v>
      </c>
      <c r="G63" s="48">
        <f t="shared" si="1"/>
        <v>12226946.249999998</v>
      </c>
      <c r="H63" s="48">
        <f t="shared" si="3"/>
        <v>545.69999999999993</v>
      </c>
      <c r="I63" s="48">
        <f t="shared" si="3"/>
        <v>0</v>
      </c>
      <c r="J63" s="48">
        <v>31</v>
      </c>
      <c r="K63" s="110">
        <v>0</v>
      </c>
      <c r="L63" s="48">
        <f>Inputs!G120+Inputs!I120+Inputs!L120+Inputs!O120+Inputs!R120+Inputs!AA120</f>
        <v>7720</v>
      </c>
      <c r="M63" s="48">
        <v>0</v>
      </c>
      <c r="N63" s="48">
        <f t="shared" si="2"/>
        <v>12142566.813584011</v>
      </c>
      <c r="O63"/>
      <c r="P63"/>
      <c r="Q63"/>
      <c r="R63"/>
      <c r="S63"/>
      <c r="T63"/>
    </row>
    <row r="64" spans="1:20" x14ac:dyDescent="0.2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0"/>
        <v>14375277.779999999</v>
      </c>
      <c r="E64" s="48">
        <v>463830.81</v>
      </c>
      <c r="F64" s="48">
        <v>2406118.8199999998</v>
      </c>
      <c r="G64" s="48">
        <f t="shared" si="1"/>
        <v>11505328.149999999</v>
      </c>
      <c r="H64" s="48">
        <f t="shared" si="3"/>
        <v>534.49999999999989</v>
      </c>
      <c r="I64" s="48">
        <f t="shared" si="3"/>
        <v>0</v>
      </c>
      <c r="J64" s="48">
        <v>28</v>
      </c>
      <c r="K64" s="110">
        <v>0</v>
      </c>
      <c r="L64" s="48">
        <f>Inputs!G121+Inputs!I121+Inputs!L121+Inputs!O121+Inputs!R121+Inputs!AA121</f>
        <v>7739</v>
      </c>
      <c r="M64" s="48">
        <v>0</v>
      </c>
      <c r="N64" s="48">
        <f t="shared" si="2"/>
        <v>11164143.862751126</v>
      </c>
      <c r="O64"/>
      <c r="P64"/>
      <c r="Q64"/>
      <c r="R64"/>
      <c r="S64"/>
      <c r="T64"/>
    </row>
    <row r="65" spans="1:20" x14ac:dyDescent="0.2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0"/>
        <v>15036579.029999999</v>
      </c>
      <c r="E65" s="48">
        <v>537531.31000000006</v>
      </c>
      <c r="F65" s="48">
        <v>2855575.39</v>
      </c>
      <c r="G65" s="48">
        <f t="shared" si="1"/>
        <v>11643472.329999998</v>
      </c>
      <c r="H65" s="48">
        <f t="shared" si="3"/>
        <v>556.09999999999991</v>
      </c>
      <c r="I65" s="48">
        <f t="shared" si="3"/>
        <v>0</v>
      </c>
      <c r="J65" s="48">
        <v>31</v>
      </c>
      <c r="K65" s="110">
        <v>1</v>
      </c>
      <c r="L65" s="48">
        <f>Inputs!G122+Inputs!I122+Inputs!L122+Inputs!O122+Inputs!R122+Inputs!AA122</f>
        <v>7764</v>
      </c>
      <c r="M65" s="48">
        <v>0</v>
      </c>
      <c r="N65" s="48">
        <f t="shared" si="2"/>
        <v>11751769.974126535</v>
      </c>
      <c r="O65"/>
      <c r="P65"/>
      <c r="Q65"/>
      <c r="R65"/>
      <c r="S65"/>
      <c r="T65"/>
    </row>
    <row r="66" spans="1:20" x14ac:dyDescent="0.2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0"/>
        <v>12453620.560000001</v>
      </c>
      <c r="E66" s="48">
        <v>208735.52999999997</v>
      </c>
      <c r="F66" s="48">
        <v>2127833.12</v>
      </c>
      <c r="G66" s="48">
        <f t="shared" si="1"/>
        <v>10117051.91</v>
      </c>
      <c r="H66" s="48">
        <f t="shared" si="3"/>
        <v>290.59999999999997</v>
      </c>
      <c r="I66" s="48">
        <f t="shared" si="3"/>
        <v>2.6</v>
      </c>
      <c r="J66" s="48">
        <v>30</v>
      </c>
      <c r="K66" s="110">
        <v>1</v>
      </c>
      <c r="L66" s="48">
        <f>Inputs!G123+Inputs!I123+Inputs!L123+Inputs!O123+Inputs!R123+Inputs!AA123</f>
        <v>7789</v>
      </c>
      <c r="M66" s="48">
        <v>0</v>
      </c>
      <c r="N66" s="48">
        <f t="shared" si="2"/>
        <v>11032952.782486293</v>
      </c>
      <c r="O66"/>
      <c r="P66"/>
      <c r="Q66"/>
      <c r="R66"/>
      <c r="S66"/>
      <c r="T66"/>
    </row>
    <row r="67" spans="1:20" x14ac:dyDescent="0.2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ref="D67:D86" si="4">B67+C67</f>
        <v>13478839.190000001</v>
      </c>
      <c r="E67" s="48">
        <v>137709.51999999999</v>
      </c>
      <c r="F67" s="48">
        <v>2246884.9300000002</v>
      </c>
      <c r="G67" s="48">
        <f t="shared" si="1"/>
        <v>11094244.740000002</v>
      </c>
      <c r="H67" s="48">
        <f t="shared" si="3"/>
        <v>153</v>
      </c>
      <c r="I67" s="48">
        <f t="shared" si="3"/>
        <v>8.9</v>
      </c>
      <c r="J67" s="48">
        <v>31</v>
      </c>
      <c r="K67" s="110">
        <v>1</v>
      </c>
      <c r="L67" s="48">
        <f>Inputs!G124+Inputs!I124+Inputs!L124+Inputs!O124+Inputs!R124+Inputs!AA124</f>
        <v>7811</v>
      </c>
      <c r="M67" s="48">
        <v>0</v>
      </c>
      <c r="N67" s="48">
        <f t="shared" si="2"/>
        <v>11321468.593365446</v>
      </c>
      <c r="O67"/>
      <c r="P67"/>
      <c r="Q67"/>
      <c r="R67"/>
      <c r="S67"/>
      <c r="T67"/>
    </row>
    <row r="68" spans="1:20" x14ac:dyDescent="0.2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4"/>
        <v>15789989.870000001</v>
      </c>
      <c r="E68" s="48">
        <v>157595.26999999999</v>
      </c>
      <c r="F68" s="48">
        <v>2636157.2999999998</v>
      </c>
      <c r="G68" s="48">
        <f t="shared" ref="G68:G86" si="5">D68-E68-F68</f>
        <v>12996237.300000001</v>
      </c>
      <c r="H68" s="48">
        <f t="shared" si="3"/>
        <v>34.9</v>
      </c>
      <c r="I68" s="48">
        <f t="shared" si="3"/>
        <v>31.9</v>
      </c>
      <c r="J68" s="48">
        <v>30</v>
      </c>
      <c r="K68" s="110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6">$W$18+$W$19*H68+$W$20*I68+$W$21*J68+$W$22*K68+$W$23*L68+M68*$W$24</f>
        <v>11985957.364807062</v>
      </c>
      <c r="O68"/>
      <c r="P68"/>
      <c r="Q68"/>
      <c r="R68"/>
      <c r="S68"/>
      <c r="T68"/>
    </row>
    <row r="69" spans="1:20" x14ac:dyDescent="0.2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4"/>
        <v>15898923.970000003</v>
      </c>
      <c r="E69" s="48">
        <v>155916.87</v>
      </c>
      <c r="F69" s="48">
        <v>2079124.17</v>
      </c>
      <c r="G69" s="48">
        <f t="shared" si="5"/>
        <v>13663882.930000003</v>
      </c>
      <c r="H69" s="48">
        <f t="shared" si="3"/>
        <v>2.4</v>
      </c>
      <c r="I69" s="48">
        <f t="shared" si="3"/>
        <v>80.3</v>
      </c>
      <c r="J69" s="48">
        <v>31</v>
      </c>
      <c r="K69" s="110">
        <v>0</v>
      </c>
      <c r="L69" s="48">
        <f>Inputs!G126+Inputs!I126+Inputs!L126+Inputs!O126+Inputs!R126+Inputs!AA126</f>
        <v>7883</v>
      </c>
      <c r="M69" s="48">
        <v>0</v>
      </c>
      <c r="N69" s="48">
        <f t="shared" si="6"/>
        <v>13747564.905212391</v>
      </c>
      <c r="O69"/>
      <c r="P69"/>
      <c r="Q69"/>
      <c r="R69"/>
      <c r="S69"/>
      <c r="T69"/>
    </row>
    <row r="70" spans="1:20" x14ac:dyDescent="0.2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4"/>
        <v>17996971.880000003</v>
      </c>
      <c r="E70" s="48">
        <v>171945.79</v>
      </c>
      <c r="F70" s="48">
        <v>2857704.54</v>
      </c>
      <c r="G70" s="48">
        <f t="shared" si="5"/>
        <v>14967321.550000004</v>
      </c>
      <c r="H70" s="48">
        <f t="shared" si="3"/>
        <v>19.8</v>
      </c>
      <c r="I70" s="48">
        <f t="shared" si="3"/>
        <v>35.299999999999997</v>
      </c>
      <c r="J70" s="48">
        <v>31</v>
      </c>
      <c r="K70" s="110">
        <v>0</v>
      </c>
      <c r="L70" s="48">
        <f>Inputs!G127+Inputs!I127+Inputs!L127+Inputs!O127+Inputs!R127+Inputs!AA127</f>
        <v>7901</v>
      </c>
      <c r="M70" s="48">
        <v>0</v>
      </c>
      <c r="N70" s="48">
        <f t="shared" si="6"/>
        <v>12475049.943055788</v>
      </c>
      <c r="O70"/>
      <c r="P70"/>
      <c r="Q70"/>
      <c r="R70"/>
      <c r="S70"/>
      <c r="T70"/>
    </row>
    <row r="71" spans="1:20" x14ac:dyDescent="0.2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4"/>
        <v>14213552.020000001</v>
      </c>
      <c r="E71" s="48">
        <v>148189.84</v>
      </c>
      <c r="F71" s="48">
        <v>2457487.63</v>
      </c>
      <c r="G71" s="48">
        <f t="shared" si="5"/>
        <v>11607874.550000001</v>
      </c>
      <c r="H71" s="48">
        <f t="shared" si="3"/>
        <v>52.500000000000007</v>
      </c>
      <c r="I71" s="48">
        <f t="shared" si="3"/>
        <v>29.200000000000003</v>
      </c>
      <c r="J71" s="48">
        <v>30</v>
      </c>
      <c r="K71" s="110">
        <v>1</v>
      </c>
      <c r="L71" s="48">
        <f>Inputs!G128+Inputs!I128+Inputs!L128+Inputs!O128+Inputs!R128+Inputs!AA128</f>
        <v>7934</v>
      </c>
      <c r="M71" s="48">
        <v>0</v>
      </c>
      <c r="N71" s="48">
        <f t="shared" si="6"/>
        <v>11599186.378352167</v>
      </c>
      <c r="O71"/>
      <c r="P71"/>
      <c r="Q71"/>
      <c r="R71"/>
      <c r="S71"/>
      <c r="T71"/>
    </row>
    <row r="72" spans="1:20" x14ac:dyDescent="0.2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4"/>
        <v>13997119.66</v>
      </c>
      <c r="E72" s="48">
        <v>161878.74</v>
      </c>
      <c r="F72" s="48">
        <v>2421664.91</v>
      </c>
      <c r="G72" s="48">
        <f t="shared" si="5"/>
        <v>11413576.01</v>
      </c>
      <c r="H72" s="48">
        <f t="shared" si="3"/>
        <v>210.69999999999996</v>
      </c>
      <c r="I72" s="48">
        <f t="shared" si="3"/>
        <v>9.4</v>
      </c>
      <c r="J72" s="48">
        <v>31</v>
      </c>
      <c r="K72" s="110">
        <v>1</v>
      </c>
      <c r="L72" s="48">
        <f>Inputs!G129+Inputs!I129+Inputs!L129+Inputs!O129+Inputs!R129+Inputs!AA129</f>
        <v>7977</v>
      </c>
      <c r="M72" s="48">
        <v>0</v>
      </c>
      <c r="N72" s="48">
        <f t="shared" si="6"/>
        <v>11711852.8308993</v>
      </c>
      <c r="O72"/>
      <c r="P72"/>
      <c r="Q72"/>
      <c r="R72"/>
      <c r="S72"/>
      <c r="T72"/>
    </row>
    <row r="73" spans="1:20" x14ac:dyDescent="0.2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4"/>
        <v>14613656.860000001</v>
      </c>
      <c r="E73" s="48">
        <v>216918.55</v>
      </c>
      <c r="F73" s="48">
        <v>2535706.0500000003</v>
      </c>
      <c r="G73" s="48">
        <f t="shared" si="5"/>
        <v>11861032.26</v>
      </c>
      <c r="H73" s="48">
        <f t="shared" si="3"/>
        <v>448.1</v>
      </c>
      <c r="I73" s="48">
        <f t="shared" si="3"/>
        <v>0</v>
      </c>
      <c r="J73" s="48">
        <v>30</v>
      </c>
      <c r="K73" s="110">
        <v>0</v>
      </c>
      <c r="L73" s="48">
        <f>Inputs!G130+Inputs!I130+Inputs!L130+Inputs!O130+Inputs!R130+Inputs!AA130</f>
        <v>8016</v>
      </c>
      <c r="M73" s="48">
        <v>0</v>
      </c>
      <c r="N73" s="48">
        <f t="shared" si="6"/>
        <v>12100427.149702935</v>
      </c>
      <c r="O73"/>
      <c r="P73"/>
      <c r="Q73"/>
      <c r="R73"/>
      <c r="S73"/>
      <c r="T73"/>
    </row>
    <row r="74" spans="1:20" x14ac:dyDescent="0.2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4"/>
        <v>14785799.459999997</v>
      </c>
      <c r="E74" s="48">
        <v>205565.01</v>
      </c>
      <c r="F74" s="48">
        <v>2333799.2400000002</v>
      </c>
      <c r="G74" s="48">
        <f t="shared" si="5"/>
        <v>12246435.209999997</v>
      </c>
      <c r="H74" s="48">
        <f t="shared" si="3"/>
        <v>462.29999999999995</v>
      </c>
      <c r="I74" s="48">
        <f t="shared" si="3"/>
        <v>0</v>
      </c>
      <c r="J74" s="48">
        <v>31</v>
      </c>
      <c r="K74" s="110">
        <v>0</v>
      </c>
      <c r="L74" s="48">
        <f>Inputs!G131+Inputs!I131+Inputs!L131+Inputs!O131+Inputs!R131+Inputs!AA131</f>
        <v>8043</v>
      </c>
      <c r="M74" s="48">
        <v>0</v>
      </c>
      <c r="N74" s="48">
        <f t="shared" si="6"/>
        <v>12499843.955833687</v>
      </c>
      <c r="O74"/>
      <c r="P74"/>
      <c r="Q74"/>
      <c r="R74"/>
      <c r="S74"/>
      <c r="T74"/>
    </row>
    <row r="75" spans="1:20" x14ac:dyDescent="0.2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4"/>
        <v>16451556.24</v>
      </c>
      <c r="E75" s="48">
        <v>229885.46</v>
      </c>
      <c r="F75" s="48">
        <v>2704683.5200000005</v>
      </c>
      <c r="G75" s="48">
        <f t="shared" si="5"/>
        <v>13516987.259999998</v>
      </c>
      <c r="H75" s="48">
        <f t="shared" si="3"/>
        <v>545.69999999999993</v>
      </c>
      <c r="I75" s="48">
        <f t="shared" si="3"/>
        <v>0</v>
      </c>
      <c r="J75" s="48">
        <v>31</v>
      </c>
      <c r="K75" s="110">
        <v>0</v>
      </c>
      <c r="L75" s="48">
        <f>Inputs!G132+Inputs!I132+Inputs!L132+Inputs!O132+Inputs!R132+Inputs!AA132</f>
        <v>8062</v>
      </c>
      <c r="M75" s="48">
        <v>0</v>
      </c>
      <c r="N75" s="48">
        <f t="shared" si="6"/>
        <v>12689407.701946497</v>
      </c>
      <c r="O75"/>
      <c r="P75"/>
      <c r="Q75"/>
      <c r="R75"/>
      <c r="S75"/>
      <c r="T75"/>
    </row>
    <row r="76" spans="1:20" x14ac:dyDescent="0.2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4"/>
        <v>14787466.58</v>
      </c>
      <c r="E76" s="48">
        <v>215471.86000000002</v>
      </c>
      <c r="F76" s="48">
        <v>2459020.0700000003</v>
      </c>
      <c r="G76" s="48">
        <f t="shared" si="5"/>
        <v>12112974.65</v>
      </c>
      <c r="H76" s="48">
        <f t="shared" si="3"/>
        <v>534.49999999999989</v>
      </c>
      <c r="I76" s="48">
        <f t="shared" si="3"/>
        <v>0</v>
      </c>
      <c r="J76" s="48">
        <v>28</v>
      </c>
      <c r="K76" s="110">
        <v>0</v>
      </c>
      <c r="L76" s="48">
        <f>Inputs!G133+Inputs!I133+Inputs!L133+Inputs!O133+Inputs!R133+Inputs!AA133</f>
        <v>8086</v>
      </c>
      <c r="M76" s="48">
        <v>0</v>
      </c>
      <c r="N76" s="48">
        <f t="shared" si="6"/>
        <v>11718979.500943473</v>
      </c>
      <c r="O76"/>
      <c r="P76"/>
      <c r="Q76"/>
      <c r="R76"/>
      <c r="S76"/>
      <c r="T76"/>
    </row>
    <row r="77" spans="1:20" x14ac:dyDescent="0.2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4"/>
        <v>15903185.579999994</v>
      </c>
      <c r="E77" s="48">
        <v>258483.46000000002</v>
      </c>
      <c r="F77" s="48">
        <v>2650068.8200000003</v>
      </c>
      <c r="G77" s="48">
        <f t="shared" si="5"/>
        <v>12994633.299999993</v>
      </c>
      <c r="H77" s="48">
        <f t="shared" si="3"/>
        <v>556.09999999999991</v>
      </c>
      <c r="I77" s="48">
        <f t="shared" si="3"/>
        <v>0</v>
      </c>
      <c r="J77" s="48">
        <v>31</v>
      </c>
      <c r="K77" s="110">
        <v>1</v>
      </c>
      <c r="L77" s="48">
        <f>Inputs!G134+Inputs!I134+Inputs!L134+Inputs!O134+Inputs!R134+Inputs!AA134</f>
        <v>8093</v>
      </c>
      <c r="M77" s="48">
        <v>0</v>
      </c>
      <c r="N77" s="48">
        <f t="shared" si="6"/>
        <v>12277824.512931382</v>
      </c>
      <c r="O77"/>
      <c r="P77"/>
      <c r="Q77"/>
      <c r="R77"/>
      <c r="S77"/>
      <c r="T77"/>
    </row>
    <row r="78" spans="1:20" x14ac:dyDescent="0.2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4"/>
        <v>13584384.76</v>
      </c>
      <c r="E78" s="48">
        <v>215327.68000000002</v>
      </c>
      <c r="F78" s="48">
        <v>2124042.29</v>
      </c>
      <c r="G78" s="48">
        <f t="shared" si="5"/>
        <v>11245014.789999999</v>
      </c>
      <c r="H78" s="48">
        <f t="shared" si="3"/>
        <v>290.59999999999997</v>
      </c>
      <c r="I78" s="48">
        <f t="shared" si="3"/>
        <v>2.6</v>
      </c>
      <c r="J78" s="48">
        <v>30</v>
      </c>
      <c r="K78" s="110">
        <v>1</v>
      </c>
      <c r="L78" s="48">
        <f>Inputs!G135+Inputs!I135+Inputs!L135+Inputs!O135+Inputs!R135+Inputs!AA135</f>
        <v>8106</v>
      </c>
      <c r="M78" s="48">
        <v>0</v>
      </c>
      <c r="N78" s="48">
        <f t="shared" si="6"/>
        <v>11539819.921699475</v>
      </c>
      <c r="O78"/>
      <c r="P78"/>
      <c r="Q78"/>
      <c r="R78"/>
      <c r="S78"/>
      <c r="T78"/>
    </row>
    <row r="79" spans="1:20" x14ac:dyDescent="0.2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4"/>
        <v>14538731.920000006</v>
      </c>
      <c r="E79" s="48">
        <v>190188.46999999997</v>
      </c>
      <c r="F79" s="48">
        <v>2149731.92</v>
      </c>
      <c r="G79" s="48">
        <f t="shared" si="5"/>
        <v>12198811.530000005</v>
      </c>
      <c r="H79" s="48">
        <f t="shared" si="3"/>
        <v>153</v>
      </c>
      <c r="I79" s="48">
        <f t="shared" si="3"/>
        <v>8.9</v>
      </c>
      <c r="J79" s="48">
        <v>31</v>
      </c>
      <c r="K79" s="110">
        <v>1</v>
      </c>
      <c r="L79" s="48">
        <f>Inputs!G136+Inputs!I136+Inputs!L136+Inputs!O136+Inputs!R136+Inputs!AA136</f>
        <v>8119</v>
      </c>
      <c r="M79" s="48">
        <v>0</v>
      </c>
      <c r="N79" s="48">
        <f t="shared" si="6"/>
        <v>11813945.182884879</v>
      </c>
      <c r="O79"/>
      <c r="P79"/>
      <c r="Q79"/>
      <c r="R79"/>
      <c r="S79"/>
      <c r="T79"/>
    </row>
    <row r="80" spans="1:20" x14ac:dyDescent="0.2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4"/>
        <v>15824994.650000002</v>
      </c>
      <c r="E80" s="48">
        <v>186475.58000000002</v>
      </c>
      <c r="F80" s="48">
        <v>2378714.67</v>
      </c>
      <c r="G80" s="48">
        <f t="shared" si="5"/>
        <v>13259804.400000002</v>
      </c>
      <c r="H80" s="48">
        <f t="shared" ref="H80:I86" si="7">H68</f>
        <v>34.9</v>
      </c>
      <c r="I80" s="48">
        <f t="shared" si="7"/>
        <v>31.9</v>
      </c>
      <c r="J80" s="48">
        <v>30</v>
      </c>
      <c r="K80" s="110">
        <v>0</v>
      </c>
      <c r="L80" s="48">
        <f>Inputs!G137+Inputs!I137+Inputs!L137+Inputs!O137+Inputs!R137+Inputs!AA137</f>
        <v>8166</v>
      </c>
      <c r="M80" s="48">
        <v>0</v>
      </c>
      <c r="N80" s="48">
        <f t="shared" si="6"/>
        <v>12497621.353918161</v>
      </c>
      <c r="O80"/>
      <c r="P80"/>
      <c r="Q80"/>
      <c r="R80"/>
      <c r="S80"/>
      <c r="T80"/>
    </row>
    <row r="81" spans="1:20" x14ac:dyDescent="0.2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4"/>
        <v>17241588.73</v>
      </c>
      <c r="E81" s="48">
        <v>188489.26</v>
      </c>
      <c r="F81" s="48">
        <v>2333898.79</v>
      </c>
      <c r="G81" s="48">
        <f t="shared" si="5"/>
        <v>14719200.68</v>
      </c>
      <c r="H81" s="48">
        <f t="shared" si="7"/>
        <v>2.4</v>
      </c>
      <c r="I81" s="48">
        <f t="shared" si="7"/>
        <v>80.3</v>
      </c>
      <c r="J81" s="48">
        <v>31</v>
      </c>
      <c r="K81" s="110">
        <v>0</v>
      </c>
      <c r="L81" s="48">
        <f>Inputs!G138+Inputs!I138+Inputs!L138+Inputs!O138+Inputs!R138+Inputs!AA138</f>
        <v>8192</v>
      </c>
      <c r="M81" s="48">
        <v>0</v>
      </c>
      <c r="N81" s="48">
        <f t="shared" si="6"/>
        <v>14241640.444697795</v>
      </c>
      <c r="O81"/>
      <c r="P81"/>
      <c r="Q81"/>
      <c r="R81"/>
      <c r="S81"/>
      <c r="T81"/>
    </row>
    <row r="82" spans="1:20" x14ac:dyDescent="0.2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4"/>
        <v>17963610.170000002</v>
      </c>
      <c r="E82" s="48">
        <v>201468.34999999998</v>
      </c>
      <c r="F82" s="48">
        <v>2759316.12</v>
      </c>
      <c r="G82" s="48">
        <f t="shared" si="5"/>
        <v>15002825.699999999</v>
      </c>
      <c r="H82" s="48">
        <f t="shared" si="7"/>
        <v>19.8</v>
      </c>
      <c r="I82" s="48">
        <f t="shared" si="7"/>
        <v>35.299999999999997</v>
      </c>
      <c r="J82" s="48">
        <v>31</v>
      </c>
      <c r="K82" s="110">
        <v>0</v>
      </c>
      <c r="L82" s="48">
        <f>Inputs!G139+Inputs!I139+Inputs!L139+Inputs!O139+Inputs!R139+Inputs!AA139</f>
        <v>8221</v>
      </c>
      <c r="M82" s="48">
        <v>0</v>
      </c>
      <c r="N82" s="48">
        <f t="shared" si="6"/>
        <v>12986713.932166887</v>
      </c>
      <c r="O82"/>
      <c r="P82"/>
      <c r="Q82"/>
      <c r="R82"/>
      <c r="S82"/>
      <c r="T82"/>
    </row>
    <row r="83" spans="1:20" x14ac:dyDescent="0.2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4"/>
        <v>15002641.299999997</v>
      </c>
      <c r="E83" s="48">
        <v>184986.37</v>
      </c>
      <c r="F83" s="48">
        <v>2284987.33</v>
      </c>
      <c r="G83" s="48">
        <f t="shared" si="5"/>
        <v>12532667.599999998</v>
      </c>
      <c r="H83" s="48">
        <f t="shared" si="7"/>
        <v>52.500000000000007</v>
      </c>
      <c r="I83" s="48">
        <f t="shared" si="7"/>
        <v>29.200000000000003</v>
      </c>
      <c r="J83" s="48">
        <v>30</v>
      </c>
      <c r="K83" s="110">
        <v>1</v>
      </c>
      <c r="L83" s="48">
        <f>Inputs!G140+Inputs!I140+Inputs!L140+Inputs!O140+Inputs!R140+Inputs!AA140</f>
        <v>8244</v>
      </c>
      <c r="M83" s="48">
        <v>0</v>
      </c>
      <c r="N83" s="48">
        <f t="shared" si="6"/>
        <v>12094860.867803544</v>
      </c>
      <c r="O83"/>
      <c r="P83"/>
      <c r="Q83"/>
      <c r="R83"/>
      <c r="S83"/>
      <c r="T83"/>
    </row>
    <row r="84" spans="1:20" x14ac:dyDescent="0.2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4"/>
        <v>14113176.860000001</v>
      </c>
      <c r="E84" s="48">
        <v>203934.89</v>
      </c>
      <c r="F84" s="48">
        <v>2142061.7199999997</v>
      </c>
      <c r="G84" s="48">
        <f t="shared" si="5"/>
        <v>11767180.25</v>
      </c>
      <c r="H84" s="48">
        <f t="shared" si="7"/>
        <v>210.69999999999996</v>
      </c>
      <c r="I84" s="48">
        <f t="shared" si="7"/>
        <v>9.4</v>
      </c>
      <c r="J84" s="48">
        <v>31</v>
      </c>
      <c r="K84" s="110">
        <v>1</v>
      </c>
      <c r="L84" s="48">
        <f>Inputs!G141+Inputs!I141+Inputs!L141+Inputs!O141+Inputs!R141+Inputs!AA141</f>
        <v>8288</v>
      </c>
      <c r="M84" s="48">
        <v>0</v>
      </c>
      <c r="N84" s="48">
        <f t="shared" si="6"/>
        <v>12209126.270316649</v>
      </c>
      <c r="O84"/>
      <c r="P84"/>
      <c r="Q84"/>
      <c r="R84"/>
      <c r="S84"/>
      <c r="T84"/>
    </row>
    <row r="85" spans="1:20" x14ac:dyDescent="0.2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4"/>
        <v>14635247.929999998</v>
      </c>
      <c r="E85" s="48">
        <v>227343.93</v>
      </c>
      <c r="F85" s="48">
        <v>2384245.9500000002</v>
      </c>
      <c r="G85" s="48">
        <f t="shared" si="5"/>
        <v>12023658.049999997</v>
      </c>
      <c r="H85" s="48">
        <f t="shared" si="7"/>
        <v>448.1</v>
      </c>
      <c r="I85" s="48">
        <f t="shared" si="7"/>
        <v>0</v>
      </c>
      <c r="J85" s="48">
        <v>30</v>
      </c>
      <c r="K85" s="110">
        <v>0</v>
      </c>
      <c r="L85" s="48">
        <f>Inputs!G142+Inputs!I142+Inputs!L142+Inputs!O142+Inputs!R142+Inputs!AA142</f>
        <v>8301</v>
      </c>
      <c r="M85" s="48">
        <v>0</v>
      </c>
      <c r="N85" s="48">
        <f t="shared" si="6"/>
        <v>12556127.890005006</v>
      </c>
      <c r="O85"/>
      <c r="P85"/>
      <c r="Q85"/>
      <c r="R85"/>
      <c r="S85"/>
      <c r="T85"/>
    </row>
    <row r="86" spans="1:20" x14ac:dyDescent="0.2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4"/>
        <v>15098170.840000004</v>
      </c>
      <c r="E86" s="48">
        <v>219977.99</v>
      </c>
      <c r="F86" s="48">
        <v>2024507.74</v>
      </c>
      <c r="G86" s="48">
        <f t="shared" si="5"/>
        <v>12853685.110000003</v>
      </c>
      <c r="H86" s="48">
        <f t="shared" si="7"/>
        <v>462.29999999999995</v>
      </c>
      <c r="I86" s="48">
        <f t="shared" si="7"/>
        <v>0</v>
      </c>
      <c r="J86" s="48">
        <v>31</v>
      </c>
      <c r="K86" s="110">
        <v>0</v>
      </c>
      <c r="L86" s="48">
        <f>Inputs!G143+Inputs!I143+Inputs!L143+Inputs!O143+Inputs!R143+Inputs!AA143</f>
        <v>8315</v>
      </c>
      <c r="M86" s="48">
        <v>0</v>
      </c>
      <c r="N86" s="48">
        <f t="shared" si="6"/>
        <v>12934758.346578119</v>
      </c>
      <c r="O86"/>
      <c r="P86"/>
      <c r="Q86"/>
      <c r="R86"/>
      <c r="S86"/>
      <c r="T86"/>
    </row>
    <row r="87" spans="1:20" x14ac:dyDescent="0.2">
      <c r="A87" s="47">
        <v>44957</v>
      </c>
      <c r="B87" s="48"/>
      <c r="C87" s="48"/>
      <c r="D87" s="48"/>
      <c r="E87" s="48"/>
      <c r="F87" s="48"/>
      <c r="G87" s="48"/>
      <c r="H87" s="56">
        <f>(H3+H15+H27+H39+H51+H63+H75)/7</f>
        <v>545.69999999999993</v>
      </c>
      <c r="I87" s="56">
        <f>(I3+I15+I27+I39+I51+I63+I75)/7</f>
        <v>0</v>
      </c>
      <c r="J87" s="93">
        <v>31</v>
      </c>
      <c r="K87" s="111">
        <v>0</v>
      </c>
      <c r="L87" s="96">
        <f>'Rate Class Customer Model'!Q12</f>
        <v>8322.054935186803</v>
      </c>
      <c r="M87" s="48">
        <v>0</v>
      </c>
      <c r="N87" s="48">
        <f t="shared" si="6"/>
        <v>13105222.531714333</v>
      </c>
      <c r="O87"/>
      <c r="P87"/>
      <c r="Q87"/>
      <c r="R87"/>
      <c r="S87"/>
      <c r="T87"/>
    </row>
    <row r="88" spans="1:20" x14ac:dyDescent="0.2">
      <c r="A88" s="47">
        <v>44985</v>
      </c>
      <c r="B88" s="48"/>
      <c r="C88" s="48"/>
      <c r="D88" s="48"/>
      <c r="E88" s="48"/>
      <c r="F88" s="48"/>
      <c r="G88" s="48"/>
      <c r="H88" s="56">
        <f t="shared" ref="H88:I98" si="8">(H4+H16+H28+H40+H52+H64+H76)/7</f>
        <v>534.49999999999989</v>
      </c>
      <c r="I88" s="56">
        <f t="shared" si="8"/>
        <v>0</v>
      </c>
      <c r="J88" s="93">
        <v>28</v>
      </c>
      <c r="K88" s="111">
        <v>0</v>
      </c>
      <c r="L88" s="96">
        <f>'Rate Class Customer Model'!Q13</f>
        <v>8329.1158561956745</v>
      </c>
      <c r="M88" s="48">
        <v>0</v>
      </c>
      <c r="N88" s="48">
        <f t="shared" si="6"/>
        <v>12107709.590934845</v>
      </c>
      <c r="O88" s="32"/>
      <c r="R88" s="134"/>
      <c r="S88" s="134"/>
      <c r="T88" s="134"/>
    </row>
    <row r="89" spans="1:20" x14ac:dyDescent="0.2">
      <c r="A89" s="47">
        <v>45016</v>
      </c>
      <c r="B89" s="48"/>
      <c r="C89" s="48"/>
      <c r="D89" s="48"/>
      <c r="E89" s="48"/>
      <c r="F89" s="48"/>
      <c r="G89" s="48"/>
      <c r="H89" s="56">
        <f t="shared" si="8"/>
        <v>556.09999999999991</v>
      </c>
      <c r="I89" s="56">
        <f t="shared" si="8"/>
        <v>0</v>
      </c>
      <c r="J89" s="93">
        <v>31</v>
      </c>
      <c r="K89" s="111">
        <v>1</v>
      </c>
      <c r="L89" s="96">
        <f>'Rate Class Customer Model'!Q14</f>
        <v>8336.1827681053364</v>
      </c>
      <c r="M89" s="48">
        <v>0</v>
      </c>
      <c r="N89" s="48">
        <f t="shared" si="6"/>
        <v>12666661.591718432</v>
      </c>
      <c r="O89" s="32"/>
      <c r="R89" s="134"/>
      <c r="S89" s="134"/>
      <c r="T89" s="134"/>
    </row>
    <row r="90" spans="1:20" x14ac:dyDescent="0.2">
      <c r="A90" s="47">
        <v>45046</v>
      </c>
      <c r="B90" s="48"/>
      <c r="C90" s="48"/>
      <c r="D90" s="48"/>
      <c r="E90" s="48"/>
      <c r="F90" s="48"/>
      <c r="G90" s="48"/>
      <c r="H90" s="56">
        <f t="shared" si="8"/>
        <v>290.59999999999997</v>
      </c>
      <c r="I90" s="56">
        <f t="shared" si="8"/>
        <v>2.6</v>
      </c>
      <c r="J90" s="93">
        <v>30</v>
      </c>
      <c r="K90" s="111">
        <v>1</v>
      </c>
      <c r="L90" s="96">
        <f>'Rate Class Customer Model'!Q15</f>
        <v>8343.255675998822</v>
      </c>
      <c r="M90" s="48">
        <v>0</v>
      </c>
      <c r="N90" s="48">
        <f t="shared" si="6"/>
        <v>11919179.876764501</v>
      </c>
      <c r="O90" s="32"/>
      <c r="R90" s="134"/>
      <c r="S90" s="134"/>
      <c r="T90" s="134"/>
    </row>
    <row r="91" spans="1:20" x14ac:dyDescent="0.2">
      <c r="A91" s="47">
        <v>45077</v>
      </c>
      <c r="B91" s="48"/>
      <c r="C91" s="48"/>
      <c r="D91" s="48"/>
      <c r="E91" s="48"/>
      <c r="F91" s="48"/>
      <c r="G91" s="48"/>
      <c r="H91" s="56">
        <f t="shared" si="8"/>
        <v>153</v>
      </c>
      <c r="I91" s="56">
        <f t="shared" si="8"/>
        <v>8.9</v>
      </c>
      <c r="J91" s="93">
        <v>31</v>
      </c>
      <c r="K91" s="111">
        <v>1</v>
      </c>
      <c r="L91" s="96">
        <f>'Rate Class Customer Model'!Q16</f>
        <v>8350.334584963477</v>
      </c>
      <c r="M91" s="48">
        <v>0</v>
      </c>
      <c r="N91" s="48">
        <f t="shared" si="6"/>
        <v>12183837.609640419</v>
      </c>
      <c r="O91" s="32"/>
      <c r="R91" s="134"/>
      <c r="S91" s="134"/>
      <c r="T91" s="134"/>
    </row>
    <row r="92" spans="1:20" x14ac:dyDescent="0.2">
      <c r="A92" s="47">
        <v>45107</v>
      </c>
      <c r="B92" s="48"/>
      <c r="C92" s="48"/>
      <c r="D92" s="48"/>
      <c r="E92" s="48"/>
      <c r="F92" s="48"/>
      <c r="G92" s="48"/>
      <c r="H92" s="56">
        <f t="shared" si="8"/>
        <v>34.9</v>
      </c>
      <c r="I92" s="56">
        <f t="shared" si="8"/>
        <v>31.900000000000002</v>
      </c>
      <c r="J92" s="93">
        <v>30</v>
      </c>
      <c r="K92" s="111">
        <v>0</v>
      </c>
      <c r="L92" s="96">
        <f>'Rate Class Customer Model'!Q17</f>
        <v>8357.4195000909622</v>
      </c>
      <c r="M92" s="48">
        <v>0</v>
      </c>
      <c r="N92" s="48">
        <f t="shared" si="6"/>
        <v>12803691.557075016</v>
      </c>
      <c r="O92" s="32"/>
      <c r="R92" s="134"/>
      <c r="S92" s="134"/>
      <c r="T92" s="134"/>
    </row>
    <row r="93" spans="1:20" x14ac:dyDescent="0.2">
      <c r="A93" s="47">
        <v>45138</v>
      </c>
      <c r="B93" s="48"/>
      <c r="C93" s="48"/>
      <c r="D93" s="48"/>
      <c r="E93" s="48"/>
      <c r="F93" s="48"/>
      <c r="G93" s="48"/>
      <c r="H93" s="56">
        <f t="shared" si="8"/>
        <v>2.4</v>
      </c>
      <c r="I93" s="56">
        <f t="shared" si="8"/>
        <v>80.3</v>
      </c>
      <c r="J93" s="93">
        <v>31</v>
      </c>
      <c r="K93" s="111">
        <v>0</v>
      </c>
      <c r="L93" s="96">
        <f>'Rate Class Customer Model'!Q18</f>
        <v>8364.5104264772599</v>
      </c>
      <c r="M93" s="48">
        <v>0</v>
      </c>
      <c r="N93" s="48">
        <f t="shared" si="6"/>
        <v>14517475.985243456</v>
      </c>
      <c r="O93" s="32"/>
      <c r="P93"/>
      <c r="Q93"/>
      <c r="R93" s="134"/>
      <c r="S93" s="134"/>
      <c r="T93" s="134"/>
    </row>
    <row r="94" spans="1:20" x14ac:dyDescent="0.2">
      <c r="A94" s="47">
        <v>45169</v>
      </c>
      <c r="B94" s="48"/>
      <c r="C94" s="48"/>
      <c r="D94" s="48"/>
      <c r="E94" s="48"/>
      <c r="F94" s="48"/>
      <c r="G94" s="48"/>
      <c r="H94" s="56">
        <f t="shared" si="8"/>
        <v>19.8</v>
      </c>
      <c r="I94" s="56">
        <f t="shared" si="8"/>
        <v>35.300000000000004</v>
      </c>
      <c r="J94" s="93">
        <v>31</v>
      </c>
      <c r="K94" s="111">
        <v>0</v>
      </c>
      <c r="L94" s="96">
        <f>'Rate Class Customer Model'!Q19</f>
        <v>8371.6073692226764</v>
      </c>
      <c r="M94" s="48">
        <v>0</v>
      </c>
      <c r="N94" s="48">
        <f t="shared" si="6"/>
        <v>13227527.580060646</v>
      </c>
      <c r="O94" s="32"/>
      <c r="P94"/>
      <c r="Q94"/>
      <c r="R94" s="134"/>
      <c r="S94" s="134"/>
      <c r="T94" s="134"/>
    </row>
    <row r="95" spans="1:20" x14ac:dyDescent="0.2">
      <c r="A95" s="47">
        <v>45199</v>
      </c>
      <c r="B95" s="48"/>
      <c r="C95" s="48"/>
      <c r="D95" s="48"/>
      <c r="E95" s="48"/>
      <c r="F95" s="48"/>
      <c r="G95" s="48"/>
      <c r="H95" s="56">
        <f t="shared" si="8"/>
        <v>52.500000000000007</v>
      </c>
      <c r="I95" s="56">
        <f t="shared" si="8"/>
        <v>29.199999999999996</v>
      </c>
      <c r="J95" s="93">
        <v>30</v>
      </c>
      <c r="K95" s="111">
        <v>1</v>
      </c>
      <c r="L95" s="96">
        <f>'Rate Class Customer Model'!Q20</f>
        <v>8378.7103334318454</v>
      </c>
      <c r="M95" s="48">
        <v>0</v>
      </c>
      <c r="N95" s="48">
        <f t="shared" si="6"/>
        <v>12310255.950860495</v>
      </c>
      <c r="O95" s="32"/>
      <c r="P95"/>
      <c r="Q95"/>
      <c r="R95" s="134"/>
      <c r="S95" s="134"/>
      <c r="T95" s="134"/>
    </row>
    <row r="96" spans="1:20" x14ac:dyDescent="0.2">
      <c r="A96" s="47">
        <v>45230</v>
      </c>
      <c r="B96" s="48"/>
      <c r="C96" s="48"/>
      <c r="D96" s="48"/>
      <c r="E96" s="48"/>
      <c r="F96" s="48"/>
      <c r="G96" s="48"/>
      <c r="H96" s="56">
        <f t="shared" si="8"/>
        <v>210.7</v>
      </c>
      <c r="I96" s="56">
        <f t="shared" si="8"/>
        <v>9.4</v>
      </c>
      <c r="J96" s="93">
        <v>31</v>
      </c>
      <c r="K96" s="111">
        <v>1</v>
      </c>
      <c r="L96" s="96">
        <f>'Rate Class Customer Model'!Q21</f>
        <v>8385.8193242137295</v>
      </c>
      <c r="M96" s="48">
        <v>0</v>
      </c>
      <c r="N96" s="48">
        <f t="shared" si="6"/>
        <v>12365534.475439614</v>
      </c>
      <c r="O96" s="32"/>
      <c r="P96"/>
      <c r="Q96"/>
      <c r="R96" s="134"/>
      <c r="S96" s="134"/>
      <c r="T96" s="134"/>
    </row>
    <row r="97" spans="1:20" x14ac:dyDescent="0.2">
      <c r="A97" s="47">
        <v>45260</v>
      </c>
      <c r="B97" s="48"/>
      <c r="C97" s="48"/>
      <c r="D97" s="48"/>
      <c r="E97" s="48"/>
      <c r="F97" s="48"/>
      <c r="G97" s="48"/>
      <c r="H97" s="56">
        <f t="shared" si="8"/>
        <v>448.09999999999997</v>
      </c>
      <c r="I97" s="56">
        <f t="shared" si="8"/>
        <v>0</v>
      </c>
      <c r="J97" s="93">
        <v>30</v>
      </c>
      <c r="K97" s="111">
        <v>0</v>
      </c>
      <c r="L97" s="96">
        <f>'Rate Class Customer Model'!Q22</f>
        <v>8392.9343466816281</v>
      </c>
      <c r="M97" s="48">
        <v>0</v>
      </c>
      <c r="N97" s="48">
        <f t="shared" si="6"/>
        <v>12703126.31050327</v>
      </c>
      <c r="O97" s="32"/>
      <c r="P97"/>
      <c r="Q97"/>
      <c r="R97" s="134"/>
      <c r="S97" s="134"/>
      <c r="T97" s="134"/>
    </row>
    <row r="98" spans="1:20" x14ac:dyDescent="0.2">
      <c r="A98" s="47">
        <v>45291</v>
      </c>
      <c r="B98" s="48"/>
      <c r="C98" s="48"/>
      <c r="D98" s="48"/>
      <c r="E98" s="48"/>
      <c r="F98" s="48"/>
      <c r="G98" s="48"/>
      <c r="H98" s="56">
        <f t="shared" si="8"/>
        <v>462.30000000000007</v>
      </c>
      <c r="I98" s="56">
        <f t="shared" si="8"/>
        <v>0</v>
      </c>
      <c r="J98" s="93">
        <v>31</v>
      </c>
      <c r="K98" s="111">
        <v>0</v>
      </c>
      <c r="L98" s="96">
        <f>'Rate Class Customer Model'!Q23</f>
        <v>8406</v>
      </c>
      <c r="M98" s="48">
        <v>0</v>
      </c>
      <c r="N98" s="48">
        <f t="shared" si="6"/>
        <v>13080262.793481588</v>
      </c>
      <c r="O98" s="32"/>
      <c r="P98"/>
      <c r="Q98"/>
      <c r="R98" s="134"/>
      <c r="S98" s="134"/>
      <c r="T98" s="134"/>
    </row>
    <row r="99" spans="1:20" x14ac:dyDescent="0.2">
      <c r="A99" s="47">
        <v>45322</v>
      </c>
      <c r="B99" s="48"/>
      <c r="C99" s="48"/>
      <c r="D99" s="48"/>
      <c r="E99" s="48"/>
      <c r="F99" s="48"/>
      <c r="G99" s="48"/>
      <c r="H99" s="56">
        <f>H87</f>
        <v>545.69999999999993</v>
      </c>
      <c r="I99" s="56">
        <f>I87</f>
        <v>0</v>
      </c>
      <c r="J99" s="93">
        <v>31</v>
      </c>
      <c r="K99" s="111">
        <v>0</v>
      </c>
      <c r="L99" s="96">
        <f>'Rate Class Customer Model'!R12</f>
        <v>8436</v>
      </c>
      <c r="M99" s="48">
        <v>0</v>
      </c>
      <c r="N99" s="48">
        <f t="shared" si="6"/>
        <v>13287414.989220094</v>
      </c>
      <c r="O99" s="32"/>
      <c r="P99"/>
      <c r="Q99"/>
      <c r="R99" s="134"/>
      <c r="S99" s="134"/>
      <c r="T99" s="134"/>
    </row>
    <row r="100" spans="1:20" x14ac:dyDescent="0.2">
      <c r="A100" s="47">
        <v>45351</v>
      </c>
      <c r="B100" s="48"/>
      <c r="C100" s="48"/>
      <c r="D100" s="48"/>
      <c r="E100" s="48"/>
      <c r="F100" s="48"/>
      <c r="G100" s="48"/>
      <c r="H100" s="56">
        <f t="shared" ref="H100:I110" si="9">H88</f>
        <v>534.49999999999989</v>
      </c>
      <c r="I100" s="56">
        <f t="shared" si="9"/>
        <v>0</v>
      </c>
      <c r="J100" s="93">
        <v>29</v>
      </c>
      <c r="K100" s="111">
        <v>0</v>
      </c>
      <c r="L100" s="96">
        <f>'Rate Class Customer Model'!R13</f>
        <v>8440</v>
      </c>
      <c r="M100" s="48">
        <v>0</v>
      </c>
      <c r="N100" s="48">
        <f t="shared" si="6"/>
        <v>12614149.726594819</v>
      </c>
      <c r="O100" s="32"/>
      <c r="P100"/>
      <c r="Q100"/>
      <c r="R100" s="134"/>
      <c r="S100" s="134"/>
      <c r="T100" s="134"/>
    </row>
    <row r="101" spans="1:20" x14ac:dyDescent="0.2">
      <c r="A101" s="47">
        <v>45382</v>
      </c>
      <c r="B101" s="48"/>
      <c r="C101" s="48"/>
      <c r="D101" s="48"/>
      <c r="E101" s="48"/>
      <c r="F101" s="48"/>
      <c r="G101" s="48"/>
      <c r="H101" s="56">
        <f t="shared" si="9"/>
        <v>556.09999999999991</v>
      </c>
      <c r="I101" s="56">
        <f t="shared" si="9"/>
        <v>0</v>
      </c>
      <c r="J101" s="93">
        <v>31</v>
      </c>
      <c r="K101" s="111">
        <v>1</v>
      </c>
      <c r="L101" s="96">
        <f>'Rate Class Customer Model'!R14</f>
        <v>8442</v>
      </c>
      <c r="M101" s="48">
        <v>0</v>
      </c>
      <c r="N101" s="48">
        <f t="shared" si="6"/>
        <v>12835858.051055675</v>
      </c>
      <c r="O101" s="32"/>
      <c r="P101"/>
      <c r="Q101"/>
      <c r="R101" s="134"/>
      <c r="S101" s="134"/>
      <c r="T101" s="134"/>
    </row>
    <row r="102" spans="1:20" x14ac:dyDescent="0.2">
      <c r="A102" s="47">
        <v>45412</v>
      </c>
      <c r="B102" s="48"/>
      <c r="C102" s="48"/>
      <c r="D102" s="48"/>
      <c r="E102" s="48"/>
      <c r="F102" s="48"/>
      <c r="G102" s="48"/>
      <c r="H102" s="56">
        <f t="shared" si="9"/>
        <v>290.59999999999997</v>
      </c>
      <c r="I102" s="56">
        <f t="shared" si="9"/>
        <v>2.6</v>
      </c>
      <c r="J102" s="93">
        <v>30</v>
      </c>
      <c r="K102" s="111">
        <v>1</v>
      </c>
      <c r="L102" s="96">
        <f>'Rate Class Customer Model'!R15</f>
        <v>8446</v>
      </c>
      <c r="M102" s="48">
        <v>0</v>
      </c>
      <c r="N102" s="48">
        <f t="shared" si="6"/>
        <v>12083462.910130018</v>
      </c>
      <c r="O102" s="32"/>
      <c r="P102"/>
      <c r="Q102"/>
      <c r="R102" s="134"/>
      <c r="S102" s="134"/>
      <c r="T102" s="134"/>
    </row>
    <row r="103" spans="1:20" x14ac:dyDescent="0.2">
      <c r="A103" s="47">
        <v>45443</v>
      </c>
      <c r="B103" s="48"/>
      <c r="C103" s="48"/>
      <c r="D103" s="48"/>
      <c r="E103" s="48"/>
      <c r="F103" s="48"/>
      <c r="G103" s="48"/>
      <c r="H103" s="56">
        <f t="shared" si="9"/>
        <v>153</v>
      </c>
      <c r="I103" s="56">
        <f t="shared" si="9"/>
        <v>8.9</v>
      </c>
      <c r="J103" s="93">
        <v>31</v>
      </c>
      <c r="K103" s="111">
        <v>1</v>
      </c>
      <c r="L103" s="96">
        <f>'Rate Class Customer Model'!R16</f>
        <v>8456</v>
      </c>
      <c r="M103" s="48">
        <v>0</v>
      </c>
      <c r="N103" s="48">
        <f t="shared" si="6"/>
        <v>12352791.321417505</v>
      </c>
      <c r="O103" s="32"/>
      <c r="P103"/>
      <c r="Q103"/>
      <c r="R103" s="134"/>
      <c r="S103" s="134"/>
      <c r="T103" s="134"/>
    </row>
    <row r="104" spans="1:20" x14ac:dyDescent="0.2">
      <c r="A104" s="47">
        <v>45473</v>
      </c>
      <c r="B104" s="48"/>
      <c r="C104" s="48"/>
      <c r="D104" s="48"/>
      <c r="E104" s="48"/>
      <c r="F104" s="48"/>
      <c r="G104" s="48"/>
      <c r="H104" s="56">
        <f t="shared" si="9"/>
        <v>34.9</v>
      </c>
      <c r="I104" s="56">
        <f t="shared" si="9"/>
        <v>31.900000000000002</v>
      </c>
      <c r="J104" s="93">
        <v>30</v>
      </c>
      <c r="K104" s="111">
        <v>0</v>
      </c>
      <c r="L104" s="96">
        <f>'Rate Class Customer Model'!R17</f>
        <v>8480</v>
      </c>
      <c r="M104" s="48">
        <v>0</v>
      </c>
      <c r="N104" s="48">
        <f t="shared" si="6"/>
        <v>12999691.643233426</v>
      </c>
      <c r="O104" s="32"/>
      <c r="P104"/>
      <c r="Q104"/>
      <c r="R104" s="134"/>
      <c r="S104" s="134"/>
      <c r="T104" s="134"/>
    </row>
    <row r="105" spans="1:20" x14ac:dyDescent="0.2">
      <c r="A105" s="47">
        <v>45504</v>
      </c>
      <c r="B105" s="48"/>
      <c r="C105" s="48"/>
      <c r="D105" s="48"/>
      <c r="E105" s="48"/>
      <c r="F105" s="48"/>
      <c r="G105" s="48"/>
      <c r="H105" s="56">
        <f t="shared" si="9"/>
        <v>2.4</v>
      </c>
      <c r="I105" s="56">
        <f t="shared" si="9"/>
        <v>80.3</v>
      </c>
      <c r="J105" s="93">
        <v>31</v>
      </c>
      <c r="K105" s="111">
        <v>0</v>
      </c>
      <c r="L105" s="96">
        <f>'Rate Class Customer Model'!R18</f>
        <v>8492.5406045191612</v>
      </c>
      <c r="M105" s="48">
        <v>0</v>
      </c>
      <c r="N105" s="48">
        <f t="shared" si="6"/>
        <v>14722189.834066968</v>
      </c>
      <c r="O105" s="32"/>
      <c r="P105"/>
      <c r="Q105"/>
      <c r="R105" s="134"/>
      <c r="S105" s="134"/>
      <c r="T105" s="134"/>
    </row>
    <row r="106" spans="1:20" x14ac:dyDescent="0.2">
      <c r="A106" s="47">
        <v>45535</v>
      </c>
      <c r="B106" s="48"/>
      <c r="C106" s="48"/>
      <c r="D106" s="48"/>
      <c r="E106" s="48"/>
      <c r="F106" s="48"/>
      <c r="G106" s="48"/>
      <c r="H106" s="56">
        <f t="shared" si="9"/>
        <v>19.8</v>
      </c>
      <c r="I106" s="56">
        <f t="shared" si="9"/>
        <v>35.300000000000004</v>
      </c>
      <c r="J106" s="93">
        <v>31</v>
      </c>
      <c r="K106" s="111">
        <v>0</v>
      </c>
      <c r="L106" s="96">
        <f>'Rate Class Customer Model'!R19</f>
        <v>8505.0997546470153</v>
      </c>
      <c r="M106" s="48">
        <v>0</v>
      </c>
      <c r="N106" s="48">
        <f t="shared" si="6"/>
        <v>13440975.225192437</v>
      </c>
      <c r="O106" s="32"/>
      <c r="P106"/>
      <c r="Q106"/>
      <c r="R106" s="134"/>
      <c r="S106" s="134"/>
      <c r="T106" s="134"/>
    </row>
    <row r="107" spans="1:20" x14ac:dyDescent="0.2">
      <c r="A107" s="47">
        <v>45565</v>
      </c>
      <c r="B107" s="48"/>
      <c r="C107" s="48"/>
      <c r="D107" s="48"/>
      <c r="E107" s="48"/>
      <c r="F107" s="48"/>
      <c r="G107" s="48"/>
      <c r="H107" s="56">
        <f t="shared" si="9"/>
        <v>52.500000000000007</v>
      </c>
      <c r="I107" s="56">
        <f t="shared" si="9"/>
        <v>29.199999999999996</v>
      </c>
      <c r="J107" s="93">
        <v>30</v>
      </c>
      <c r="K107" s="111">
        <v>1</v>
      </c>
      <c r="L107" s="96">
        <f>'Rate Class Customer Model'!R20</f>
        <v>8517.6774778096387</v>
      </c>
      <c r="M107" s="48">
        <v>0</v>
      </c>
      <c r="N107" s="48">
        <f t="shared" si="6"/>
        <v>12532457.461634619</v>
      </c>
      <c r="O107" s="32"/>
      <c r="P107"/>
      <c r="Q107"/>
      <c r="R107" s="134"/>
      <c r="S107" s="134"/>
      <c r="T107" s="134"/>
    </row>
    <row r="108" spans="1:20" x14ac:dyDescent="0.2">
      <c r="A108" s="47">
        <v>45596</v>
      </c>
      <c r="B108" s="48"/>
      <c r="C108" s="48"/>
      <c r="D108" s="48"/>
      <c r="E108" s="48"/>
      <c r="F108" s="48"/>
      <c r="G108" s="48"/>
      <c r="H108" s="56">
        <f t="shared" si="9"/>
        <v>210.7</v>
      </c>
      <c r="I108" s="56">
        <f t="shared" si="9"/>
        <v>9.4</v>
      </c>
      <c r="J108" s="93">
        <v>31</v>
      </c>
      <c r="K108" s="111">
        <v>1</v>
      </c>
      <c r="L108" s="96">
        <f>'Rate Class Customer Model'!R21</f>
        <v>8530.2738014736697</v>
      </c>
      <c r="M108" s="48">
        <v>0</v>
      </c>
      <c r="N108" s="48">
        <f t="shared" si="6"/>
        <v>12596509.956938924</v>
      </c>
      <c r="O108" s="32"/>
      <c r="P108"/>
      <c r="Q108"/>
      <c r="R108" s="134"/>
      <c r="S108" s="134"/>
      <c r="T108" s="134"/>
    </row>
    <row r="109" spans="1:20" x14ac:dyDescent="0.2">
      <c r="A109" s="47">
        <v>45626</v>
      </c>
      <c r="B109" s="48"/>
      <c r="C109" s="48"/>
      <c r="D109" s="48"/>
      <c r="E109" s="48"/>
      <c r="F109" s="48"/>
      <c r="G109" s="48"/>
      <c r="H109" s="56">
        <f t="shared" si="9"/>
        <v>448.09999999999997</v>
      </c>
      <c r="I109" s="56">
        <f t="shared" si="9"/>
        <v>0</v>
      </c>
      <c r="J109" s="93">
        <v>30</v>
      </c>
      <c r="K109" s="111">
        <v>0</v>
      </c>
      <c r="L109" s="96">
        <f>'Rate Class Customer Model'!R22</f>
        <v>8542.8887531463643</v>
      </c>
      <c r="M109" s="48">
        <v>0</v>
      </c>
      <c r="N109" s="48">
        <f t="shared" si="6"/>
        <v>12942895.903617438</v>
      </c>
      <c r="O109" s="32"/>
      <c r="R109" s="134"/>
      <c r="S109" s="134"/>
      <c r="T109" s="134"/>
    </row>
    <row r="110" spans="1:20" x14ac:dyDescent="0.2">
      <c r="A110" s="47">
        <v>45657</v>
      </c>
      <c r="B110" s="48"/>
      <c r="C110" s="48"/>
      <c r="D110" s="48"/>
      <c r="E110" s="48"/>
      <c r="F110" s="48"/>
      <c r="G110" s="48"/>
      <c r="H110" s="56">
        <f t="shared" si="9"/>
        <v>462.30000000000007</v>
      </c>
      <c r="I110" s="56">
        <f t="shared" si="9"/>
        <v>0</v>
      </c>
      <c r="J110" s="93">
        <v>31</v>
      </c>
      <c r="K110" s="111">
        <v>0</v>
      </c>
      <c r="L110" s="96">
        <f>'Rate Class Customer Model'!R23</f>
        <v>8555.5223603756567</v>
      </c>
      <c r="M110" s="48">
        <v>0</v>
      </c>
      <c r="N110" s="48">
        <f t="shared" si="6"/>
        <v>13319341.566516325</v>
      </c>
      <c r="O110" s="32"/>
      <c r="R110" s="134"/>
      <c r="S110" s="134"/>
      <c r="T110" s="134"/>
    </row>
    <row r="111" spans="1:20" x14ac:dyDescent="0.2">
      <c r="A111" s="33"/>
      <c r="J111" s="10"/>
      <c r="K111" s="58"/>
    </row>
    <row r="112" spans="1:20" x14ac:dyDescent="0.2">
      <c r="A112" s="33"/>
      <c r="J112" s="10"/>
      <c r="K112" s="58"/>
      <c r="S112" s="172"/>
    </row>
    <row r="113" spans="1:20" ht="12.6" customHeight="1" x14ac:dyDescent="0.2">
      <c r="A113" s="33"/>
      <c r="H113" s="98" t="s">
        <v>124</v>
      </c>
      <c r="I113" s="95"/>
      <c r="J113" s="10"/>
      <c r="K113" s="58"/>
      <c r="S113" s="172"/>
    </row>
    <row r="114" spans="1:20" x14ac:dyDescent="0.2">
      <c r="A114" s="33"/>
      <c r="H114" s="99" t="s">
        <v>89</v>
      </c>
      <c r="I114" s="97"/>
      <c r="J114" s="10"/>
      <c r="K114" s="58"/>
      <c r="N114" s="32">
        <f>SUM(N2:N110)</f>
        <v>1260555609.5472507</v>
      </c>
      <c r="S114" s="172"/>
    </row>
    <row r="115" spans="1:20" x14ac:dyDescent="0.2">
      <c r="A115" s="33"/>
      <c r="J115" s="10"/>
      <c r="K115" s="58"/>
      <c r="O115" s="52" t="s">
        <v>133</v>
      </c>
      <c r="P115" s="52" t="s">
        <v>134</v>
      </c>
      <c r="Q115" s="52" t="s">
        <v>106</v>
      </c>
      <c r="S115" s="172"/>
    </row>
    <row r="116" spans="1:20" x14ac:dyDescent="0.2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15515215.030000001</v>
      </c>
      <c r="F116" s="6">
        <f>SUM(F3:F14)</f>
        <v>51080246.740000002</v>
      </c>
      <c r="G116" s="6">
        <f>SUM(G3:G14)</f>
        <v>135175786.38</v>
      </c>
      <c r="N116" s="6">
        <f>SUM(N3:N14)</f>
        <v>127658167.53671184</v>
      </c>
      <c r="O116" s="6">
        <f>E116</f>
        <v>15515215.030000001</v>
      </c>
      <c r="P116" s="6">
        <f>F116</f>
        <v>51080246.740000002</v>
      </c>
      <c r="Q116" s="6">
        <f>N116+O116+P116</f>
        <v>194253629.30671185</v>
      </c>
      <c r="R116" s="5"/>
      <c r="S116" s="5"/>
      <c r="T116" s="6"/>
    </row>
    <row r="117" spans="1:20" x14ac:dyDescent="0.2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13850995.209999999</v>
      </c>
      <c r="F117" s="6">
        <f>SUM(F15:F26)</f>
        <v>45192560.409999996</v>
      </c>
      <c r="G117" s="6">
        <f>SUM(G15:G26)</f>
        <v>130593904.94999999</v>
      </c>
      <c r="N117" s="6">
        <f>SUM(N15:N26)</f>
        <v>129633112.49998057</v>
      </c>
      <c r="O117" s="6">
        <f t="shared" ref="O117:P122" si="10">E117</f>
        <v>13850995.209999999</v>
      </c>
      <c r="P117" s="6">
        <f>F117</f>
        <v>45192560.409999996</v>
      </c>
      <c r="Q117" s="6">
        <f t="shared" ref="Q117:Q124" si="11">N117+O117+P117</f>
        <v>188676668.11998057</v>
      </c>
      <c r="R117" s="5"/>
      <c r="S117" s="5"/>
      <c r="T117" s="6"/>
    </row>
    <row r="118" spans="1:20" x14ac:dyDescent="0.2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9550436.8200000022</v>
      </c>
      <c r="F118" s="6">
        <f>SUM(F27:F38)</f>
        <v>42661402.460000001</v>
      </c>
      <c r="G118" s="6">
        <f>SUM(G27:G38)</f>
        <v>137782115.54000002</v>
      </c>
      <c r="N118" s="6">
        <f>SUM(N27:N38)</f>
        <v>131844460.30292009</v>
      </c>
      <c r="O118" s="6">
        <f t="shared" si="10"/>
        <v>9550436.8200000022</v>
      </c>
      <c r="P118" s="6">
        <f>F118</f>
        <v>42661402.460000001</v>
      </c>
      <c r="Q118" s="6">
        <f t="shared" si="11"/>
        <v>184056299.5829201</v>
      </c>
      <c r="R118" s="5"/>
      <c r="S118" s="5"/>
      <c r="T118" s="6"/>
    </row>
    <row r="119" spans="1:20" x14ac:dyDescent="0.2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2612047.5700000003</v>
      </c>
      <c r="F119" s="6">
        <f>SUM(F39:F50)</f>
        <v>39613794.999999993</v>
      </c>
      <c r="G119" s="6">
        <f>SUM(G39:G50)</f>
        <v>135056311.13</v>
      </c>
      <c r="N119" s="6">
        <f>SUM(N39:N50)</f>
        <v>134532295.19571933</v>
      </c>
      <c r="O119" s="6">
        <f t="shared" si="10"/>
        <v>2612047.5700000003</v>
      </c>
      <c r="P119" s="6">
        <f>F119</f>
        <v>39613794.999999993</v>
      </c>
      <c r="Q119" s="6">
        <f t="shared" si="11"/>
        <v>176758137.76571932</v>
      </c>
      <c r="R119" s="5"/>
      <c r="S119" s="5"/>
      <c r="T119" s="6"/>
    </row>
    <row r="120" spans="1:20" x14ac:dyDescent="0.2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1868303.8099999998</v>
      </c>
      <c r="F120" s="6">
        <f>SUM(F51:F62)</f>
        <v>31465784.07</v>
      </c>
      <c r="G120" s="6">
        <f>SUM(G51:G62)</f>
        <v>140046370.87</v>
      </c>
      <c r="N120" s="6">
        <f>SUM(N51:N62)</f>
        <v>135075739.08879521</v>
      </c>
      <c r="O120" s="6">
        <f t="shared" si="10"/>
        <v>1868303.8099999998</v>
      </c>
      <c r="P120" s="6">
        <f>F120</f>
        <v>31465784.07</v>
      </c>
      <c r="Q120" s="6">
        <f t="shared" si="11"/>
        <v>168409826.96879521</v>
      </c>
      <c r="R120" s="5"/>
      <c r="S120" s="5"/>
      <c r="T120" s="6"/>
    </row>
    <row r="121" spans="1:20" x14ac:dyDescent="0.2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3109565.6599999992</v>
      </c>
      <c r="F121" s="6">
        <f>SUM(F63:F74)</f>
        <v>29610899.920000002</v>
      </c>
      <c r="G121" s="6">
        <f>SUM(G63:G74)</f>
        <v>145343403.19000003</v>
      </c>
      <c r="N121" s="6">
        <f>SUM(N63:N74)</f>
        <v>143532784.55417672</v>
      </c>
      <c r="O121" s="6">
        <f t="shared" si="10"/>
        <v>3109565.6599999992</v>
      </c>
      <c r="P121" s="6">
        <f t="shared" si="10"/>
        <v>29610899.920000002</v>
      </c>
      <c r="Q121" s="6">
        <f t="shared" si="11"/>
        <v>176253250.13417673</v>
      </c>
      <c r="R121" s="5"/>
      <c r="S121" s="5"/>
      <c r="T121" s="6"/>
    </row>
    <row r="122" spans="1:20" x14ac:dyDescent="0.2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2522033.3000000007</v>
      </c>
      <c r="F122" s="6">
        <f>SUM(F75:F86)</f>
        <v>28395278.939999998</v>
      </c>
      <c r="G122" s="6">
        <f>SUM(G75:G86)</f>
        <v>154227443.32000002</v>
      </c>
      <c r="N122" s="6">
        <f>SUM(N75:N86)</f>
        <v>149560825.92589188</v>
      </c>
      <c r="O122" s="6">
        <f t="shared" si="10"/>
        <v>2522033.3000000007</v>
      </c>
      <c r="P122" s="6">
        <f>F122</f>
        <v>28395278.939999998</v>
      </c>
      <c r="Q122" s="6">
        <f t="shared" si="11"/>
        <v>180478138.16589189</v>
      </c>
      <c r="R122" s="5"/>
      <c r="S122" s="5"/>
      <c r="T122" s="6"/>
    </row>
    <row r="123" spans="1:20" x14ac:dyDescent="0.2">
      <c r="A123" s="27">
        <v>2023</v>
      </c>
      <c r="N123" s="15">
        <f>SUM(N87:N98)</f>
        <v>152990485.85343662</v>
      </c>
      <c r="O123" s="6">
        <v>0</v>
      </c>
      <c r="P123" s="6">
        <f>TREND(P116:P122,$A$116:$A$122,2023)</f>
        <v>22515160.681428909</v>
      </c>
      <c r="Q123" s="6">
        <f t="shared" si="11"/>
        <v>175505646.53486553</v>
      </c>
      <c r="R123" s="5"/>
      <c r="S123" s="5"/>
      <c r="T123" s="6"/>
    </row>
    <row r="124" spans="1:20" x14ac:dyDescent="0.2">
      <c r="A124" s="27">
        <v>2024</v>
      </c>
      <c r="N124" s="15">
        <f>SUM(N99:N110)</f>
        <v>155727738.58961827</v>
      </c>
      <c r="O124" s="6">
        <v>0</v>
      </c>
      <c r="P124" s="6">
        <f>TREND(P116:P123,$A$116:$A$123,2024)</f>
        <v>18571809.153927803</v>
      </c>
      <c r="Q124" s="6">
        <f t="shared" si="11"/>
        <v>174299547.74354607</v>
      </c>
      <c r="R124" s="5"/>
      <c r="S124" s="5"/>
      <c r="T124" s="5"/>
    </row>
    <row r="125" spans="1:20" x14ac:dyDescent="0.2">
      <c r="N125" s="6"/>
    </row>
    <row r="126" spans="1:20" x14ac:dyDescent="0.2">
      <c r="A126" s="42" t="s">
        <v>7</v>
      </c>
      <c r="B126" s="6">
        <f>SUM(B116:B122)</f>
        <v>1282930063.3699999</v>
      </c>
      <c r="D126" s="6">
        <f>SUM(D116:D122)</f>
        <v>1295273900.3199999</v>
      </c>
      <c r="E126" s="6">
        <f>SUM(E116:E122)</f>
        <v>49028597.400000006</v>
      </c>
      <c r="F126" s="6">
        <f>SUM(F116:F122)</f>
        <v>268019967.54000002</v>
      </c>
      <c r="G126" s="6">
        <f>SUM(G116:G122)</f>
        <v>978225335.38000011</v>
      </c>
      <c r="L126" s="1" t="s">
        <v>126</v>
      </c>
      <c r="N126" s="6">
        <f>SUM(N116:N122)</f>
        <v>951837385.10419559</v>
      </c>
      <c r="Q126" s="6">
        <f>SUM(Q116:Q122)</f>
        <v>1268885950.0441957</v>
      </c>
    </row>
    <row r="127" spans="1:20" x14ac:dyDescent="0.2">
      <c r="N127" s="32">
        <f>N126-G126</f>
        <v>-26387950.27580452</v>
      </c>
      <c r="Q127" s="6">
        <f>Q126-D126</f>
        <v>-26387950.275804281</v>
      </c>
    </row>
    <row r="129" spans="1:20" x14ac:dyDescent="0.2">
      <c r="O129"/>
      <c r="P129"/>
      <c r="Q129"/>
      <c r="R129"/>
      <c r="S129"/>
      <c r="T129"/>
    </row>
    <row r="130" spans="1:20" x14ac:dyDescent="0.2">
      <c r="N130" s="6">
        <f>SUM(N116:N124)</f>
        <v>1260555609.5472505</v>
      </c>
    </row>
    <row r="131" spans="1:20" x14ac:dyDescent="0.2">
      <c r="N131" s="32">
        <f>N114-N130</f>
        <v>0</v>
      </c>
    </row>
    <row r="132" spans="1:20" x14ac:dyDescent="0.2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</row>
    <row r="133" spans="1:20" x14ac:dyDescent="0.2">
      <c r="A133"/>
      <c r="B133"/>
      <c r="C133"/>
      <c r="D133"/>
      <c r="E133"/>
      <c r="F133"/>
      <c r="G133"/>
      <c r="H133"/>
      <c r="I133"/>
      <c r="J133"/>
      <c r="L133"/>
      <c r="M133"/>
      <c r="N133"/>
      <c r="O133"/>
    </row>
    <row r="134" spans="1:20" x14ac:dyDescent="0.2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</row>
    <row r="135" spans="1:20" x14ac:dyDescent="0.2">
      <c r="A135"/>
      <c r="B135"/>
      <c r="C135"/>
      <c r="D135"/>
      <c r="E135"/>
      <c r="F135"/>
      <c r="G135"/>
      <c r="H135"/>
      <c r="I135"/>
      <c r="J135"/>
      <c r="L135"/>
      <c r="M135"/>
      <c r="N135"/>
      <c r="O135"/>
    </row>
    <row r="136" spans="1:20" x14ac:dyDescent="0.2">
      <c r="A136"/>
      <c r="B136"/>
      <c r="C136"/>
      <c r="H136" s="6"/>
      <c r="I136" s="6"/>
      <c r="J136" s="6"/>
      <c r="L136"/>
      <c r="M136"/>
      <c r="N136"/>
      <c r="O136"/>
    </row>
    <row r="137" spans="1:20" x14ac:dyDescent="0.2">
      <c r="A137"/>
      <c r="B137"/>
      <c r="C137"/>
      <c r="H137" s="6"/>
      <c r="I137" s="6"/>
      <c r="J137" s="6"/>
      <c r="L137"/>
      <c r="M137"/>
      <c r="N137"/>
      <c r="O137"/>
    </row>
    <row r="138" spans="1:20" x14ac:dyDescent="0.2">
      <c r="A138"/>
      <c r="B138"/>
      <c r="C138"/>
      <c r="H138" s="6"/>
      <c r="I138" s="6"/>
      <c r="J138" s="6"/>
      <c r="L138"/>
      <c r="M138"/>
      <c r="N138"/>
      <c r="O138"/>
    </row>
    <row r="139" spans="1:20" x14ac:dyDescent="0.2">
      <c r="A139"/>
      <c r="B139"/>
      <c r="C139"/>
      <c r="H139" s="6"/>
      <c r="I139" s="6"/>
      <c r="J139" s="6"/>
      <c r="L139"/>
      <c r="M139"/>
      <c r="N139"/>
      <c r="O139"/>
    </row>
    <row r="140" spans="1:20" x14ac:dyDescent="0.2">
      <c r="A140"/>
      <c r="B140"/>
      <c r="C14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 x14ac:dyDescent="0.2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 x14ac:dyDescent="0.2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 x14ac:dyDescent="0.2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 x14ac:dyDescent="0.2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 x14ac:dyDescent="0.2">
      <c r="A145"/>
      <c r="H145" s="6"/>
      <c r="I145" s="6"/>
      <c r="J145" s="6"/>
      <c r="P145"/>
      <c r="Q145"/>
      <c r="R145"/>
      <c r="S145"/>
      <c r="T145"/>
    </row>
    <row r="146" spans="1:20" x14ac:dyDescent="0.2">
      <c r="A146"/>
      <c r="H146" s="6"/>
      <c r="I146" s="6"/>
      <c r="J146" s="6"/>
      <c r="P146"/>
      <c r="Q146"/>
      <c r="R146"/>
      <c r="S146"/>
      <c r="T146"/>
    </row>
    <row r="147" spans="1:20" x14ac:dyDescent="0.2">
      <c r="A147"/>
      <c r="H147" s="6"/>
      <c r="I147" s="6"/>
      <c r="J147" s="6"/>
      <c r="P147"/>
      <c r="Q147"/>
      <c r="R147"/>
      <c r="S147"/>
      <c r="T147"/>
    </row>
    <row r="148" spans="1:20" x14ac:dyDescent="0.2">
      <c r="A148"/>
      <c r="H148" s="6"/>
      <c r="I148" s="6"/>
      <c r="J148" s="6"/>
      <c r="K148" s="6"/>
      <c r="P148"/>
      <c r="Q148"/>
      <c r="R148"/>
      <c r="S148"/>
      <c r="T148"/>
    </row>
    <row r="149" spans="1:20" x14ac:dyDescent="0.2">
      <c r="A149"/>
      <c r="P149"/>
      <c r="Q149"/>
      <c r="R149"/>
      <c r="S149"/>
      <c r="T149"/>
    </row>
    <row r="150" spans="1:20" x14ac:dyDescent="0.2">
      <c r="A150"/>
      <c r="P150"/>
      <c r="Q150"/>
      <c r="R150"/>
      <c r="S150"/>
      <c r="T150"/>
    </row>
    <row r="151" spans="1:20" x14ac:dyDescent="0.2">
      <c r="A151"/>
      <c r="P151"/>
      <c r="Q151"/>
      <c r="R151"/>
      <c r="S151"/>
      <c r="T151"/>
    </row>
    <row r="152" spans="1:20" x14ac:dyDescent="0.2">
      <c r="A152"/>
      <c r="P152"/>
      <c r="Q152"/>
      <c r="R152"/>
      <c r="S152"/>
      <c r="T152"/>
    </row>
    <row r="153" spans="1:20" x14ac:dyDescent="0.2">
      <c r="A153"/>
      <c r="P153"/>
      <c r="Q153"/>
      <c r="R153"/>
      <c r="S153"/>
      <c r="T153"/>
    </row>
    <row r="154" spans="1:20" x14ac:dyDescent="0.2">
      <c r="A154"/>
      <c r="P154"/>
      <c r="Q154"/>
      <c r="R154"/>
      <c r="S154"/>
      <c r="T154"/>
    </row>
    <row r="155" spans="1:20" x14ac:dyDescent="0.2">
      <c r="A155"/>
      <c r="P155"/>
      <c r="Q155"/>
      <c r="R155"/>
      <c r="S155"/>
      <c r="T155"/>
    </row>
    <row r="156" spans="1:20" customFormat="1" x14ac:dyDescent="0.2">
      <c r="K156" s="57"/>
    </row>
    <row r="157" spans="1:20" customFormat="1" x14ac:dyDescent="0.2">
      <c r="K157" s="57"/>
    </row>
  </sheetData>
  <mergeCells count="1">
    <mergeCell ref="S112:S115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7609-B021-4D79-9C3E-F4D6DF8B4462}">
  <sheetPr>
    <tabColor rgb="FF00B0F0"/>
    <pageSetUpPr fitToPage="1"/>
  </sheetPr>
  <dimension ref="A1:AI157"/>
  <sheetViews>
    <sheetView zoomScale="78" zoomScaleNormal="78" workbookViewId="0">
      <pane xSplit="1" ySplit="2" topLeftCell="T104" activePane="bottomRight" state="frozen"/>
      <selection pane="topRight" activeCell="C1" sqref="C1"/>
      <selection pane="bottomLeft" activeCell="A3" sqref="A3"/>
      <selection pane="bottomRight" activeCell="AE115" sqref="AE115"/>
    </sheetView>
  </sheetViews>
  <sheetFormatPr defaultRowHeight="12.75" x14ac:dyDescent="0.2"/>
  <cols>
    <col min="1" max="1" width="11.85546875" style="27" customWidth="1"/>
    <col min="2" max="7" width="16.85546875" style="6" customWidth="1"/>
    <col min="8" max="8" width="11.5703125" style="1" customWidth="1"/>
    <col min="9" max="9" width="13.42578125" style="1" customWidth="1"/>
    <col min="10" max="10" width="10.140625" style="1" customWidth="1"/>
    <col min="11" max="11" width="10.28515625" style="57" customWidth="1"/>
    <col min="12" max="13" width="13" style="1" customWidth="1"/>
    <col min="14" max="14" width="15.5703125" style="1" bestFit="1" customWidth="1"/>
    <col min="15" max="15" width="16" style="1" customWidth="1"/>
    <col min="16" max="16" width="18.28515625" style="1" bestFit="1" customWidth="1"/>
    <col min="17" max="17" width="15" style="1" bestFit="1" customWidth="1"/>
    <col min="18" max="18" width="17.85546875" style="1" bestFit="1" customWidth="1"/>
    <col min="19" max="19" width="11.42578125" style="1" customWidth="1"/>
    <col min="20" max="20" width="17.85546875" style="1" bestFit="1" customWidth="1"/>
    <col min="21" max="21" width="4.85546875" customWidth="1"/>
    <col min="22" max="22" width="44.42578125" customWidth="1"/>
    <col min="23" max="23" width="22.28515625" customWidth="1"/>
    <col min="24" max="28" width="12.5703125" customWidth="1"/>
    <col min="29" max="29" width="21.85546875" customWidth="1"/>
    <col min="30" max="30" width="12.5703125" customWidth="1"/>
    <col min="31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5703125" bestFit="1" customWidth="1"/>
    <col min="38" max="38" width="42.85546875" bestFit="1" customWidth="1"/>
  </cols>
  <sheetData>
    <row r="1" spans="1:35" x14ac:dyDescent="0.2">
      <c r="AF1" s="105"/>
      <c r="AG1" s="105"/>
      <c r="AH1" s="105"/>
      <c r="AI1" s="105"/>
    </row>
    <row r="2" spans="1:35" ht="38.25" x14ac:dyDescent="0.2">
      <c r="A2" s="100"/>
      <c r="B2" s="101" t="s">
        <v>75</v>
      </c>
      <c r="C2" s="101" t="s">
        <v>107</v>
      </c>
      <c r="D2" s="101" t="s">
        <v>113</v>
      </c>
      <c r="E2" s="101" t="s">
        <v>115</v>
      </c>
      <c r="F2" s="101" t="s">
        <v>116</v>
      </c>
      <c r="G2" s="101" t="s">
        <v>117</v>
      </c>
      <c r="H2" s="102" t="s">
        <v>2</v>
      </c>
      <c r="I2" s="102" t="s">
        <v>3</v>
      </c>
      <c r="J2" s="102" t="s">
        <v>90</v>
      </c>
      <c r="K2" s="103" t="s">
        <v>13</v>
      </c>
      <c r="L2" s="102" t="s">
        <v>104</v>
      </c>
      <c r="M2" s="102" t="s">
        <v>114</v>
      </c>
      <c r="N2" s="102" t="s">
        <v>8</v>
      </c>
      <c r="O2" s="104" t="s">
        <v>118</v>
      </c>
      <c r="P2" s="102" t="s">
        <v>119</v>
      </c>
      <c r="Q2" s="131" t="s">
        <v>120</v>
      </c>
      <c r="R2" s="132" t="s">
        <v>121</v>
      </c>
      <c r="S2" s="132" t="s">
        <v>122</v>
      </c>
      <c r="T2" s="132" t="s">
        <v>123</v>
      </c>
      <c r="V2" t="s">
        <v>14</v>
      </c>
      <c r="AF2" s="105"/>
      <c r="AG2" s="105"/>
      <c r="AH2" s="105"/>
      <c r="AI2" s="105"/>
    </row>
    <row r="3" spans="1:35" ht="13.5" thickBot="1" x14ac:dyDescent="0.25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66" si="0">B3+C3</f>
        <v>17276658.48</v>
      </c>
      <c r="E3" s="48">
        <v>0</v>
      </c>
      <c r="F3" s="48">
        <f>Inputs!AI60</f>
        <v>5558872.7999999998</v>
      </c>
      <c r="G3" s="48">
        <f>D3-E3-F3</f>
        <v>11717785.68</v>
      </c>
      <c r="H3" s="162">
        <v>679.58749999999998</v>
      </c>
      <c r="I3" s="162">
        <v>0</v>
      </c>
      <c r="J3" s="48">
        <v>31</v>
      </c>
      <c r="K3" s="110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11180414.744436832</v>
      </c>
      <c r="O3" s="32">
        <f>N3-G3</f>
        <v>-537370.93556316756</v>
      </c>
      <c r="P3" s="41">
        <f>O3/G3</f>
        <v>-4.5859426877925928E-2</v>
      </c>
      <c r="Q3" s="133">
        <f t="shared" ref="Q3:Q66" si="1">ABS(P3)</f>
        <v>4.5859426877925928E-2</v>
      </c>
      <c r="R3" s="134">
        <f t="shared" ref="R3:R66" si="2">O3*O3</f>
        <v>288767522388.034</v>
      </c>
      <c r="S3" s="134"/>
      <c r="T3" s="134"/>
      <c r="AF3" s="105"/>
      <c r="AG3" s="105"/>
      <c r="AH3" s="105"/>
      <c r="AI3" s="105"/>
    </row>
    <row r="4" spans="1:35" x14ac:dyDescent="0.2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v>0</v>
      </c>
      <c r="F4" s="48">
        <f>Inputs!AI61</f>
        <v>5518422.3099999996</v>
      </c>
      <c r="G4" s="48">
        <f t="shared" ref="G4:G67" si="3">D4-E4-F4</f>
        <v>10880832.73</v>
      </c>
      <c r="H4" s="162">
        <v>599.76249999999993</v>
      </c>
      <c r="I4" s="162">
        <v>0</v>
      </c>
      <c r="J4" s="48">
        <v>29</v>
      </c>
      <c r="K4" s="110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4">$W$18+$W$19*H4+$W$20*I4+$W$21*J4+$W$22*K4+$W$23*L4+M4*$W$24</f>
        <v>10317114.072311809</v>
      </c>
      <c r="O4" s="32">
        <f t="shared" ref="O4:O67" si="5">N4-G4</f>
        <v>-563718.65768819116</v>
      </c>
      <c r="P4" s="41">
        <f t="shared" ref="P4:P67" si="6">O4/G4</f>
        <v>-5.1808411329947089E-2</v>
      </c>
      <c r="Q4" s="133">
        <f t="shared" si="1"/>
        <v>5.1808411329947089E-2</v>
      </c>
      <c r="R4" s="134">
        <f t="shared" si="2"/>
        <v>317778725025.77606</v>
      </c>
      <c r="S4" s="134">
        <f t="shared" ref="S4:S67" si="7">O4-O3</f>
        <v>-26347.722125023603</v>
      </c>
      <c r="T4" s="134">
        <f t="shared" ref="T4:T67" si="8">S4*S4</f>
        <v>694202461.17745829</v>
      </c>
      <c r="V4" s="114" t="s">
        <v>15</v>
      </c>
      <c r="W4" s="114"/>
      <c r="AF4" s="105"/>
      <c r="AG4" s="105"/>
      <c r="AH4" s="105"/>
      <c r="AI4" s="105"/>
    </row>
    <row r="5" spans="1:35" x14ac:dyDescent="0.2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v>0</v>
      </c>
      <c r="F5" s="48">
        <f>Inputs!AI62</f>
        <v>5708327.3499999996</v>
      </c>
      <c r="G5" s="48">
        <f t="shared" si="3"/>
        <v>10807575.790000001</v>
      </c>
      <c r="H5" s="162">
        <v>527.26250000000005</v>
      </c>
      <c r="I5" s="162">
        <v>0</v>
      </c>
      <c r="J5" s="48">
        <v>31</v>
      </c>
      <c r="K5" s="110">
        <v>1</v>
      </c>
      <c r="L5" s="48">
        <f>Inputs!G62+Inputs!I62+Inputs!L62+Inputs!O62+Inputs!R62+Inputs!AA62</f>
        <v>6984</v>
      </c>
      <c r="M5" s="48">
        <v>0</v>
      </c>
      <c r="N5" s="48">
        <f t="shared" si="4"/>
        <v>10397209.757422572</v>
      </c>
      <c r="O5" s="32">
        <f t="shared" si="5"/>
        <v>-410366.03257742897</v>
      </c>
      <c r="P5" s="41">
        <f t="shared" si="6"/>
        <v>-3.7970220200272027E-2</v>
      </c>
      <c r="Q5" s="12">
        <f t="shared" si="1"/>
        <v>3.7970220200272027E-2</v>
      </c>
      <c r="R5" s="134">
        <f t="shared" si="2"/>
        <v>168400280693.33948</v>
      </c>
      <c r="S5" s="134">
        <f t="shared" si="7"/>
        <v>153352.62511076219</v>
      </c>
      <c r="T5" s="134">
        <f t="shared" si="8"/>
        <v>23517027628.361973</v>
      </c>
      <c r="V5" t="s">
        <v>16</v>
      </c>
      <c r="W5">
        <v>0.95760898827087404</v>
      </c>
      <c r="AF5" s="105"/>
      <c r="AG5" s="105"/>
      <c r="AH5" s="105"/>
      <c r="AI5" s="105"/>
    </row>
    <row r="6" spans="1:35" x14ac:dyDescent="0.2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v>0</v>
      </c>
      <c r="F6" s="48">
        <f>Inputs!AI63</f>
        <v>5379793.3399999999</v>
      </c>
      <c r="G6" s="48">
        <f t="shared" si="3"/>
        <v>10104563.939999999</v>
      </c>
      <c r="H6" s="162">
        <v>349.3125</v>
      </c>
      <c r="I6" s="162">
        <v>0.32500000000000001</v>
      </c>
      <c r="J6" s="48">
        <v>30</v>
      </c>
      <c r="K6" s="110">
        <v>1</v>
      </c>
      <c r="L6" s="48">
        <f>Inputs!G63+Inputs!I63+Inputs!L63+Inputs!O63+Inputs!R63+Inputs!AA63</f>
        <v>6995</v>
      </c>
      <c r="M6" s="48">
        <v>0</v>
      </c>
      <c r="N6" s="48">
        <f t="shared" si="4"/>
        <v>9760431.2705914788</v>
      </c>
      <c r="O6" s="32">
        <f t="shared" si="5"/>
        <v>-344132.66940852068</v>
      </c>
      <c r="P6" s="41">
        <f t="shared" si="6"/>
        <v>-3.4057151941632495E-2</v>
      </c>
      <c r="Q6" s="12">
        <f t="shared" si="1"/>
        <v>3.4057151941632495E-2</v>
      </c>
      <c r="R6" s="134">
        <f t="shared" si="2"/>
        <v>118427294154.23419</v>
      </c>
      <c r="S6" s="134">
        <f t="shared" si="7"/>
        <v>66233.363168908283</v>
      </c>
      <c r="T6" s="134">
        <f t="shared" si="8"/>
        <v>4386858396.6644964</v>
      </c>
      <c r="V6" t="s">
        <v>17</v>
      </c>
      <c r="W6">
        <v>0.91701497441716695</v>
      </c>
      <c r="AF6" s="105"/>
      <c r="AG6" s="105"/>
      <c r="AH6" s="105"/>
      <c r="AI6" s="105"/>
    </row>
    <row r="7" spans="1:35" x14ac:dyDescent="0.2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v>0</v>
      </c>
      <c r="F7" s="48">
        <f>Inputs!AI64</f>
        <v>5354794.75</v>
      </c>
      <c r="G7" s="48">
        <f t="shared" si="3"/>
        <v>10234090.780000001</v>
      </c>
      <c r="H7" s="162">
        <v>159.125</v>
      </c>
      <c r="I7" s="162">
        <v>18.412500000000001</v>
      </c>
      <c r="J7" s="48">
        <v>31</v>
      </c>
      <c r="K7" s="110">
        <v>1</v>
      </c>
      <c r="L7" s="48">
        <f>Inputs!G64+Inputs!I64+Inputs!L64+Inputs!O64+Inputs!R64+Inputs!AA64</f>
        <v>7003</v>
      </c>
      <c r="M7" s="48">
        <v>0</v>
      </c>
      <c r="N7" s="48">
        <f t="shared" si="4"/>
        <v>10338270.462538406</v>
      </c>
      <c r="O7" s="32">
        <f t="shared" si="5"/>
        <v>104179.68253840506</v>
      </c>
      <c r="P7" s="41">
        <f t="shared" si="6"/>
        <v>1.0179671529003679E-2</v>
      </c>
      <c r="Q7" s="12">
        <f t="shared" si="1"/>
        <v>1.0179671529003679E-2</v>
      </c>
      <c r="R7" s="134">
        <f t="shared" si="2"/>
        <v>10853406253.80286</v>
      </c>
      <c r="S7" s="134">
        <f t="shared" si="7"/>
        <v>448312.35194692574</v>
      </c>
      <c r="T7" s="134">
        <f t="shared" si="8"/>
        <v>200983964908.1842</v>
      </c>
      <c r="V7" t="s">
        <v>18</v>
      </c>
      <c r="W7">
        <v>0.91177381490667231</v>
      </c>
      <c r="AF7" s="105"/>
      <c r="AG7" s="105"/>
      <c r="AH7" s="105"/>
      <c r="AI7" s="105"/>
    </row>
    <row r="8" spans="1:35" x14ac:dyDescent="0.2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v>0</v>
      </c>
      <c r="F8" s="48">
        <f>Inputs!AI65</f>
        <v>5577432.2300000004</v>
      </c>
      <c r="G8" s="48">
        <f t="shared" si="3"/>
        <v>11447199.939999998</v>
      </c>
      <c r="H8" s="162">
        <v>33.324999999999996</v>
      </c>
      <c r="I8" s="162">
        <v>50.612499999999997</v>
      </c>
      <c r="J8" s="48">
        <v>30</v>
      </c>
      <c r="K8" s="110">
        <v>0</v>
      </c>
      <c r="L8" s="48">
        <f>Inputs!G65+Inputs!I65+Inputs!L65+Inputs!O65+Inputs!R65+Inputs!AA65</f>
        <v>7015</v>
      </c>
      <c r="M8" s="48">
        <v>0</v>
      </c>
      <c r="N8" s="48">
        <f t="shared" si="4"/>
        <v>11243196.416601107</v>
      </c>
      <c r="O8" s="32">
        <f t="shared" si="5"/>
        <v>-204003.52339889109</v>
      </c>
      <c r="P8" s="41">
        <f t="shared" si="6"/>
        <v>-1.7821259737592313E-2</v>
      </c>
      <c r="Q8" s="12">
        <f t="shared" si="1"/>
        <v>1.7821259737592313E-2</v>
      </c>
      <c r="R8" s="134">
        <f t="shared" si="2"/>
        <v>41617437559.161903</v>
      </c>
      <c r="S8" s="134">
        <f t="shared" si="7"/>
        <v>-308183.20593729615</v>
      </c>
      <c r="T8" s="134">
        <f t="shared" si="8"/>
        <v>94976888421.789886</v>
      </c>
      <c r="V8" t="s">
        <v>19</v>
      </c>
      <c r="W8">
        <v>393662.20742687286</v>
      </c>
      <c r="AF8" s="105"/>
      <c r="AG8" s="105"/>
      <c r="AH8" s="105"/>
      <c r="AI8" s="105"/>
    </row>
    <row r="9" spans="1:35" ht="13.5" thickBot="1" x14ac:dyDescent="0.25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v>0</v>
      </c>
      <c r="F9" s="48">
        <f>Inputs!AI66</f>
        <v>5180718.25</v>
      </c>
      <c r="G9" s="48">
        <f t="shared" si="3"/>
        <v>12653341.41</v>
      </c>
      <c r="H9" s="162">
        <v>2.2625000000000002</v>
      </c>
      <c r="I9" s="162">
        <v>100.26249999999999</v>
      </c>
      <c r="J9" s="48">
        <v>31</v>
      </c>
      <c r="K9" s="110">
        <v>0</v>
      </c>
      <c r="L9" s="48">
        <f>Inputs!G66+Inputs!I66+Inputs!L66+Inputs!O66+Inputs!R66+Inputs!AA66</f>
        <v>7029</v>
      </c>
      <c r="M9" s="48">
        <v>0</v>
      </c>
      <c r="N9" s="48">
        <f t="shared" si="4"/>
        <v>12992790.814297248</v>
      </c>
      <c r="O9" s="32">
        <f t="shared" si="5"/>
        <v>339449.40429724753</v>
      </c>
      <c r="P9" s="41">
        <f t="shared" si="6"/>
        <v>2.6826858874524552E-2</v>
      </c>
      <c r="Q9" s="12">
        <f t="shared" si="1"/>
        <v>2.6826858874524552E-2</v>
      </c>
      <c r="R9" s="134">
        <f t="shared" si="2"/>
        <v>115225898077.75621</v>
      </c>
      <c r="S9" s="134">
        <f t="shared" si="7"/>
        <v>543452.92769613862</v>
      </c>
      <c r="T9" s="134">
        <f t="shared" si="8"/>
        <v>295341084621.50446</v>
      </c>
      <c r="V9" s="112" t="s">
        <v>20</v>
      </c>
      <c r="W9" s="112">
        <v>102</v>
      </c>
      <c r="AF9" s="105"/>
      <c r="AG9" s="105"/>
      <c r="AH9" s="105"/>
      <c r="AI9" s="105"/>
    </row>
    <row r="10" spans="1:35" x14ac:dyDescent="0.2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v>0</v>
      </c>
      <c r="F10" s="48">
        <f>Inputs!AI67</f>
        <v>6210294.9700000007</v>
      </c>
      <c r="G10" s="48">
        <f t="shared" si="3"/>
        <v>14045928.409999998</v>
      </c>
      <c r="H10" s="162">
        <v>8.6000000000000014</v>
      </c>
      <c r="I10" s="162">
        <v>79.587499999999991</v>
      </c>
      <c r="J10" s="48">
        <v>31</v>
      </c>
      <c r="K10" s="110">
        <v>0</v>
      </c>
      <c r="L10" s="48">
        <f>Inputs!G67+Inputs!I67+Inputs!L67+Inputs!O67+Inputs!R67+Inputs!AA67</f>
        <v>7045</v>
      </c>
      <c r="M10" s="48">
        <v>0</v>
      </c>
      <c r="N10" s="48">
        <f t="shared" si="4"/>
        <v>12442188.116531594</v>
      </c>
      <c r="O10" s="32">
        <f t="shared" si="5"/>
        <v>-1603740.2934684046</v>
      </c>
      <c r="P10" s="41">
        <f t="shared" si="6"/>
        <v>-0.11417830467700674</v>
      </c>
      <c r="Q10" s="12">
        <f t="shared" si="1"/>
        <v>0.11417830467700674</v>
      </c>
      <c r="R10" s="134">
        <f t="shared" si="2"/>
        <v>2571982928894.1245</v>
      </c>
      <c r="S10" s="134">
        <f t="shared" si="7"/>
        <v>-1943189.6977656521</v>
      </c>
      <c r="T10" s="134">
        <f t="shared" si="8"/>
        <v>3775986201502.5664</v>
      </c>
      <c r="AF10" s="105"/>
      <c r="AG10" s="105"/>
      <c r="AH10" s="105"/>
      <c r="AI10" s="105"/>
    </row>
    <row r="11" spans="1:35" ht="13.5" thickBot="1" x14ac:dyDescent="0.25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v>0</v>
      </c>
      <c r="F11" s="48">
        <f>Inputs!AI68</f>
        <v>5885963.6200000001</v>
      </c>
      <c r="G11" s="48">
        <f t="shared" si="3"/>
        <v>11329825.549999997</v>
      </c>
      <c r="H11" s="162">
        <v>62.674999999999983</v>
      </c>
      <c r="I11" s="162">
        <v>31.699999999999996</v>
      </c>
      <c r="J11" s="48">
        <v>30</v>
      </c>
      <c r="K11" s="110">
        <v>1</v>
      </c>
      <c r="L11" s="48">
        <f>Inputs!G68+Inputs!I68+Inputs!L68+Inputs!O68+Inputs!R68+Inputs!AA68</f>
        <v>7053</v>
      </c>
      <c r="M11" s="48">
        <v>0</v>
      </c>
      <c r="N11" s="48">
        <f t="shared" si="4"/>
        <v>10269649.633694792</v>
      </c>
      <c r="O11" s="32">
        <f t="shared" si="5"/>
        <v>-1060175.9163052049</v>
      </c>
      <c r="P11" s="41">
        <f t="shared" si="6"/>
        <v>-9.3573895875669957E-2</v>
      </c>
      <c r="Q11" s="12">
        <f t="shared" si="1"/>
        <v>9.3573895875669957E-2</v>
      </c>
      <c r="R11" s="134">
        <f t="shared" si="2"/>
        <v>1123972973513.5808</v>
      </c>
      <c r="S11" s="134">
        <f t="shared" si="7"/>
        <v>543564.37716319971</v>
      </c>
      <c r="T11" s="134">
        <f t="shared" si="8"/>
        <v>295462232120.8172</v>
      </c>
      <c r="V11" t="s">
        <v>21</v>
      </c>
    </row>
    <row r="12" spans="1:35" x14ac:dyDescent="0.2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v>0</v>
      </c>
      <c r="F12" s="48">
        <f>Inputs!AI69</f>
        <v>5771228.2999999998</v>
      </c>
      <c r="G12" s="48">
        <f t="shared" si="3"/>
        <v>10272831.66</v>
      </c>
      <c r="H12" s="162">
        <v>229.3125</v>
      </c>
      <c r="I12" s="162">
        <v>5.1125000000000007</v>
      </c>
      <c r="J12" s="48">
        <v>31</v>
      </c>
      <c r="K12" s="110">
        <v>1</v>
      </c>
      <c r="L12" s="48">
        <f>Inputs!G69+Inputs!I69+Inputs!L69+Inputs!O69+Inputs!R69+Inputs!AA69</f>
        <v>7064</v>
      </c>
      <c r="M12" s="48">
        <v>0</v>
      </c>
      <c r="N12" s="48">
        <f t="shared" si="4"/>
        <v>10177518.002584847</v>
      </c>
      <c r="O12" s="32">
        <f t="shared" si="5"/>
        <v>-95313.657415153459</v>
      </c>
      <c r="P12" s="41">
        <f t="shared" si="6"/>
        <v>-9.2782263517743133E-3</v>
      </c>
      <c r="Q12" s="12">
        <f t="shared" si="1"/>
        <v>9.2782263517743133E-3</v>
      </c>
      <c r="R12" s="134">
        <f t="shared" si="2"/>
        <v>9084693289.8532372</v>
      </c>
      <c r="S12" s="134">
        <f t="shared" si="7"/>
        <v>964862.25889005139</v>
      </c>
      <c r="T12" s="134">
        <f t="shared" si="8"/>
        <v>930959178630.4126</v>
      </c>
      <c r="V12" s="113"/>
      <c r="W12" s="113" t="s">
        <v>25</v>
      </c>
      <c r="X12" s="113" t="s">
        <v>26</v>
      </c>
      <c r="Y12" s="113" t="s">
        <v>27</v>
      </c>
      <c r="Z12" s="113" t="s">
        <v>28</v>
      </c>
      <c r="AA12" s="113" t="s">
        <v>29</v>
      </c>
    </row>
    <row r="13" spans="1:35" x14ac:dyDescent="0.2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v>0</v>
      </c>
      <c r="F13" s="48">
        <f>Inputs!AI70</f>
        <v>5639574.6100000003</v>
      </c>
      <c r="G13" s="48">
        <f t="shared" si="3"/>
        <v>10360075.34</v>
      </c>
      <c r="H13" s="162">
        <v>439.67500000000001</v>
      </c>
      <c r="I13" s="162">
        <v>0.05</v>
      </c>
      <c r="J13" s="48">
        <v>30</v>
      </c>
      <c r="K13" s="110">
        <v>0</v>
      </c>
      <c r="L13" s="48">
        <f>Inputs!G70+Inputs!I70+Inputs!L70+Inputs!O70+Inputs!R70+Inputs!AA70</f>
        <v>7067</v>
      </c>
      <c r="M13" s="48">
        <v>0</v>
      </c>
      <c r="N13" s="48">
        <f t="shared" si="4"/>
        <v>10568949.532965075</v>
      </c>
      <c r="O13" s="32">
        <f t="shared" si="5"/>
        <v>208874.19296507537</v>
      </c>
      <c r="P13" s="41">
        <f t="shared" si="6"/>
        <v>2.0161455019406777E-2</v>
      </c>
      <c r="Q13" s="12">
        <f t="shared" si="1"/>
        <v>2.0161455019406777E-2</v>
      </c>
      <c r="R13" s="134">
        <f t="shared" si="2"/>
        <v>43628428486.811546</v>
      </c>
      <c r="S13" s="134">
        <f t="shared" si="7"/>
        <v>304187.85038022883</v>
      </c>
      <c r="T13" s="134">
        <f t="shared" si="8"/>
        <v>92530248318.944489</v>
      </c>
      <c r="V13" t="s">
        <v>22</v>
      </c>
      <c r="W13">
        <v>6</v>
      </c>
      <c r="X13">
        <v>162685088333119.69</v>
      </c>
      <c r="Y13">
        <v>27114181388853.281</v>
      </c>
      <c r="Z13">
        <v>174.96414153794936</v>
      </c>
      <c r="AA13">
        <v>4.551742521031481E-49</v>
      </c>
    </row>
    <row r="14" spans="1:35" x14ac:dyDescent="0.2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v>0</v>
      </c>
      <c r="F14" s="48">
        <f>Inputs!AI71</f>
        <v>4810039.24</v>
      </c>
      <c r="G14" s="48">
        <f t="shared" si="3"/>
        <v>11321735.149999999</v>
      </c>
      <c r="H14" s="162">
        <v>573.38750000000005</v>
      </c>
      <c r="I14" s="162">
        <v>0</v>
      </c>
      <c r="J14" s="48">
        <v>31</v>
      </c>
      <c r="K14" s="110">
        <v>0</v>
      </c>
      <c r="L14" s="48">
        <f>Inputs!G71+Inputs!I71+Inputs!L71+Inputs!O71+Inputs!R71+Inputs!AA71</f>
        <v>7085</v>
      </c>
      <c r="M14" s="48">
        <v>0</v>
      </c>
      <c r="N14" s="48">
        <f t="shared" si="4"/>
        <v>11187484.803552542</v>
      </c>
      <c r="O14" s="32">
        <f t="shared" si="5"/>
        <v>-134250.34644745663</v>
      </c>
      <c r="P14" s="41">
        <f t="shared" si="6"/>
        <v>-1.1857753663090824E-2</v>
      </c>
      <c r="Q14" s="12">
        <f t="shared" si="1"/>
        <v>1.1857753663090824E-2</v>
      </c>
      <c r="R14" s="134">
        <f t="shared" si="2"/>
        <v>18023155521.262131</v>
      </c>
      <c r="S14" s="134">
        <f t="shared" si="7"/>
        <v>-343124.539412532</v>
      </c>
      <c r="T14" s="134">
        <f t="shared" si="8"/>
        <v>117734449547.06223</v>
      </c>
      <c r="V14" t="s">
        <v>23</v>
      </c>
      <c r="W14">
        <v>95</v>
      </c>
      <c r="X14">
        <v>14722143687838.836</v>
      </c>
      <c r="Y14">
        <v>154969933556.19827</v>
      </c>
    </row>
    <row r="15" spans="1:35" ht="13.5" thickBot="1" x14ac:dyDescent="0.25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v>0</v>
      </c>
      <c r="F15" s="48">
        <f>Inputs!AI72</f>
        <v>5557435.2400000002</v>
      </c>
      <c r="G15" s="48">
        <f t="shared" si="3"/>
        <v>11607269.35</v>
      </c>
      <c r="H15" s="162">
        <v>679.58749999999998</v>
      </c>
      <c r="I15" s="162">
        <v>0</v>
      </c>
      <c r="J15" s="48">
        <v>31</v>
      </c>
      <c r="K15" s="110">
        <v>0</v>
      </c>
      <c r="L15" s="48">
        <f>Inputs!G72+Inputs!I72+Inputs!L72+Inputs!O72+Inputs!R72+Inputs!AA72</f>
        <v>7094</v>
      </c>
      <c r="M15" s="48">
        <v>0</v>
      </c>
      <c r="N15" s="48">
        <f t="shared" si="4"/>
        <v>11379198.859027425</v>
      </c>
      <c r="O15" s="32">
        <f t="shared" si="5"/>
        <v>-228070.4909725748</v>
      </c>
      <c r="P15" s="41">
        <f t="shared" si="6"/>
        <v>-1.9648935860403276E-2</v>
      </c>
      <c r="Q15" s="12">
        <f t="shared" si="1"/>
        <v>1.9648935860403276E-2</v>
      </c>
      <c r="R15" s="134">
        <f t="shared" si="2"/>
        <v>52016148852.471321</v>
      </c>
      <c r="S15" s="134">
        <f t="shared" si="7"/>
        <v>-93820.144525118172</v>
      </c>
      <c r="T15" s="134">
        <f t="shared" si="8"/>
        <v>8802219518.7140617</v>
      </c>
      <c r="V15" s="112" t="s">
        <v>7</v>
      </c>
      <c r="W15" s="112">
        <v>101</v>
      </c>
      <c r="X15" s="112">
        <v>177407232020958.53</v>
      </c>
      <c r="Y15" s="112"/>
      <c r="Z15" s="112"/>
      <c r="AA15" s="112"/>
    </row>
    <row r="16" spans="1:35" ht="13.5" thickBot="1" x14ac:dyDescent="0.25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v>0</v>
      </c>
      <c r="F16" s="48">
        <f>Inputs!AI73</f>
        <v>5102756.04</v>
      </c>
      <c r="G16" s="48">
        <f t="shared" si="3"/>
        <v>10030269.460000001</v>
      </c>
      <c r="H16" s="162">
        <v>599.76249999999993</v>
      </c>
      <c r="I16" s="162">
        <v>0</v>
      </c>
      <c r="J16" s="48">
        <v>28</v>
      </c>
      <c r="K16" s="110">
        <v>0</v>
      </c>
      <c r="L16" s="48">
        <f>Inputs!G73+Inputs!I73+Inputs!L73+Inputs!O73+Inputs!R73+Inputs!AA73</f>
        <v>7111</v>
      </c>
      <c r="M16" s="48">
        <v>0</v>
      </c>
      <c r="N16" s="48">
        <f t="shared" si="4"/>
        <v>10171277.346823825</v>
      </c>
      <c r="O16" s="32">
        <f t="shared" si="5"/>
        <v>141007.88682382368</v>
      </c>
      <c r="P16" s="41">
        <f t="shared" si="6"/>
        <v>1.4058235163686586E-2</v>
      </c>
      <c r="Q16" s="12">
        <f t="shared" si="1"/>
        <v>1.4058235163686586E-2</v>
      </c>
      <c r="R16" s="134">
        <f t="shared" si="2"/>
        <v>19883224146.520267</v>
      </c>
      <c r="S16" s="134">
        <f t="shared" si="7"/>
        <v>369078.37779639848</v>
      </c>
      <c r="T16" s="134">
        <f t="shared" si="8"/>
        <v>136218848956.82104</v>
      </c>
    </row>
    <row r="17" spans="1:30" x14ac:dyDescent="0.2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v>0</v>
      </c>
      <c r="F17" s="48">
        <f>Inputs!AI74</f>
        <v>5617340.25</v>
      </c>
      <c r="G17" s="48">
        <f t="shared" si="3"/>
        <v>11045373.5</v>
      </c>
      <c r="H17" s="162">
        <v>527.26250000000005</v>
      </c>
      <c r="I17" s="162">
        <v>0</v>
      </c>
      <c r="J17" s="48">
        <v>31</v>
      </c>
      <c r="K17" s="110">
        <v>1</v>
      </c>
      <c r="L17" s="48">
        <f>Inputs!G74+Inputs!I74+Inputs!L74+Inputs!O74+Inputs!R74+Inputs!AA74</f>
        <v>7115</v>
      </c>
      <c r="M17" s="48">
        <v>0</v>
      </c>
      <c r="N17" s="48">
        <f t="shared" si="4"/>
        <v>10612422.31123553</v>
      </c>
      <c r="O17" s="32">
        <f t="shared" si="5"/>
        <v>-432951.1887644697</v>
      </c>
      <c r="P17" s="41">
        <f t="shared" si="6"/>
        <v>-3.9197514576077459E-2</v>
      </c>
      <c r="Q17" s="12">
        <f t="shared" si="1"/>
        <v>3.9197514576077459E-2</v>
      </c>
      <c r="R17" s="134">
        <f t="shared" si="2"/>
        <v>187446731852.56747</v>
      </c>
      <c r="S17" s="134">
        <f t="shared" si="7"/>
        <v>-573959.07558829337</v>
      </c>
      <c r="T17" s="134">
        <f t="shared" si="8"/>
        <v>329429020450.16827</v>
      </c>
      <c r="V17" s="113"/>
      <c r="W17" s="113" t="s">
        <v>30</v>
      </c>
      <c r="X17" s="113" t="s">
        <v>19</v>
      </c>
      <c r="Y17" s="113" t="s">
        <v>31</v>
      </c>
      <c r="Z17" s="113" t="s">
        <v>32</v>
      </c>
      <c r="AA17" s="113" t="s">
        <v>33</v>
      </c>
      <c r="AB17" s="113" t="s">
        <v>34</v>
      </c>
      <c r="AC17" s="113" t="s">
        <v>145</v>
      </c>
      <c r="AD17" s="113" t="s">
        <v>146</v>
      </c>
    </row>
    <row r="18" spans="1:30" x14ac:dyDescent="0.2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v>0</v>
      </c>
      <c r="F18" s="48">
        <f>Inputs!AI75</f>
        <v>4773442.13</v>
      </c>
      <c r="G18" s="48">
        <f t="shared" si="3"/>
        <v>9389596.7699999996</v>
      </c>
      <c r="H18" s="162">
        <v>349.3125</v>
      </c>
      <c r="I18" s="162">
        <v>0.32500000000000001</v>
      </c>
      <c r="J18" s="48">
        <v>30</v>
      </c>
      <c r="K18" s="110">
        <v>1</v>
      </c>
      <c r="L18" s="48">
        <f>Inputs!G75+Inputs!I75+Inputs!L75+Inputs!O75+Inputs!R75+Inputs!AA75</f>
        <v>7119</v>
      </c>
      <c r="M18" s="48">
        <v>0</v>
      </c>
      <c r="N18" s="48">
        <f t="shared" si="4"/>
        <v>9964143.9169487823</v>
      </c>
      <c r="O18" s="32">
        <f t="shared" si="5"/>
        <v>574547.14694878273</v>
      </c>
      <c r="P18" s="41">
        <f t="shared" si="6"/>
        <v>6.1189757241170942E-2</v>
      </c>
      <c r="Q18" s="12">
        <f t="shared" si="1"/>
        <v>6.1189757241170942E-2</v>
      </c>
      <c r="R18" s="134">
        <f t="shared" si="2"/>
        <v>330104424066.98615</v>
      </c>
      <c r="S18" s="134">
        <f t="shared" si="7"/>
        <v>1007498.3357132524</v>
      </c>
      <c r="T18" s="134">
        <f t="shared" si="8"/>
        <v>1015052896464.9735</v>
      </c>
      <c r="V18" t="s">
        <v>24</v>
      </c>
      <c r="W18">
        <v>-12803564.270766333</v>
      </c>
      <c r="X18">
        <v>1644000.6625201057</v>
      </c>
      <c r="Y18">
        <v>-7.7880529872412678</v>
      </c>
      <c r="Z18">
        <v>8.396903753491296E-12</v>
      </c>
      <c r="AA18">
        <v>-16067318.235798076</v>
      </c>
      <c r="AB18">
        <v>-9539810.3057345897</v>
      </c>
      <c r="AC18">
        <v>-16067318.235798076</v>
      </c>
      <c r="AD18">
        <v>-9539810.3057345897</v>
      </c>
    </row>
    <row r="19" spans="1:30" x14ac:dyDescent="0.2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v>0</v>
      </c>
      <c r="F19" s="48">
        <f>Inputs!AI76</f>
        <v>5302041.82</v>
      </c>
      <c r="G19" s="48">
        <f t="shared" si="3"/>
        <v>9971542.3200000003</v>
      </c>
      <c r="H19" s="162">
        <v>159.125</v>
      </c>
      <c r="I19" s="162">
        <v>18.412500000000001</v>
      </c>
      <c r="J19" s="48">
        <v>31</v>
      </c>
      <c r="K19" s="110">
        <v>1</v>
      </c>
      <c r="L19" s="48">
        <f>Inputs!G76+Inputs!I76+Inputs!L76+Inputs!O76+Inputs!R76+Inputs!AA76</f>
        <v>7125</v>
      </c>
      <c r="M19" s="48">
        <v>0</v>
      </c>
      <c r="N19" s="48">
        <f t="shared" si="4"/>
        <v>10538697.421051236</v>
      </c>
      <c r="O19" s="32">
        <f t="shared" si="5"/>
        <v>567155.10105123557</v>
      </c>
      <c r="P19" s="41">
        <f t="shared" si="6"/>
        <v>5.6877369904321434E-2</v>
      </c>
      <c r="Q19" s="12">
        <f t="shared" si="1"/>
        <v>5.6877369904321434E-2</v>
      </c>
      <c r="R19" s="134">
        <f t="shared" si="2"/>
        <v>321664908648.43726</v>
      </c>
      <c r="S19" s="134">
        <f t="shared" si="7"/>
        <v>-7392.0458975471556</v>
      </c>
      <c r="T19" s="134">
        <f t="shared" si="8"/>
        <v>54642342.551443733</v>
      </c>
      <c r="V19" t="s">
        <v>2</v>
      </c>
      <c r="W19">
        <v>1665.9930336606003</v>
      </c>
      <c r="X19">
        <v>284.93790605751786</v>
      </c>
      <c r="Y19">
        <v>5.8468634682964966</v>
      </c>
      <c r="Z19">
        <v>7.0488037861829638E-8</v>
      </c>
      <c r="AA19">
        <v>1100.3197697231578</v>
      </c>
      <c r="AB19">
        <v>2231.6662975980425</v>
      </c>
      <c r="AC19">
        <v>1100.3197697231578</v>
      </c>
      <c r="AD19">
        <v>2231.6662975980425</v>
      </c>
    </row>
    <row r="20" spans="1:30" x14ac:dyDescent="0.2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v>0</v>
      </c>
      <c r="F20" s="48">
        <f>Inputs!AI77</f>
        <v>5243059.6900000004</v>
      </c>
      <c r="G20" s="48">
        <f t="shared" si="3"/>
        <v>11231673.719999999</v>
      </c>
      <c r="H20" s="162">
        <v>33.324999999999996</v>
      </c>
      <c r="I20" s="162">
        <v>50.612499999999997</v>
      </c>
      <c r="J20" s="48">
        <v>30</v>
      </c>
      <c r="K20" s="110">
        <v>0</v>
      </c>
      <c r="L20" s="48">
        <f>Inputs!G77+Inputs!I77+Inputs!L77+Inputs!O77+Inputs!R77+Inputs!AA77</f>
        <v>7136</v>
      </c>
      <c r="M20" s="48">
        <v>0</v>
      </c>
      <c r="N20" s="48">
        <f t="shared" si="4"/>
        <v>11441980.531191701</v>
      </c>
      <c r="O20" s="32">
        <f t="shared" si="5"/>
        <v>210306.81119170226</v>
      </c>
      <c r="P20" s="41">
        <f t="shared" si="6"/>
        <v>1.872444093681367E-2</v>
      </c>
      <c r="Q20" s="12">
        <f t="shared" si="1"/>
        <v>1.872444093681367E-2</v>
      </c>
      <c r="R20" s="134">
        <f t="shared" si="2"/>
        <v>44228954833.622307</v>
      </c>
      <c r="S20" s="134">
        <f t="shared" si="7"/>
        <v>-356848.28985953331</v>
      </c>
      <c r="T20" s="134">
        <f t="shared" si="8"/>
        <v>127340701975.67351</v>
      </c>
      <c r="V20" t="s">
        <v>3</v>
      </c>
      <c r="W20">
        <v>28413.370320302682</v>
      </c>
      <c r="X20">
        <v>2085.6310178366339</v>
      </c>
      <c r="Y20">
        <v>13.623392669799793</v>
      </c>
      <c r="Z20">
        <v>4.5432731384310413E-24</v>
      </c>
      <c r="AA20">
        <v>24272.869249200314</v>
      </c>
      <c r="AB20">
        <v>32553.87139140505</v>
      </c>
      <c r="AC20">
        <v>24272.869249200314</v>
      </c>
      <c r="AD20">
        <v>32553.87139140505</v>
      </c>
    </row>
    <row r="21" spans="1:30" x14ac:dyDescent="0.2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v>0</v>
      </c>
      <c r="F21" s="48">
        <f>Inputs!AI78</f>
        <v>4591849.6399999997</v>
      </c>
      <c r="G21" s="48">
        <f t="shared" si="3"/>
        <v>12239047.559999999</v>
      </c>
      <c r="H21" s="162">
        <v>2.2625000000000002</v>
      </c>
      <c r="I21" s="162">
        <v>100.26249999999999</v>
      </c>
      <c r="J21" s="48">
        <v>31</v>
      </c>
      <c r="K21" s="110">
        <v>0</v>
      </c>
      <c r="L21" s="48">
        <f>Inputs!G78+Inputs!I78+Inputs!L78+Inputs!O78+Inputs!R78+Inputs!AA78</f>
        <v>7145</v>
      </c>
      <c r="M21" s="48">
        <v>0</v>
      </c>
      <c r="N21" s="48">
        <f t="shared" si="4"/>
        <v>13183360.709276661</v>
      </c>
      <c r="O21" s="32">
        <f t="shared" si="5"/>
        <v>944313.14927666262</v>
      </c>
      <c r="P21" s="41">
        <f t="shared" si="6"/>
        <v>7.7155770875741478E-2</v>
      </c>
      <c r="Q21" s="12">
        <f t="shared" si="1"/>
        <v>7.7155770875741478E-2</v>
      </c>
      <c r="R21" s="134">
        <f t="shared" si="2"/>
        <v>891727323896.80847</v>
      </c>
      <c r="S21" s="134">
        <f t="shared" si="7"/>
        <v>734006.33808496036</v>
      </c>
      <c r="T21" s="134">
        <f t="shared" si="8"/>
        <v>538765304348.89313</v>
      </c>
      <c r="V21" t="s">
        <v>90</v>
      </c>
      <c r="W21">
        <v>367620.65498988703</v>
      </c>
      <c r="X21">
        <v>51313.33535345384</v>
      </c>
      <c r="Y21">
        <v>7.1642323083787405</v>
      </c>
      <c r="Z21">
        <v>1.6617396792102193E-10</v>
      </c>
      <c r="AA21">
        <v>265750.80448622868</v>
      </c>
      <c r="AB21">
        <v>469490.50549354538</v>
      </c>
      <c r="AC21">
        <v>265750.80448622868</v>
      </c>
      <c r="AD21">
        <v>469490.50549354538</v>
      </c>
    </row>
    <row r="22" spans="1:30" x14ac:dyDescent="0.2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v>0</v>
      </c>
      <c r="F22" s="48">
        <f>Inputs!AI79</f>
        <v>5030992.41</v>
      </c>
      <c r="G22" s="48">
        <f t="shared" si="3"/>
        <v>11969958.379999999</v>
      </c>
      <c r="H22" s="162">
        <v>8.6000000000000014</v>
      </c>
      <c r="I22" s="162">
        <v>79.587499999999991</v>
      </c>
      <c r="J22" s="48">
        <v>31</v>
      </c>
      <c r="K22" s="110">
        <v>0</v>
      </c>
      <c r="L22" s="48">
        <f>Inputs!G79+Inputs!I79+Inputs!L79+Inputs!O79+Inputs!R79+Inputs!AA79</f>
        <v>7160</v>
      </c>
      <c r="M22" s="48">
        <v>0</v>
      </c>
      <c r="N22" s="48">
        <f t="shared" si="4"/>
        <v>12631115.16758877</v>
      </c>
      <c r="O22" s="32">
        <f t="shared" si="5"/>
        <v>661156.78758877143</v>
      </c>
      <c r="P22" s="41">
        <f t="shared" si="6"/>
        <v>5.5234677231080859E-2</v>
      </c>
      <c r="Q22" s="12">
        <f t="shared" si="1"/>
        <v>5.5234677231080859E-2</v>
      </c>
      <c r="R22" s="134">
        <f t="shared" si="2"/>
        <v>437128297774.7038</v>
      </c>
      <c r="S22" s="134">
        <f t="shared" si="7"/>
        <v>-283156.36168789119</v>
      </c>
      <c r="T22" s="134">
        <f t="shared" si="8"/>
        <v>80177525164.323853</v>
      </c>
      <c r="V22" t="s">
        <v>13</v>
      </c>
      <c r="W22">
        <v>-547503.88130650786</v>
      </c>
      <c r="X22">
        <v>105572.34604493718</v>
      </c>
      <c r="Y22">
        <v>-5.186053941374583</v>
      </c>
      <c r="Z22">
        <v>1.2106007228126523E-6</v>
      </c>
      <c r="AA22">
        <v>-757091.48723464902</v>
      </c>
      <c r="AB22">
        <v>-337916.2753783667</v>
      </c>
      <c r="AC22">
        <v>-757091.48723464902</v>
      </c>
      <c r="AD22">
        <v>-337916.2753783667</v>
      </c>
    </row>
    <row r="23" spans="1:30" x14ac:dyDescent="0.2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v>0</v>
      </c>
      <c r="F23" s="48">
        <f>Inputs!AI80</f>
        <v>4528421.4700000007</v>
      </c>
      <c r="G23" s="48">
        <f t="shared" si="3"/>
        <v>10859252.779999999</v>
      </c>
      <c r="H23" s="162">
        <v>62.674999999999983</v>
      </c>
      <c r="I23" s="162">
        <v>31.699999999999996</v>
      </c>
      <c r="J23" s="48">
        <v>30</v>
      </c>
      <c r="K23" s="110">
        <v>1</v>
      </c>
      <c r="L23" s="48">
        <f>Inputs!G80+Inputs!I80+Inputs!L80+Inputs!O80+Inputs!R80+Inputs!AA80</f>
        <v>7167</v>
      </c>
      <c r="M23" s="48">
        <v>0</v>
      </c>
      <c r="N23" s="48">
        <f t="shared" si="4"/>
        <v>10456933.840829732</v>
      </c>
      <c r="O23" s="32">
        <f t="shared" si="5"/>
        <v>-402318.93917026743</v>
      </c>
      <c r="P23" s="41">
        <f t="shared" si="6"/>
        <v>-3.7048491947000009E-2</v>
      </c>
      <c r="Q23" s="12">
        <f t="shared" si="1"/>
        <v>3.7048491947000009E-2</v>
      </c>
      <c r="R23" s="134">
        <f t="shared" si="2"/>
        <v>161860528815.08936</v>
      </c>
      <c r="S23" s="134">
        <f t="shared" si="7"/>
        <v>-1063475.7267590389</v>
      </c>
      <c r="T23" s="134">
        <f t="shared" si="8"/>
        <v>1130980621405.666</v>
      </c>
      <c r="V23" t="s">
        <v>104</v>
      </c>
      <c r="W23">
        <v>1642.8439222363177</v>
      </c>
      <c r="X23">
        <v>81.474539548989767</v>
      </c>
      <c r="Y23">
        <v>20.163893301274729</v>
      </c>
      <c r="Z23">
        <v>4.2864400840135886E-36</v>
      </c>
      <c r="AA23">
        <v>1481.0965108365374</v>
      </c>
      <c r="AB23">
        <v>1804.5913336360979</v>
      </c>
      <c r="AC23">
        <v>1481.0965108365374</v>
      </c>
      <c r="AD23">
        <v>1804.5913336360979</v>
      </c>
    </row>
    <row r="24" spans="1:30" ht="13.5" thickBot="1" x14ac:dyDescent="0.25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v>0</v>
      </c>
      <c r="F24" s="48">
        <f>Inputs!AI81</f>
        <v>4675331.34</v>
      </c>
      <c r="G24" s="48">
        <f t="shared" si="3"/>
        <v>10276033.219999999</v>
      </c>
      <c r="H24" s="162">
        <v>229.3125</v>
      </c>
      <c r="I24" s="162">
        <v>5.1125000000000007</v>
      </c>
      <c r="J24" s="48">
        <v>31</v>
      </c>
      <c r="K24" s="110">
        <v>1</v>
      </c>
      <c r="L24" s="48">
        <f>Inputs!G81+Inputs!I81+Inputs!L81+Inputs!O81+Inputs!R81+Inputs!AA81</f>
        <v>7177</v>
      </c>
      <c r="M24" s="48">
        <v>0</v>
      </c>
      <c r="N24" s="48">
        <f t="shared" si="4"/>
        <v>10363159.365797551</v>
      </c>
      <c r="O24" s="32">
        <f t="shared" si="5"/>
        <v>87126.145797552541</v>
      </c>
      <c r="P24" s="41">
        <f t="shared" si="6"/>
        <v>8.4785776702221045E-3</v>
      </c>
      <c r="Q24" s="12">
        <f t="shared" si="1"/>
        <v>8.4785776702221045E-3</v>
      </c>
      <c r="R24" s="134">
        <f t="shared" si="2"/>
        <v>7590965281.5363827</v>
      </c>
      <c r="S24" s="134">
        <f t="shared" si="7"/>
        <v>489445.08496781997</v>
      </c>
      <c r="T24" s="134">
        <f t="shared" si="8"/>
        <v>239556491199.15652</v>
      </c>
      <c r="V24" s="112" t="s">
        <v>114</v>
      </c>
      <c r="W24" s="112">
        <v>-1622569.9477690179</v>
      </c>
      <c r="X24" s="112">
        <v>285432.78807254956</v>
      </c>
      <c r="Y24" s="112">
        <v>-5.6845955180054615</v>
      </c>
      <c r="Z24" s="112">
        <v>1.437213309788425E-7</v>
      </c>
      <c r="AA24" s="112">
        <v>-2189225.6767234188</v>
      </c>
      <c r="AB24" s="112">
        <v>-1055914.218814617</v>
      </c>
      <c r="AC24" s="112">
        <v>-2189225.6767234188</v>
      </c>
      <c r="AD24" s="112">
        <v>-1055914.218814617</v>
      </c>
    </row>
    <row r="25" spans="1:30" x14ac:dyDescent="0.2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v>0</v>
      </c>
      <c r="F25" s="48">
        <f>Inputs!AI82</f>
        <v>4727682.0600000005</v>
      </c>
      <c r="G25" s="48">
        <f t="shared" si="3"/>
        <v>10525579.159999998</v>
      </c>
      <c r="H25" s="162">
        <v>439.67500000000001</v>
      </c>
      <c r="I25" s="162">
        <v>0.05</v>
      </c>
      <c r="J25" s="48">
        <v>30</v>
      </c>
      <c r="K25" s="110">
        <v>0</v>
      </c>
      <c r="L25" s="48">
        <f>Inputs!G82+Inputs!I82+Inputs!L82+Inputs!O82+Inputs!R82+Inputs!AA82</f>
        <v>7191</v>
      </c>
      <c r="M25" s="48">
        <v>0</v>
      </c>
      <c r="N25" s="48">
        <f t="shared" si="4"/>
        <v>10772662.179322379</v>
      </c>
      <c r="O25" s="32">
        <f t="shared" si="5"/>
        <v>247083.01932238042</v>
      </c>
      <c r="P25" s="41">
        <f t="shared" si="6"/>
        <v>2.3474529578511143E-2</v>
      </c>
      <c r="Q25" s="12">
        <f t="shared" si="1"/>
        <v>2.3474529578511143E-2</v>
      </c>
      <c r="R25" s="134">
        <f t="shared" si="2"/>
        <v>61050018437.463821</v>
      </c>
      <c r="S25" s="134">
        <f t="shared" si="7"/>
        <v>159956.87352482788</v>
      </c>
      <c r="T25" s="134">
        <f t="shared" si="8"/>
        <v>25586201387.837784</v>
      </c>
    </row>
    <row r="26" spans="1:30" x14ac:dyDescent="0.2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v>0</v>
      </c>
      <c r="F26" s="48">
        <f>Inputs!AI83</f>
        <v>3893203.5300000003</v>
      </c>
      <c r="G26" s="48">
        <f t="shared" si="3"/>
        <v>11448308.73</v>
      </c>
      <c r="H26" s="162">
        <v>573.38750000000005</v>
      </c>
      <c r="I26" s="162">
        <v>0</v>
      </c>
      <c r="J26" s="48">
        <v>31</v>
      </c>
      <c r="K26" s="110">
        <v>0</v>
      </c>
      <c r="L26" s="48">
        <f>Inputs!G83+Inputs!I83+Inputs!L83+Inputs!O83+Inputs!R83+Inputs!AA83</f>
        <v>7190</v>
      </c>
      <c r="M26" s="48">
        <v>0</v>
      </c>
      <c r="N26" s="48">
        <f t="shared" si="4"/>
        <v>11359983.415387357</v>
      </c>
      <c r="O26" s="32">
        <f t="shared" si="5"/>
        <v>-88325.314612643793</v>
      </c>
      <c r="P26" s="41">
        <f t="shared" si="6"/>
        <v>-7.7151408732706135E-3</v>
      </c>
      <c r="Q26" s="12">
        <f t="shared" si="1"/>
        <v>7.7151408732706135E-3</v>
      </c>
      <c r="R26" s="134">
        <f t="shared" si="2"/>
        <v>7801361201.4225073</v>
      </c>
      <c r="S26" s="134">
        <f t="shared" si="7"/>
        <v>-335408.33393502422</v>
      </c>
      <c r="T26" s="134">
        <f t="shared" si="8"/>
        <v>112498750473.06871</v>
      </c>
    </row>
    <row r="27" spans="1:30" x14ac:dyDescent="0.2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v>0</v>
      </c>
      <c r="F27" s="48">
        <f>Inputs!AI84</f>
        <v>4832859.3899999997</v>
      </c>
      <c r="G27" s="48">
        <f t="shared" si="3"/>
        <v>12096568.779999994</v>
      </c>
      <c r="H27" s="162">
        <v>679.58749999999998</v>
      </c>
      <c r="I27" s="162">
        <v>0</v>
      </c>
      <c r="J27" s="48">
        <v>31</v>
      </c>
      <c r="K27" s="110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11551697.47086224</v>
      </c>
      <c r="O27" s="32">
        <f t="shared" si="5"/>
        <v>-544871.30913775414</v>
      </c>
      <c r="P27" s="41">
        <f t="shared" si="6"/>
        <v>-4.5043459765104932E-2</v>
      </c>
      <c r="Q27" s="12">
        <f t="shared" si="1"/>
        <v>4.5043459765104932E-2</v>
      </c>
      <c r="R27" s="134">
        <f t="shared" si="2"/>
        <v>296884743521.49005</v>
      </c>
      <c r="S27" s="134">
        <f t="shared" si="7"/>
        <v>-456545.99452511035</v>
      </c>
      <c r="T27" s="134">
        <f t="shared" si="8"/>
        <v>208434245116.92209</v>
      </c>
    </row>
    <row r="28" spans="1:30" x14ac:dyDescent="0.2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v>0</v>
      </c>
      <c r="F28" s="48">
        <f>Inputs!AI85</f>
        <v>4439150.66</v>
      </c>
      <c r="G28" s="48">
        <f t="shared" si="3"/>
        <v>10552431.76</v>
      </c>
      <c r="H28" s="162">
        <v>599.76249999999993</v>
      </c>
      <c r="I28" s="162">
        <v>0</v>
      </c>
      <c r="J28" s="48">
        <v>28</v>
      </c>
      <c r="K28" s="110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10320776.14374733</v>
      </c>
      <c r="O28" s="32">
        <f t="shared" si="5"/>
        <v>-231655.61625267006</v>
      </c>
      <c r="P28" s="41">
        <f t="shared" si="6"/>
        <v>-2.1952818224400445E-2</v>
      </c>
      <c r="Q28" s="12">
        <f t="shared" si="1"/>
        <v>2.1952818224400445E-2</v>
      </c>
      <c r="R28" s="134">
        <f t="shared" si="2"/>
        <v>53664324541.404335</v>
      </c>
      <c r="S28" s="134">
        <f t="shared" si="7"/>
        <v>313215.69288508408</v>
      </c>
      <c r="T28" s="134">
        <f t="shared" si="8"/>
        <v>98104070269.483307</v>
      </c>
      <c r="V28" t="s">
        <v>136</v>
      </c>
      <c r="W28" s="143">
        <f>T87</f>
        <v>30613182505255.598</v>
      </c>
    </row>
    <row r="29" spans="1:30" x14ac:dyDescent="0.2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v>0</v>
      </c>
      <c r="F29" s="48">
        <f>Inputs!AI86</f>
        <v>4732142.5600000005</v>
      </c>
      <c r="G29" s="48">
        <f t="shared" si="3"/>
        <v>11295312.890000001</v>
      </c>
      <c r="H29" s="162">
        <v>527.26250000000005</v>
      </c>
      <c r="I29" s="162">
        <v>0</v>
      </c>
      <c r="J29" s="48">
        <v>31</v>
      </c>
      <c r="K29" s="110">
        <v>1</v>
      </c>
      <c r="L29" s="48">
        <f>Inputs!G86+Inputs!I86+Inputs!L86+Inputs!O86+Inputs!R86+Inputs!AA86</f>
        <v>7212</v>
      </c>
      <c r="M29" s="48">
        <v>0</v>
      </c>
      <c r="N29" s="48">
        <f t="shared" si="4"/>
        <v>10771778.171692451</v>
      </c>
      <c r="O29" s="32">
        <f t="shared" si="5"/>
        <v>-523534.71830754913</v>
      </c>
      <c r="P29" s="41">
        <f t="shared" si="6"/>
        <v>-4.6349731380265387E-2</v>
      </c>
      <c r="Q29" s="12">
        <f t="shared" si="1"/>
        <v>4.6349731380265387E-2</v>
      </c>
      <c r="R29" s="134">
        <f t="shared" si="2"/>
        <v>274088601273.36481</v>
      </c>
      <c r="S29" s="134">
        <f t="shared" si="7"/>
        <v>-291879.10205487907</v>
      </c>
      <c r="T29" s="134">
        <f t="shared" si="8"/>
        <v>85193410216.362518</v>
      </c>
      <c r="V29" t="s">
        <v>137</v>
      </c>
      <c r="W29" s="143">
        <f>R87</f>
        <v>20995517309064.117</v>
      </c>
    </row>
    <row r="30" spans="1:30" x14ac:dyDescent="0.2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v>0</v>
      </c>
      <c r="F30" s="48">
        <f>Inputs!AI87</f>
        <v>4436095.1500000004</v>
      </c>
      <c r="G30" s="48">
        <f t="shared" si="3"/>
        <v>10410325.170000002</v>
      </c>
      <c r="H30" s="162">
        <v>349.3125</v>
      </c>
      <c r="I30" s="162">
        <v>0.32500000000000001</v>
      </c>
      <c r="J30" s="48">
        <v>30</v>
      </c>
      <c r="K30" s="110">
        <v>1</v>
      </c>
      <c r="L30" s="48">
        <f>Inputs!G87+Inputs!I87+Inputs!L87+Inputs!O87+Inputs!R87+Inputs!AA87</f>
        <v>7220</v>
      </c>
      <c r="M30" s="48">
        <v>0</v>
      </c>
      <c r="N30" s="48">
        <f t="shared" si="4"/>
        <v>10130071.153094651</v>
      </c>
      <c r="O30" s="32">
        <f t="shared" si="5"/>
        <v>-280254.01690535061</v>
      </c>
      <c r="P30" s="41">
        <f t="shared" si="6"/>
        <v>-2.692077455111333E-2</v>
      </c>
      <c r="Q30" s="12">
        <f t="shared" si="1"/>
        <v>2.692077455111333E-2</v>
      </c>
      <c r="R30" s="134">
        <f t="shared" si="2"/>
        <v>78542313991.584549</v>
      </c>
      <c r="S30" s="134">
        <f t="shared" si="7"/>
        <v>243280.70140219852</v>
      </c>
      <c r="T30" s="134">
        <f t="shared" si="8"/>
        <v>59185499674.745682</v>
      </c>
    </row>
    <row r="31" spans="1:30" x14ac:dyDescent="0.2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v>0</v>
      </c>
      <c r="F31" s="48">
        <f>Inputs!AI88</f>
        <v>4637784.51</v>
      </c>
      <c r="G31" s="48">
        <f t="shared" si="3"/>
        <v>10791383.969999999</v>
      </c>
      <c r="H31" s="162">
        <v>159.125</v>
      </c>
      <c r="I31" s="162">
        <v>18.412500000000001</v>
      </c>
      <c r="J31" s="48">
        <v>31</v>
      </c>
      <c r="K31" s="110">
        <v>1</v>
      </c>
      <c r="L31" s="48">
        <f>Inputs!G88+Inputs!I88+Inputs!L88+Inputs!O88+Inputs!R88+Inputs!AA88</f>
        <v>7230</v>
      </c>
      <c r="M31" s="48">
        <v>0</v>
      </c>
      <c r="N31" s="48">
        <f t="shared" si="4"/>
        <v>10711196.032886049</v>
      </c>
      <c r="O31" s="32">
        <f t="shared" si="5"/>
        <v>-80187.937113950029</v>
      </c>
      <c r="P31" s="41">
        <f t="shared" si="6"/>
        <v>-7.4307370895959363E-3</v>
      </c>
      <c r="Q31" s="12">
        <f t="shared" si="1"/>
        <v>7.4307370895959363E-3</v>
      </c>
      <c r="R31" s="134">
        <f t="shared" si="2"/>
        <v>6430105258.5908041</v>
      </c>
      <c r="S31" s="134">
        <f t="shared" si="7"/>
        <v>200066.07979140058</v>
      </c>
      <c r="T31" s="134">
        <f t="shared" si="8"/>
        <v>40026436283.099068</v>
      </c>
      <c r="V31" t="s">
        <v>138</v>
      </c>
      <c r="W31" s="156">
        <f>W28/W29</f>
        <v>1.4580818397858373</v>
      </c>
    </row>
    <row r="32" spans="1:30" x14ac:dyDescent="0.2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si="0"/>
        <v>15934792.240000002</v>
      </c>
      <c r="E32" s="48">
        <v>0</v>
      </c>
      <c r="F32" s="48">
        <f>Inputs!AI89</f>
        <v>4343244.7</v>
      </c>
      <c r="G32" s="48">
        <f t="shared" si="3"/>
        <v>11591547.540000003</v>
      </c>
      <c r="H32" s="162">
        <v>33.324999999999996</v>
      </c>
      <c r="I32" s="162">
        <v>50.612499999999997</v>
      </c>
      <c r="J32" s="48">
        <v>30</v>
      </c>
      <c r="K32" s="110">
        <v>0</v>
      </c>
      <c r="L32" s="48">
        <f>Inputs!G89+Inputs!I89+Inputs!L89+Inputs!O89+Inputs!R89+Inputs!AA89</f>
        <v>7247</v>
      </c>
      <c r="M32" s="48">
        <v>0</v>
      </c>
      <c r="N32" s="48">
        <f t="shared" si="4"/>
        <v>11624336.206559932</v>
      </c>
      <c r="O32" s="32">
        <f t="shared" si="5"/>
        <v>32788.666559929028</v>
      </c>
      <c r="P32" s="41">
        <f t="shared" si="6"/>
        <v>2.8286703260959941E-3</v>
      </c>
      <c r="Q32" s="12">
        <f t="shared" si="1"/>
        <v>2.8286703260959941E-3</v>
      </c>
      <c r="R32" s="134">
        <f t="shared" si="2"/>
        <v>1075096654.778208</v>
      </c>
      <c r="S32" s="134">
        <f t="shared" si="7"/>
        <v>112976.60367387906</v>
      </c>
      <c r="T32" s="134">
        <f t="shared" si="8"/>
        <v>12763712977.684742</v>
      </c>
    </row>
    <row r="33" spans="1:20" x14ac:dyDescent="0.2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0"/>
        <v>17490899.32</v>
      </c>
      <c r="E33" s="48">
        <v>0</v>
      </c>
      <c r="F33" s="48">
        <f>Inputs!AI90</f>
        <v>4189312.98</v>
      </c>
      <c r="G33" s="48">
        <f t="shared" si="3"/>
        <v>13301586.34</v>
      </c>
      <c r="H33" s="162">
        <v>2.2625000000000002</v>
      </c>
      <c r="I33" s="162">
        <v>100.26249999999999</v>
      </c>
      <c r="J33" s="48">
        <v>31</v>
      </c>
      <c r="K33" s="110">
        <v>0</v>
      </c>
      <c r="L33" s="48">
        <f>Inputs!G90+Inputs!I90+Inputs!L90+Inputs!O90+Inputs!R90+Inputs!AA90</f>
        <v>7270</v>
      </c>
      <c r="M33" s="48">
        <v>0</v>
      </c>
      <c r="N33" s="48">
        <f t="shared" si="4"/>
        <v>13388716.1995562</v>
      </c>
      <c r="O33" s="32">
        <f t="shared" si="5"/>
        <v>87129.859556199983</v>
      </c>
      <c r="P33" s="41">
        <f t="shared" si="6"/>
        <v>6.5503359771598478E-3</v>
      </c>
      <c r="Q33" s="12">
        <f t="shared" si="1"/>
        <v>6.5503359771598478E-3</v>
      </c>
      <c r="R33" s="134">
        <f t="shared" si="2"/>
        <v>7591612426.2831335</v>
      </c>
      <c r="S33" s="134">
        <f t="shared" si="7"/>
        <v>54341.192996270955</v>
      </c>
      <c r="T33" s="134">
        <f t="shared" si="8"/>
        <v>2952965256.2579675</v>
      </c>
    </row>
    <row r="34" spans="1:20" x14ac:dyDescent="0.2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0"/>
        <v>17759554.780000005</v>
      </c>
      <c r="E34" s="48">
        <v>0</v>
      </c>
      <c r="F34" s="48">
        <f>Inputs!AI91</f>
        <v>4350827.2699999996</v>
      </c>
      <c r="G34" s="48">
        <f t="shared" si="3"/>
        <v>13408727.510000005</v>
      </c>
      <c r="H34" s="162">
        <v>8.6000000000000014</v>
      </c>
      <c r="I34" s="162">
        <v>79.587499999999991</v>
      </c>
      <c r="J34" s="48">
        <v>31</v>
      </c>
      <c r="K34" s="110">
        <v>0</v>
      </c>
      <c r="L34" s="48">
        <f>Inputs!G91+Inputs!I91+Inputs!L91+Inputs!O91+Inputs!R91+Inputs!AA91</f>
        <v>7289</v>
      </c>
      <c r="M34" s="48">
        <v>0</v>
      </c>
      <c r="N34" s="48">
        <f t="shared" si="4"/>
        <v>12843042.033557255</v>
      </c>
      <c r="O34" s="32">
        <f t="shared" si="5"/>
        <v>-565685.47644275054</v>
      </c>
      <c r="P34" s="41">
        <f t="shared" si="6"/>
        <v>-4.2187856828388208E-2</v>
      </c>
      <c r="Q34" s="12">
        <f t="shared" si="1"/>
        <v>4.2187856828388208E-2</v>
      </c>
      <c r="R34" s="134">
        <f t="shared" si="2"/>
        <v>320000058258.26166</v>
      </c>
      <c r="S34" s="134">
        <f t="shared" si="7"/>
        <v>-652815.33599895053</v>
      </c>
      <c r="T34" s="134">
        <f t="shared" si="8"/>
        <v>426167862915.42267</v>
      </c>
    </row>
    <row r="35" spans="1:20" x14ac:dyDescent="0.2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0"/>
        <v>15656131.729999997</v>
      </c>
      <c r="E35" s="48">
        <v>0</v>
      </c>
      <c r="F35" s="48">
        <f>Inputs!AI92</f>
        <v>4169153.07</v>
      </c>
      <c r="G35" s="48">
        <f t="shared" si="3"/>
        <v>11486978.659999996</v>
      </c>
      <c r="H35" s="162">
        <v>62.674999999999983</v>
      </c>
      <c r="I35" s="162">
        <v>31.699999999999996</v>
      </c>
      <c r="J35" s="48">
        <v>30</v>
      </c>
      <c r="K35" s="110">
        <v>1</v>
      </c>
      <c r="L35" s="48">
        <f>Inputs!G92+Inputs!I92+Inputs!L92+Inputs!O92+Inputs!R92+Inputs!AA92</f>
        <v>7297</v>
      </c>
      <c r="M35" s="48">
        <v>0</v>
      </c>
      <c r="N35" s="48">
        <f t="shared" si="4"/>
        <v>10670503.550720453</v>
      </c>
      <c r="O35" s="32">
        <f t="shared" si="5"/>
        <v>-816475.10927954316</v>
      </c>
      <c r="P35" s="41">
        <f t="shared" si="6"/>
        <v>-7.1078316887858081E-2</v>
      </c>
      <c r="Q35" s="12">
        <f t="shared" si="1"/>
        <v>7.1078316887858081E-2</v>
      </c>
      <c r="R35" s="134">
        <f t="shared" si="2"/>
        <v>666631604073.04199</v>
      </c>
      <c r="S35" s="134">
        <f t="shared" si="7"/>
        <v>-250789.63283679262</v>
      </c>
      <c r="T35" s="134">
        <f t="shared" si="8"/>
        <v>62895439938.413254</v>
      </c>
    </row>
    <row r="36" spans="1:20" x14ac:dyDescent="0.2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0"/>
        <v>15183493.600000003</v>
      </c>
      <c r="E36" s="48">
        <v>0</v>
      </c>
      <c r="F36" s="48">
        <f>Inputs!AI93</f>
        <v>4394916.3099999996</v>
      </c>
      <c r="G36" s="48">
        <f t="shared" si="3"/>
        <v>10788577.290000003</v>
      </c>
      <c r="H36" s="162">
        <v>229.3125</v>
      </c>
      <c r="I36" s="162">
        <v>5.1125000000000007</v>
      </c>
      <c r="J36" s="48">
        <v>31</v>
      </c>
      <c r="K36" s="110">
        <v>1</v>
      </c>
      <c r="L36" s="48">
        <f>Inputs!G93+Inputs!I93+Inputs!L93+Inputs!O93+Inputs!R93+Inputs!AA93</f>
        <v>7309</v>
      </c>
      <c r="M36" s="48">
        <v>0</v>
      </c>
      <c r="N36" s="48">
        <f t="shared" si="4"/>
        <v>10580014.763532745</v>
      </c>
      <c r="O36" s="32">
        <f t="shared" si="5"/>
        <v>-208562.52646725811</v>
      </c>
      <c r="P36" s="41">
        <f t="shared" si="6"/>
        <v>-1.9331791473614968E-2</v>
      </c>
      <c r="Q36" s="12">
        <f t="shared" si="1"/>
        <v>1.9331791473614968E-2</v>
      </c>
      <c r="R36" s="134">
        <f t="shared" si="2"/>
        <v>43498327446.405739</v>
      </c>
      <c r="S36" s="134">
        <f t="shared" si="7"/>
        <v>607912.58281228505</v>
      </c>
      <c r="T36" s="134">
        <f t="shared" si="8"/>
        <v>369557708341.50336</v>
      </c>
    </row>
    <row r="37" spans="1:20" x14ac:dyDescent="0.2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0"/>
        <v>15276960.700000001</v>
      </c>
      <c r="E37" s="48">
        <v>0</v>
      </c>
      <c r="F37" s="48">
        <f>Inputs!AI94</f>
        <v>4286187.92</v>
      </c>
      <c r="G37" s="48">
        <f t="shared" si="3"/>
        <v>10990772.780000001</v>
      </c>
      <c r="H37" s="162">
        <v>439.67500000000001</v>
      </c>
      <c r="I37" s="162">
        <v>0.05</v>
      </c>
      <c r="J37" s="48">
        <v>30</v>
      </c>
      <c r="K37" s="110">
        <v>0</v>
      </c>
      <c r="L37" s="48">
        <f>Inputs!G94+Inputs!I94+Inputs!L94+Inputs!O94+Inputs!R94+Inputs!AA94</f>
        <v>7309</v>
      </c>
      <c r="M37" s="48">
        <v>0</v>
      </c>
      <c r="N37" s="48">
        <f t="shared" si="4"/>
        <v>10966517.762146264</v>
      </c>
      <c r="O37" s="32">
        <f t="shared" si="5"/>
        <v>-24255.017853736877</v>
      </c>
      <c r="P37" s="41">
        <f t="shared" si="6"/>
        <v>-2.2068528154702582E-3</v>
      </c>
      <c r="Q37" s="12">
        <f t="shared" si="1"/>
        <v>2.2068528154702582E-3</v>
      </c>
      <c r="R37" s="134">
        <f t="shared" si="2"/>
        <v>588305891.08509469</v>
      </c>
      <c r="S37" s="134">
        <f t="shared" si="7"/>
        <v>184307.50861352123</v>
      </c>
      <c r="T37" s="134">
        <f t="shared" si="8"/>
        <v>33969257731.323204</v>
      </c>
    </row>
    <row r="38" spans="1:20" x14ac:dyDescent="0.2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0"/>
        <v>14468067.609999999</v>
      </c>
      <c r="E38" s="48">
        <v>0</v>
      </c>
      <c r="F38" s="48">
        <f>Inputs!AI95</f>
        <v>3400164.7600000002</v>
      </c>
      <c r="G38" s="48">
        <f t="shared" si="3"/>
        <v>11067902.85</v>
      </c>
      <c r="H38" s="162">
        <v>573.38750000000005</v>
      </c>
      <c r="I38" s="162">
        <v>0</v>
      </c>
      <c r="J38" s="48">
        <v>31</v>
      </c>
      <c r="K38" s="110">
        <v>0</v>
      </c>
      <c r="L38" s="48">
        <f>Inputs!G95+Inputs!I95+Inputs!L95+Inputs!O95+Inputs!R95+Inputs!AA95</f>
        <v>7329</v>
      </c>
      <c r="M38" s="48">
        <v>0</v>
      </c>
      <c r="N38" s="48">
        <f t="shared" si="4"/>
        <v>11588338.720578205</v>
      </c>
      <c r="O38" s="32">
        <f t="shared" si="5"/>
        <v>520435.87057820521</v>
      </c>
      <c r="P38" s="41">
        <f t="shared" si="6"/>
        <v>4.7022085180139186E-2</v>
      </c>
      <c r="Q38" s="12">
        <f t="shared" si="1"/>
        <v>4.7022085180139186E-2</v>
      </c>
      <c r="R38" s="134">
        <f t="shared" si="2"/>
        <v>270853495384.49435</v>
      </c>
      <c r="S38" s="134">
        <f t="shared" si="7"/>
        <v>544690.88843194209</v>
      </c>
      <c r="T38" s="134">
        <f t="shared" si="8"/>
        <v>296688163940.77838</v>
      </c>
    </row>
    <row r="39" spans="1:20" x14ac:dyDescent="0.2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0"/>
        <v>16341694.570000002</v>
      </c>
      <c r="E39" s="48">
        <v>0</v>
      </c>
      <c r="F39" s="48">
        <f>Inputs!AI96</f>
        <v>4090441.4</v>
      </c>
      <c r="G39" s="48">
        <f t="shared" si="3"/>
        <v>12251253.170000002</v>
      </c>
      <c r="H39" s="162">
        <v>679.58749999999998</v>
      </c>
      <c r="I39" s="162">
        <v>0</v>
      </c>
      <c r="J39" s="48">
        <v>31</v>
      </c>
      <c r="K39" s="110">
        <v>0</v>
      </c>
      <c r="L39" s="48">
        <f>Inputs!G96+Inputs!I96+Inputs!L96+Inputs!O96+Inputs!R96+Inputs!AA96</f>
        <v>7335</v>
      </c>
      <c r="M39" s="48">
        <v>0</v>
      </c>
      <c r="N39" s="48">
        <f t="shared" si="4"/>
        <v>11775124.244286379</v>
      </c>
      <c r="O39" s="32">
        <f t="shared" si="5"/>
        <v>-476128.92571362294</v>
      </c>
      <c r="P39" s="41">
        <f t="shared" si="6"/>
        <v>-3.8863691665399068E-2</v>
      </c>
      <c r="Q39" s="12">
        <f t="shared" si="1"/>
        <v>3.8863691665399068E-2</v>
      </c>
      <c r="R39" s="134">
        <f t="shared" si="2"/>
        <v>226698753901.20868</v>
      </c>
      <c r="S39" s="134">
        <f t="shared" si="7"/>
        <v>-996564.79629182816</v>
      </c>
      <c r="T39" s="134">
        <f t="shared" si="8"/>
        <v>993141393208.17297</v>
      </c>
    </row>
    <row r="40" spans="1:20" x14ac:dyDescent="0.2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0"/>
        <v>14310438.430000002</v>
      </c>
      <c r="E40" s="48">
        <v>0</v>
      </c>
      <c r="F40" s="48">
        <f>Inputs!AI97</f>
        <v>3573066.4899999998</v>
      </c>
      <c r="G40" s="48">
        <f t="shared" si="3"/>
        <v>10737371.940000001</v>
      </c>
      <c r="H40" s="162">
        <v>599.76249999999993</v>
      </c>
      <c r="I40" s="162">
        <v>0</v>
      </c>
      <c r="J40" s="48">
        <v>28</v>
      </c>
      <c r="K40" s="110">
        <v>0</v>
      </c>
      <c r="L40" s="48">
        <f>Inputs!G97+Inputs!I97+Inputs!L97+Inputs!O97+Inputs!R97+Inputs!AA97</f>
        <v>7343</v>
      </c>
      <c r="M40" s="48">
        <v>0</v>
      </c>
      <c r="N40" s="48">
        <f t="shared" si="4"/>
        <v>10552417.13678265</v>
      </c>
      <c r="O40" s="32">
        <f t="shared" si="5"/>
        <v>-184954.80321735144</v>
      </c>
      <c r="P40" s="41">
        <f t="shared" si="6"/>
        <v>-1.722533262802773E-2</v>
      </c>
      <c r="Q40" s="12">
        <f t="shared" si="1"/>
        <v>1.722533262802773E-2</v>
      </c>
      <c r="R40" s="134">
        <f t="shared" si="2"/>
        <v>34208279233.169193</v>
      </c>
      <c r="S40" s="134">
        <f t="shared" si="7"/>
        <v>291174.12249627151</v>
      </c>
      <c r="T40" s="134">
        <f t="shared" si="8"/>
        <v>84782369611.473724</v>
      </c>
    </row>
    <row r="41" spans="1:20" x14ac:dyDescent="0.2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0"/>
        <v>15013862.310000001</v>
      </c>
      <c r="E41" s="48">
        <v>0</v>
      </c>
      <c r="F41" s="48">
        <f>Inputs!AI98</f>
        <v>3716139.2800000003</v>
      </c>
      <c r="G41" s="48">
        <f t="shared" si="3"/>
        <v>11297723.030000001</v>
      </c>
      <c r="H41" s="162">
        <v>527.26250000000005</v>
      </c>
      <c r="I41" s="162">
        <v>0</v>
      </c>
      <c r="J41" s="48">
        <v>31</v>
      </c>
      <c r="K41" s="110">
        <v>1</v>
      </c>
      <c r="L41" s="48">
        <f>Inputs!G98+Inputs!I98+Inputs!L98+Inputs!O98+Inputs!R98+Inputs!AA98</f>
        <v>7347</v>
      </c>
      <c r="M41" s="48">
        <v>0</v>
      </c>
      <c r="N41" s="48">
        <f t="shared" si="4"/>
        <v>10993562.101194356</v>
      </c>
      <c r="O41" s="32">
        <f t="shared" si="5"/>
        <v>-304160.92880564556</v>
      </c>
      <c r="P41" s="41">
        <f t="shared" si="6"/>
        <v>-2.6922321249863879E-2</v>
      </c>
      <c r="Q41" s="12">
        <f t="shared" si="1"/>
        <v>2.6922321249863879E-2</v>
      </c>
      <c r="R41" s="134">
        <f t="shared" si="2"/>
        <v>92513870611.912979</v>
      </c>
      <c r="S41" s="134">
        <f t="shared" si="7"/>
        <v>-119206.12558829412</v>
      </c>
      <c r="T41" s="134">
        <f t="shared" si="8"/>
        <v>14210100377.77215</v>
      </c>
    </row>
    <row r="42" spans="1:20" x14ac:dyDescent="0.2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0"/>
        <v>13275278.340000002</v>
      </c>
      <c r="E42" s="48">
        <v>0</v>
      </c>
      <c r="F42" s="48">
        <f>Inputs!AI99</f>
        <v>3382220.7700000005</v>
      </c>
      <c r="G42" s="48">
        <f t="shared" si="3"/>
        <v>9893057.5700000003</v>
      </c>
      <c r="H42" s="162">
        <v>349.3125</v>
      </c>
      <c r="I42" s="162">
        <v>0.32500000000000001</v>
      </c>
      <c r="J42" s="48">
        <v>30</v>
      </c>
      <c r="K42" s="110">
        <v>1</v>
      </c>
      <c r="L42" s="48">
        <f>Inputs!G99+Inputs!I99+Inputs!L99+Inputs!O99+Inputs!R99+Inputs!AA99</f>
        <v>7358</v>
      </c>
      <c r="M42" s="48">
        <v>0</v>
      </c>
      <c r="N42" s="48">
        <f t="shared" si="4"/>
        <v>10356783.614363262</v>
      </c>
      <c r="O42" s="32">
        <f t="shared" si="5"/>
        <v>463726.04436326213</v>
      </c>
      <c r="P42" s="41">
        <f t="shared" si="6"/>
        <v>4.6873885154522774E-2</v>
      </c>
      <c r="Q42" s="12">
        <f t="shared" si="1"/>
        <v>4.6873885154522774E-2</v>
      </c>
      <c r="R42" s="134">
        <f t="shared" si="2"/>
        <v>215041844220.79816</v>
      </c>
      <c r="S42" s="134">
        <f t="shared" si="7"/>
        <v>767886.97316890769</v>
      </c>
      <c r="T42" s="134">
        <f t="shared" si="8"/>
        <v>589650403562.50671</v>
      </c>
    </row>
    <row r="43" spans="1:20" x14ac:dyDescent="0.2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0"/>
        <v>13493268.119999999</v>
      </c>
      <c r="E43" s="48">
        <v>0</v>
      </c>
      <c r="F43" s="48">
        <f>Inputs!AI100</f>
        <v>3514365.9099999997</v>
      </c>
      <c r="G43" s="48">
        <f t="shared" si="3"/>
        <v>9978902.209999999</v>
      </c>
      <c r="H43" s="162">
        <v>159.125</v>
      </c>
      <c r="I43" s="162">
        <v>18.412500000000001</v>
      </c>
      <c r="J43" s="48">
        <v>31</v>
      </c>
      <c r="K43" s="110">
        <v>1</v>
      </c>
      <c r="L43" s="48">
        <f>Inputs!G100+Inputs!I100+Inputs!L100+Inputs!O100+Inputs!R100+Inputs!AA100</f>
        <v>7367</v>
      </c>
      <c r="M43" s="48">
        <v>0</v>
      </c>
      <c r="N43" s="48">
        <f t="shared" si="4"/>
        <v>10936265.650232425</v>
      </c>
      <c r="O43" s="32">
        <f t="shared" si="5"/>
        <v>957363.44023242593</v>
      </c>
      <c r="P43" s="41">
        <f t="shared" si="6"/>
        <v>9.5938753590854756E-2</v>
      </c>
      <c r="Q43" s="12">
        <f t="shared" si="1"/>
        <v>9.5938753590854756E-2</v>
      </c>
      <c r="R43" s="134">
        <f t="shared" si="2"/>
        <v>916544756693.66577</v>
      </c>
      <c r="S43" s="134">
        <f t="shared" si="7"/>
        <v>493637.3958691638</v>
      </c>
      <c r="T43" s="134">
        <f t="shared" si="8"/>
        <v>243677878600.48953</v>
      </c>
    </row>
    <row r="44" spans="1:20" x14ac:dyDescent="0.2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0"/>
        <v>14303688.979999997</v>
      </c>
      <c r="E44" s="48">
        <v>0</v>
      </c>
      <c r="F44" s="48">
        <f>Inputs!AI101</f>
        <v>3431331.8</v>
      </c>
      <c r="G44" s="48">
        <f t="shared" si="3"/>
        <v>10872357.179999996</v>
      </c>
      <c r="H44" s="162">
        <v>33.324999999999996</v>
      </c>
      <c r="I44" s="162">
        <v>50.612499999999997</v>
      </c>
      <c r="J44" s="48">
        <v>30</v>
      </c>
      <c r="K44" s="110">
        <v>0</v>
      </c>
      <c r="L44" s="48">
        <f>Inputs!G101+Inputs!I101+Inputs!L101+Inputs!O101+Inputs!R101+Inputs!AA101</f>
        <v>7382</v>
      </c>
      <c r="M44" s="48">
        <v>0</v>
      </c>
      <c r="N44" s="48">
        <f t="shared" si="4"/>
        <v>11846120.136061834</v>
      </c>
      <c r="O44" s="32">
        <f t="shared" si="5"/>
        <v>973762.95606183819</v>
      </c>
      <c r="P44" s="41">
        <f t="shared" si="6"/>
        <v>8.9563186707396103E-2</v>
      </c>
      <c r="Q44" s="12">
        <f t="shared" si="1"/>
        <v>8.9563186707396103E-2</v>
      </c>
      <c r="R44" s="134">
        <f t="shared" si="2"/>
        <v>948214294598.28943</v>
      </c>
      <c r="S44" s="134">
        <f t="shared" si="7"/>
        <v>16399.515829412267</v>
      </c>
      <c r="T44" s="134">
        <f t="shared" si="8"/>
        <v>268944119.43914348</v>
      </c>
    </row>
    <row r="45" spans="1:20" x14ac:dyDescent="0.2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0"/>
        <v>17472101.57</v>
      </c>
      <c r="E45" s="48">
        <v>0</v>
      </c>
      <c r="F45" s="48">
        <f>Inputs!AI102</f>
        <v>3615394.99</v>
      </c>
      <c r="G45" s="48">
        <f t="shared" si="3"/>
        <v>13856706.58</v>
      </c>
      <c r="H45" s="162">
        <v>2.2625000000000002</v>
      </c>
      <c r="I45" s="162">
        <v>100.26249999999999</v>
      </c>
      <c r="J45" s="48">
        <v>31</v>
      </c>
      <c r="K45" s="110">
        <v>0</v>
      </c>
      <c r="L45" s="48">
        <f>Inputs!G102+Inputs!I102+Inputs!L102+Inputs!O102+Inputs!R102+Inputs!AA102</f>
        <v>7383</v>
      </c>
      <c r="M45" s="48">
        <v>0</v>
      </c>
      <c r="N45" s="48">
        <f t="shared" si="4"/>
        <v>13574357.562768904</v>
      </c>
      <c r="O45" s="32">
        <f t="shared" si="5"/>
        <v>-282349.01723109558</v>
      </c>
      <c r="P45" s="41">
        <f t="shared" si="6"/>
        <v>-2.0376343801536682E-2</v>
      </c>
      <c r="Q45" s="12">
        <f t="shared" si="1"/>
        <v>2.0376343801536682E-2</v>
      </c>
      <c r="R45" s="134">
        <f t="shared" si="2"/>
        <v>79720967531.365509</v>
      </c>
      <c r="S45" s="134">
        <f t="shared" si="7"/>
        <v>-1256111.9732929338</v>
      </c>
      <c r="T45" s="134">
        <f t="shared" si="8"/>
        <v>1577817289449.8679</v>
      </c>
    </row>
    <row r="46" spans="1:20" x14ac:dyDescent="0.2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0"/>
        <v>16370922.329999998</v>
      </c>
      <c r="E46" s="48">
        <v>0</v>
      </c>
      <c r="F46" s="48">
        <f>Inputs!AI103</f>
        <v>3593450.64</v>
      </c>
      <c r="G46" s="48">
        <f t="shared" si="3"/>
        <v>12777471.689999998</v>
      </c>
      <c r="H46" s="162">
        <v>8.6000000000000014</v>
      </c>
      <c r="I46" s="162">
        <v>79.587499999999991</v>
      </c>
      <c r="J46" s="48">
        <v>31</v>
      </c>
      <c r="K46" s="110">
        <v>0</v>
      </c>
      <c r="L46" s="48">
        <f>Inputs!G103+Inputs!I103+Inputs!L103+Inputs!O103+Inputs!R103+Inputs!AA103</f>
        <v>7409</v>
      </c>
      <c r="M46" s="48">
        <v>0</v>
      </c>
      <c r="N46" s="48">
        <f t="shared" si="4"/>
        <v>13040183.304225612</v>
      </c>
      <c r="O46" s="32">
        <f t="shared" si="5"/>
        <v>262711.61422561482</v>
      </c>
      <c r="P46" s="41">
        <f t="shared" si="6"/>
        <v>2.0560531895462558E-2</v>
      </c>
      <c r="Q46" s="12">
        <f t="shared" si="1"/>
        <v>2.0560531895462558E-2</v>
      </c>
      <c r="R46" s="134">
        <f t="shared" si="2"/>
        <v>69017392249.028259</v>
      </c>
      <c r="S46" s="134">
        <f t="shared" si="7"/>
        <v>545060.6314567104</v>
      </c>
      <c r="T46" s="134">
        <f t="shared" si="8"/>
        <v>297091091963.98785</v>
      </c>
    </row>
    <row r="47" spans="1:20" x14ac:dyDescent="0.2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0"/>
        <v>14335859.039999999</v>
      </c>
      <c r="E47" s="48">
        <v>0</v>
      </c>
      <c r="F47" s="48">
        <f>Inputs!AI104</f>
        <v>3563069.1900000004</v>
      </c>
      <c r="G47" s="48">
        <f t="shared" si="3"/>
        <v>10772789.849999998</v>
      </c>
      <c r="H47" s="162">
        <v>62.674999999999983</v>
      </c>
      <c r="I47" s="162">
        <v>31.699999999999996</v>
      </c>
      <c r="J47" s="48">
        <v>30</v>
      </c>
      <c r="K47" s="110">
        <v>1</v>
      </c>
      <c r="L47" s="48">
        <f>Inputs!G104+Inputs!I104+Inputs!L104+Inputs!O104+Inputs!R104+Inputs!AA104</f>
        <v>7446</v>
      </c>
      <c r="M47" s="48">
        <v>0</v>
      </c>
      <c r="N47" s="48">
        <f t="shared" si="4"/>
        <v>10915287.295133665</v>
      </c>
      <c r="O47" s="32">
        <f t="shared" si="5"/>
        <v>142497.44513366744</v>
      </c>
      <c r="P47" s="41">
        <f t="shared" si="6"/>
        <v>1.3227534103774193E-2</v>
      </c>
      <c r="Q47" s="12">
        <f t="shared" si="1"/>
        <v>1.3227534103774193E-2</v>
      </c>
      <c r="R47" s="134">
        <f t="shared" si="2"/>
        <v>20305521869.622562</v>
      </c>
      <c r="S47" s="134">
        <f t="shared" si="7"/>
        <v>-120214.16909194738</v>
      </c>
      <c r="T47" s="134">
        <f t="shared" si="8"/>
        <v>14451446450.467316</v>
      </c>
    </row>
    <row r="48" spans="1:20" x14ac:dyDescent="0.2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0"/>
        <v>13894453.25</v>
      </c>
      <c r="E48" s="48">
        <v>0</v>
      </c>
      <c r="F48" s="48">
        <f>Inputs!AI105</f>
        <v>3573946.1500000004</v>
      </c>
      <c r="G48" s="48">
        <f t="shared" si="3"/>
        <v>10320507.1</v>
      </c>
      <c r="H48" s="162">
        <v>229.3125</v>
      </c>
      <c r="I48" s="162">
        <v>5.1125000000000007</v>
      </c>
      <c r="J48" s="48">
        <v>31</v>
      </c>
      <c r="K48" s="110">
        <v>1</v>
      </c>
      <c r="L48" s="48">
        <f>Inputs!G105+Inputs!I105+Inputs!L105+Inputs!O105+Inputs!R105+Inputs!AA105</f>
        <v>7456</v>
      </c>
      <c r="M48" s="48">
        <v>0</v>
      </c>
      <c r="N48" s="48">
        <f t="shared" si="4"/>
        <v>10821512.820101485</v>
      </c>
      <c r="O48" s="32">
        <f t="shared" si="5"/>
        <v>501005.72010148503</v>
      </c>
      <c r="P48" s="41">
        <f t="shared" si="6"/>
        <v>4.8544680532363091E-2</v>
      </c>
      <c r="Q48" s="12">
        <f t="shared" si="1"/>
        <v>4.8544680532363091E-2</v>
      </c>
      <c r="R48" s="134">
        <f t="shared" si="2"/>
        <v>251006731574.40756</v>
      </c>
      <c r="S48" s="134">
        <f t="shared" si="7"/>
        <v>358508.27496781759</v>
      </c>
      <c r="T48" s="134">
        <f t="shared" si="8"/>
        <v>128528183220.4003</v>
      </c>
    </row>
    <row r="49" spans="1:20" x14ac:dyDescent="0.2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0"/>
        <v>14325509.250000004</v>
      </c>
      <c r="E49" s="48">
        <v>0</v>
      </c>
      <c r="F49" s="48">
        <f>Inputs!AI106</f>
        <v>3339995.3099999996</v>
      </c>
      <c r="G49" s="48">
        <f t="shared" si="3"/>
        <v>10985513.940000005</v>
      </c>
      <c r="H49" s="162">
        <v>439.67500000000001</v>
      </c>
      <c r="I49" s="162">
        <v>0.05</v>
      </c>
      <c r="J49" s="48">
        <v>30</v>
      </c>
      <c r="K49" s="110">
        <v>0</v>
      </c>
      <c r="L49" s="48">
        <f>Inputs!G106+Inputs!I106+Inputs!L106+Inputs!O106+Inputs!R106+Inputs!AA106</f>
        <v>7479</v>
      </c>
      <c r="M49" s="48">
        <v>0</v>
      </c>
      <c r="N49" s="48">
        <f t="shared" si="4"/>
        <v>11245801.228926439</v>
      </c>
      <c r="O49" s="32">
        <f t="shared" si="5"/>
        <v>260287.28892643377</v>
      </c>
      <c r="P49" s="41">
        <f t="shared" si="6"/>
        <v>2.369368336775636E-2</v>
      </c>
      <c r="Q49" s="12">
        <f t="shared" si="1"/>
        <v>2.369368336775636E-2</v>
      </c>
      <c r="R49" s="134">
        <f t="shared" si="2"/>
        <v>67749472776.672813</v>
      </c>
      <c r="S49" s="134">
        <f t="shared" si="7"/>
        <v>-240718.43117505126</v>
      </c>
      <c r="T49" s="134">
        <f t="shared" si="8"/>
        <v>57945363107.377892</v>
      </c>
    </row>
    <row r="50" spans="1:20" x14ac:dyDescent="0.2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0"/>
        <v>14145077.510000002</v>
      </c>
      <c r="E50" s="48">
        <v>0</v>
      </c>
      <c r="F50" s="48">
        <f>Inputs!AI107</f>
        <v>2832420.64</v>
      </c>
      <c r="G50" s="48">
        <f t="shared" si="3"/>
        <v>11312656.870000001</v>
      </c>
      <c r="H50" s="162">
        <v>573.38750000000005</v>
      </c>
      <c r="I50" s="162">
        <v>0</v>
      </c>
      <c r="J50" s="48">
        <v>31</v>
      </c>
      <c r="K50" s="110">
        <v>0</v>
      </c>
      <c r="L50" s="48">
        <f>Inputs!G107+Inputs!I107+Inputs!L107+Inputs!O107+Inputs!R107+Inputs!AA107</f>
        <v>7489</v>
      </c>
      <c r="M50" s="48">
        <v>0</v>
      </c>
      <c r="N50" s="48">
        <f t="shared" si="4"/>
        <v>11851193.748136016</v>
      </c>
      <c r="O50" s="32">
        <f t="shared" si="5"/>
        <v>538536.87813601457</v>
      </c>
      <c r="P50" s="41">
        <f t="shared" si="6"/>
        <v>4.7604809756420598E-2</v>
      </c>
      <c r="Q50" s="12">
        <f t="shared" si="1"/>
        <v>4.7604809756420598E-2</v>
      </c>
      <c r="R50" s="134">
        <f t="shared" si="2"/>
        <v>290021969112.48462</v>
      </c>
      <c r="S50" s="134">
        <f t="shared" si="7"/>
        <v>278249.58920958079</v>
      </c>
      <c r="T50" s="134">
        <f t="shared" si="8"/>
        <v>77422833895.300461</v>
      </c>
    </row>
    <row r="51" spans="1:20" x14ac:dyDescent="0.2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0"/>
        <v>15049228.480000002</v>
      </c>
      <c r="E51" s="48">
        <v>0</v>
      </c>
      <c r="F51" s="48">
        <f>Inputs!AI108</f>
        <v>3346832.0300000003</v>
      </c>
      <c r="G51" s="48">
        <f t="shared" si="3"/>
        <v>11702396.450000003</v>
      </c>
      <c r="H51" s="162">
        <v>679.58749999999998</v>
      </c>
      <c r="I51" s="162">
        <v>0</v>
      </c>
      <c r="J51" s="48">
        <v>31</v>
      </c>
      <c r="K51" s="110">
        <v>0</v>
      </c>
      <c r="L51" s="48">
        <f>Inputs!G108+Inputs!I108+Inputs!L108+Inputs!O108+Inputs!R108+Inputs!AA108</f>
        <v>7508</v>
      </c>
      <c r="M51" s="48">
        <v>0</v>
      </c>
      <c r="N51" s="48">
        <f t="shared" si="4"/>
        <v>12059336.24283326</v>
      </c>
      <c r="O51" s="32">
        <f t="shared" si="5"/>
        <v>356939.79283325747</v>
      </c>
      <c r="P51" s="41">
        <f t="shared" si="6"/>
        <v>3.0501427152833927E-2</v>
      </c>
      <c r="Q51" s="12">
        <f t="shared" si="1"/>
        <v>3.0501427152833927E-2</v>
      </c>
      <c r="R51" s="134">
        <f t="shared" si="2"/>
        <v>127406015707.84875</v>
      </c>
      <c r="S51" s="134">
        <f t="shared" si="7"/>
        <v>-181597.0853027571</v>
      </c>
      <c r="T51" s="134">
        <f t="shared" si="8"/>
        <v>32977501390.456837</v>
      </c>
    </row>
    <row r="52" spans="1:20" x14ac:dyDescent="0.2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0"/>
        <v>14270047.250000002</v>
      </c>
      <c r="E52" s="48">
        <v>0</v>
      </c>
      <c r="F52" s="48">
        <f>Inputs!AI109</f>
        <v>3269623.1700000004</v>
      </c>
      <c r="G52" s="48">
        <f t="shared" si="3"/>
        <v>11000424.080000002</v>
      </c>
      <c r="H52" s="162">
        <v>599.76249999999993</v>
      </c>
      <c r="I52" s="162">
        <v>0</v>
      </c>
      <c r="J52" s="48">
        <v>29</v>
      </c>
      <c r="K52" s="110">
        <v>0</v>
      </c>
      <c r="L52" s="48">
        <f>Inputs!G109+Inputs!I109+Inputs!L109+Inputs!O109+Inputs!R109+Inputs!AA109</f>
        <v>7522</v>
      </c>
      <c r="M52" s="48">
        <v>0</v>
      </c>
      <c r="N52" s="48">
        <f t="shared" si="4"/>
        <v>11214106.853852838</v>
      </c>
      <c r="O52" s="32">
        <f t="shared" si="5"/>
        <v>213682.77385283634</v>
      </c>
      <c r="P52" s="41">
        <f t="shared" si="6"/>
        <v>1.9424957828792753E-2</v>
      </c>
      <c r="Q52" s="12">
        <f t="shared" si="1"/>
        <v>1.9424957828792753E-2</v>
      </c>
      <c r="R52" s="134">
        <f t="shared" si="2"/>
        <v>45660327841.442398</v>
      </c>
      <c r="S52" s="134">
        <f t="shared" si="7"/>
        <v>-143257.01898042113</v>
      </c>
      <c r="T52" s="134">
        <f t="shared" si="8"/>
        <v>20522573487.156738</v>
      </c>
    </row>
    <row r="53" spans="1:20" x14ac:dyDescent="0.2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0"/>
        <v>13588538.530000001</v>
      </c>
      <c r="E53" s="48">
        <v>0</v>
      </c>
      <c r="F53" s="48">
        <f>Inputs!AI110</f>
        <v>2761550.29</v>
      </c>
      <c r="G53" s="48">
        <f t="shared" si="3"/>
        <v>10826988.240000002</v>
      </c>
      <c r="H53" s="162">
        <v>527.26250000000005</v>
      </c>
      <c r="I53" s="162">
        <v>0</v>
      </c>
      <c r="J53" s="48">
        <v>31</v>
      </c>
      <c r="K53" s="110">
        <v>1</v>
      </c>
      <c r="L53" s="48">
        <f>Inputs!G110+Inputs!I110+Inputs!L110+Inputs!O110+Inputs!R110+Inputs!AA110</f>
        <v>7534</v>
      </c>
      <c r="M53" s="48">
        <v>0</v>
      </c>
      <c r="N53" s="48">
        <f t="shared" si="4"/>
        <v>11300773.914652547</v>
      </c>
      <c r="O53" s="32">
        <f t="shared" si="5"/>
        <v>473785.67465254478</v>
      </c>
      <c r="P53" s="41">
        <f t="shared" si="6"/>
        <v>4.3759692367832913E-2</v>
      </c>
      <c r="Q53" s="12">
        <f t="shared" si="1"/>
        <v>4.3759692367832913E-2</v>
      </c>
      <c r="R53" s="134">
        <f t="shared" si="2"/>
        <v>224472865505.96701</v>
      </c>
      <c r="S53" s="134">
        <f t="shared" si="7"/>
        <v>260102.90079970844</v>
      </c>
      <c r="T53" s="134">
        <f t="shared" si="8"/>
        <v>67653519004.422974</v>
      </c>
    </row>
    <row r="54" spans="1:20" x14ac:dyDescent="0.2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0"/>
        <v>10227380.470000004</v>
      </c>
      <c r="E54" s="48">
        <v>0</v>
      </c>
      <c r="F54" s="48">
        <f>Inputs!AI111</f>
        <v>1111297.6100000001</v>
      </c>
      <c r="G54" s="48">
        <f t="shared" si="3"/>
        <v>9116082.860000005</v>
      </c>
      <c r="H54" s="162">
        <v>349.3125</v>
      </c>
      <c r="I54" s="162">
        <v>0.32500000000000001</v>
      </c>
      <c r="J54" s="48">
        <v>30</v>
      </c>
      <c r="K54" s="110">
        <v>1</v>
      </c>
      <c r="L54" s="48">
        <f>Inputs!G111+Inputs!I111+Inputs!L111+Inputs!O111+Inputs!R111+Inputs!AA111</f>
        <v>7547</v>
      </c>
      <c r="M54" s="48">
        <v>1</v>
      </c>
      <c r="N54" s="48">
        <f t="shared" si="4"/>
        <v>9044711.1678969096</v>
      </c>
      <c r="O54" s="32">
        <f t="shared" si="5"/>
        <v>-71371.692103095353</v>
      </c>
      <c r="P54" s="41">
        <f t="shared" si="6"/>
        <v>-7.8292061622501873E-3</v>
      </c>
      <c r="Q54" s="12">
        <f t="shared" si="1"/>
        <v>7.8292061622501873E-3</v>
      </c>
      <c r="R54" s="134">
        <f t="shared" si="2"/>
        <v>5093918433.6590433</v>
      </c>
      <c r="S54" s="134">
        <f t="shared" si="7"/>
        <v>-545157.36675564013</v>
      </c>
      <c r="T54" s="134">
        <f t="shared" si="8"/>
        <v>297196554527.94354</v>
      </c>
    </row>
    <row r="55" spans="1:20" x14ac:dyDescent="0.2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0"/>
        <v>11249287.380000005</v>
      </c>
      <c r="E55" s="48">
        <v>0</v>
      </c>
      <c r="F55" s="48">
        <f>Inputs!AI112</f>
        <v>1449522.43</v>
      </c>
      <c r="G55" s="48">
        <f t="shared" si="3"/>
        <v>9799764.9500000048</v>
      </c>
      <c r="H55" s="162">
        <v>159.125</v>
      </c>
      <c r="I55" s="162">
        <v>18.412500000000001</v>
      </c>
      <c r="J55" s="48">
        <v>31</v>
      </c>
      <c r="K55" s="110">
        <v>1</v>
      </c>
      <c r="L55" s="48">
        <f>Inputs!G112+Inputs!I112+Inputs!L112+Inputs!O112+Inputs!R112+Inputs!AA112</f>
        <v>7550</v>
      </c>
      <c r="M55" s="48">
        <v>1</v>
      </c>
      <c r="N55" s="48">
        <f t="shared" si="4"/>
        <v>9614336.1402326543</v>
      </c>
      <c r="O55" s="32">
        <f t="shared" si="5"/>
        <v>-185428.80976735055</v>
      </c>
      <c r="P55" s="41">
        <f t="shared" si="6"/>
        <v>-1.8921760951761447E-2</v>
      </c>
      <c r="Q55" s="12">
        <f t="shared" si="1"/>
        <v>1.8921760951761447E-2</v>
      </c>
      <c r="R55" s="134">
        <f t="shared" si="2"/>
        <v>34383843491.736282</v>
      </c>
      <c r="S55" s="134">
        <f t="shared" si="7"/>
        <v>-114057.1176642552</v>
      </c>
      <c r="T55" s="134">
        <f t="shared" si="8"/>
        <v>13009026089.877756</v>
      </c>
    </row>
    <row r="56" spans="1:20" x14ac:dyDescent="0.2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0"/>
        <v>15388580.119999997</v>
      </c>
      <c r="E56" s="48">
        <v>0</v>
      </c>
      <c r="F56" s="48">
        <f>Inputs!AI113</f>
        <v>2971857.54</v>
      </c>
      <c r="G56" s="48">
        <f t="shared" si="3"/>
        <v>12416722.579999998</v>
      </c>
      <c r="H56" s="162">
        <v>33.324999999999996</v>
      </c>
      <c r="I56" s="162">
        <v>50.612499999999997</v>
      </c>
      <c r="J56" s="48">
        <v>30</v>
      </c>
      <c r="K56" s="110">
        <v>0</v>
      </c>
      <c r="L56" s="48">
        <f>Inputs!G113+Inputs!I113+Inputs!L113+Inputs!O113+Inputs!R113+Inputs!AA113</f>
        <v>7557</v>
      </c>
      <c r="M56" s="48">
        <v>0</v>
      </c>
      <c r="N56" s="48">
        <f t="shared" si="4"/>
        <v>12133617.82245319</v>
      </c>
      <c r="O56" s="32">
        <f t="shared" si="5"/>
        <v>-283104.75754680857</v>
      </c>
      <c r="P56" s="41">
        <f t="shared" si="6"/>
        <v>-2.2800280486479921E-2</v>
      </c>
      <c r="Q56" s="12">
        <f t="shared" si="1"/>
        <v>2.2800280486479921E-2</v>
      </c>
      <c r="R56" s="134">
        <f t="shared" si="2"/>
        <v>80148303745.637268</v>
      </c>
      <c r="S56" s="134">
        <f t="shared" si="7"/>
        <v>-97675.947779458016</v>
      </c>
      <c r="T56" s="134">
        <f t="shared" si="8"/>
        <v>9540590774.6154099</v>
      </c>
    </row>
    <row r="57" spans="1:20" x14ac:dyDescent="0.2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0"/>
        <v>18264809.57</v>
      </c>
      <c r="E57" s="48">
        <v>0</v>
      </c>
      <c r="F57" s="48">
        <f>Inputs!AI114</f>
        <v>3182803.4800000004</v>
      </c>
      <c r="G57" s="48">
        <f t="shared" si="3"/>
        <v>15082006.09</v>
      </c>
      <c r="H57" s="162">
        <v>2.2625000000000002</v>
      </c>
      <c r="I57" s="162">
        <v>100.26249999999999</v>
      </c>
      <c r="J57" s="48">
        <v>31</v>
      </c>
      <c r="K57" s="110">
        <v>0</v>
      </c>
      <c r="L57" s="48">
        <f>Inputs!G114+Inputs!I114+Inputs!L114+Inputs!O114+Inputs!R114+Inputs!AA114</f>
        <v>7566</v>
      </c>
      <c r="M57" s="48">
        <v>0</v>
      </c>
      <c r="N57" s="48">
        <f t="shared" si="4"/>
        <v>13874998.00053815</v>
      </c>
      <c r="O57" s="32">
        <f t="shared" si="5"/>
        <v>-1207008.08946185</v>
      </c>
      <c r="P57" s="41">
        <f t="shared" si="6"/>
        <v>-8.0029677899556534E-2</v>
      </c>
      <c r="Q57" s="12">
        <f t="shared" si="1"/>
        <v>8.0029677899556534E-2</v>
      </c>
      <c r="R57" s="134">
        <f t="shared" si="2"/>
        <v>1456868528026.3452</v>
      </c>
      <c r="S57" s="134">
        <f t="shared" si="7"/>
        <v>-923903.33191504143</v>
      </c>
      <c r="T57" s="134">
        <f t="shared" si="8"/>
        <v>853597366723.71521</v>
      </c>
    </row>
    <row r="58" spans="1:20" x14ac:dyDescent="0.2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0"/>
        <v>16955555.359999999</v>
      </c>
      <c r="E58" s="48">
        <v>0</v>
      </c>
      <c r="F58" s="48">
        <f>Inputs!AI115</f>
        <v>3173531.7</v>
      </c>
      <c r="G58" s="48">
        <f t="shared" si="3"/>
        <v>13782023.66</v>
      </c>
      <c r="H58" s="162">
        <v>8.6000000000000014</v>
      </c>
      <c r="I58" s="162">
        <v>79.587499999999991</v>
      </c>
      <c r="J58" s="48">
        <v>31</v>
      </c>
      <c r="K58" s="110">
        <v>0</v>
      </c>
      <c r="L58" s="48">
        <f>Inputs!G115+Inputs!I115+Inputs!L115+Inputs!O115+Inputs!R115+Inputs!AA115</f>
        <v>7581</v>
      </c>
      <c r="M58" s="48">
        <v>0</v>
      </c>
      <c r="N58" s="48">
        <f t="shared" si="4"/>
        <v>13322752.458850259</v>
      </c>
      <c r="O58" s="32">
        <f t="shared" si="5"/>
        <v>-459271.20114974119</v>
      </c>
      <c r="P58" s="41">
        <f t="shared" si="6"/>
        <v>-3.3323930685353442E-2</v>
      </c>
      <c r="Q58" s="12">
        <f t="shared" si="1"/>
        <v>3.3323930685353442E-2</v>
      </c>
      <c r="R58" s="134">
        <f t="shared" si="2"/>
        <v>210930036205.52603</v>
      </c>
      <c r="S58" s="134">
        <f t="shared" si="7"/>
        <v>747736.88831210881</v>
      </c>
      <c r="T58" s="134">
        <f t="shared" si="8"/>
        <v>559110454142.67505</v>
      </c>
    </row>
    <row r="59" spans="1:20" x14ac:dyDescent="0.2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0"/>
        <v>14641003.019999998</v>
      </c>
      <c r="E59" s="48">
        <v>0</v>
      </c>
      <c r="F59" s="48">
        <f>Inputs!AI116</f>
        <v>3226217.4699999997</v>
      </c>
      <c r="G59" s="48">
        <f t="shared" si="3"/>
        <v>11414785.549999997</v>
      </c>
      <c r="H59" s="162">
        <v>62.674999999999983</v>
      </c>
      <c r="I59" s="162">
        <v>31.699999999999996</v>
      </c>
      <c r="J59" s="48">
        <v>30</v>
      </c>
      <c r="K59" s="110">
        <v>1</v>
      </c>
      <c r="L59" s="48">
        <f>Inputs!G116+Inputs!I116+Inputs!L116+Inputs!O116+Inputs!R116+Inputs!AA116</f>
        <v>7596</v>
      </c>
      <c r="M59" s="48">
        <v>0</v>
      </c>
      <c r="N59" s="48">
        <f t="shared" si="4"/>
        <v>11161713.883469112</v>
      </c>
      <c r="O59" s="32">
        <f t="shared" si="5"/>
        <v>-253071.6665308848</v>
      </c>
      <c r="P59" s="41">
        <f t="shared" si="6"/>
        <v>-2.2170514323055755E-2</v>
      </c>
      <c r="Q59" s="12">
        <f t="shared" si="1"/>
        <v>2.2170514323055755E-2</v>
      </c>
      <c r="R59" s="134">
        <f t="shared" si="2"/>
        <v>64045268400.71936</v>
      </c>
      <c r="S59" s="134">
        <f t="shared" si="7"/>
        <v>206199.53461885639</v>
      </c>
      <c r="T59" s="134">
        <f t="shared" si="8"/>
        <v>42518248077.032951</v>
      </c>
    </row>
    <row r="60" spans="1:20" x14ac:dyDescent="0.2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0"/>
        <v>14421285.930000003</v>
      </c>
      <c r="E60" s="48">
        <v>0</v>
      </c>
      <c r="F60" s="48">
        <f>Inputs!AI117</f>
        <v>3165104.1999999997</v>
      </c>
      <c r="G60" s="48">
        <f t="shared" si="3"/>
        <v>11256181.730000004</v>
      </c>
      <c r="H60" s="162">
        <v>229.3125</v>
      </c>
      <c r="I60" s="162">
        <v>5.1125000000000007</v>
      </c>
      <c r="J60" s="48">
        <v>31</v>
      </c>
      <c r="K60" s="110">
        <v>1</v>
      </c>
      <c r="L60" s="48">
        <f>Inputs!G117+Inputs!I117+Inputs!L117+Inputs!O117+Inputs!R117+Inputs!AA117</f>
        <v>7650</v>
      </c>
      <c r="M60" s="48">
        <v>0</v>
      </c>
      <c r="N60" s="48">
        <f t="shared" si="4"/>
        <v>11140224.541015329</v>
      </c>
      <c r="O60" s="32">
        <f t="shared" si="5"/>
        <v>-115957.18898467533</v>
      </c>
      <c r="P60" s="41">
        <f t="shared" si="6"/>
        <v>-1.0301645066339498E-2</v>
      </c>
      <c r="Q60" s="12">
        <f t="shared" si="1"/>
        <v>1.0301645066339498E-2</v>
      </c>
      <c r="R60" s="134">
        <f t="shared" si="2"/>
        <v>13446069677.227711</v>
      </c>
      <c r="S60" s="134">
        <f t="shared" si="7"/>
        <v>137114.47754620947</v>
      </c>
      <c r="T60" s="134">
        <f t="shared" si="8"/>
        <v>18800379952.769981</v>
      </c>
    </row>
    <row r="61" spans="1:20" x14ac:dyDescent="0.2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0"/>
        <v>14362812.690000001</v>
      </c>
      <c r="E61" s="48">
        <v>0</v>
      </c>
      <c r="F61" s="48">
        <f>Inputs!AI118</f>
        <v>3115749.61</v>
      </c>
      <c r="G61" s="48">
        <f t="shared" si="3"/>
        <v>11247063.080000002</v>
      </c>
      <c r="H61" s="162">
        <v>439.67500000000001</v>
      </c>
      <c r="I61" s="162">
        <v>0.05</v>
      </c>
      <c r="J61" s="48">
        <v>30</v>
      </c>
      <c r="K61" s="110">
        <v>0</v>
      </c>
      <c r="L61" s="48">
        <f>Inputs!G118+Inputs!I118+Inputs!L118+Inputs!O118+Inputs!R118+Inputs!AA118</f>
        <v>7665</v>
      </c>
      <c r="M61" s="48">
        <v>0</v>
      </c>
      <c r="N61" s="48">
        <f t="shared" si="4"/>
        <v>11551370.198462393</v>
      </c>
      <c r="O61" s="32">
        <f t="shared" si="5"/>
        <v>304307.1184623912</v>
      </c>
      <c r="P61" s="41">
        <f t="shared" si="6"/>
        <v>2.705658502116191E-2</v>
      </c>
      <c r="Q61" s="12">
        <f t="shared" si="1"/>
        <v>2.705658502116191E-2</v>
      </c>
      <c r="R61" s="134">
        <f t="shared" si="2"/>
        <v>92602822346.883789</v>
      </c>
      <c r="S61" s="134">
        <f t="shared" si="7"/>
        <v>420264.30744706653</v>
      </c>
      <c r="T61" s="134">
        <f t="shared" si="8"/>
        <v>176622088113.96246</v>
      </c>
    </row>
    <row r="62" spans="1:20" x14ac:dyDescent="0.2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0"/>
        <v>14961929.949999999</v>
      </c>
      <c r="E62" s="48">
        <v>0</v>
      </c>
      <c r="F62" s="48">
        <f>Inputs!AI119</f>
        <v>2559998.35</v>
      </c>
      <c r="G62" s="48">
        <f t="shared" si="3"/>
        <v>12401931.6</v>
      </c>
      <c r="H62" s="162">
        <v>573.38750000000005</v>
      </c>
      <c r="I62" s="162">
        <v>0</v>
      </c>
      <c r="J62" s="48">
        <v>31</v>
      </c>
      <c r="K62" s="110">
        <v>0</v>
      </c>
      <c r="L62" s="48">
        <f>Inputs!G119+Inputs!I119+Inputs!L119+Inputs!O119+Inputs!R119+Inputs!AA119</f>
        <v>7688</v>
      </c>
      <c r="M62" s="48">
        <v>0</v>
      </c>
      <c r="N62" s="48">
        <f t="shared" si="4"/>
        <v>12178119.688661043</v>
      </c>
      <c r="O62" s="32">
        <f t="shared" si="5"/>
        <v>-223811.91133895703</v>
      </c>
      <c r="P62" s="41">
        <f t="shared" si="6"/>
        <v>-1.804653650395532E-2</v>
      </c>
      <c r="Q62" s="12">
        <f t="shared" si="1"/>
        <v>1.804653650395532E-2</v>
      </c>
      <c r="R62" s="134">
        <f t="shared" si="2"/>
        <v>50091771657.197159</v>
      </c>
      <c r="S62" s="134">
        <f t="shared" si="7"/>
        <v>-528119.02980134822</v>
      </c>
      <c r="T62" s="134">
        <f t="shared" si="8"/>
        <v>278909709638.31732</v>
      </c>
    </row>
    <row r="63" spans="1:20" x14ac:dyDescent="0.2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0"/>
        <v>15423538.489999998</v>
      </c>
      <c r="E63" s="48">
        <v>0</v>
      </c>
      <c r="F63" s="48">
        <f>Inputs!AI120</f>
        <v>3196592.24</v>
      </c>
      <c r="G63" s="48">
        <f t="shared" si="3"/>
        <v>12226946.249999998</v>
      </c>
      <c r="H63" s="162">
        <v>679.58749999999998</v>
      </c>
      <c r="I63" s="162">
        <v>0</v>
      </c>
      <c r="J63" s="48">
        <v>31</v>
      </c>
      <c r="K63" s="110">
        <v>0</v>
      </c>
      <c r="L63" s="48">
        <f>Inputs!G120+Inputs!I120+Inputs!L120+Inputs!O120+Inputs!R120+Inputs!AA120</f>
        <v>7720</v>
      </c>
      <c r="M63" s="48">
        <v>0</v>
      </c>
      <c r="N63" s="48">
        <f t="shared" si="4"/>
        <v>12407619.15434736</v>
      </c>
      <c r="O63" s="32">
        <f t="shared" si="5"/>
        <v>180672.904347362</v>
      </c>
      <c r="P63" s="41">
        <f t="shared" si="6"/>
        <v>1.4776617207044811E-2</v>
      </c>
      <c r="Q63" s="12">
        <f t="shared" si="1"/>
        <v>1.4776617207044811E-2</v>
      </c>
      <c r="R63" s="134">
        <f t="shared" si="2"/>
        <v>32642698365.311016</v>
      </c>
      <c r="S63" s="134">
        <f t="shared" si="7"/>
        <v>404484.81568631902</v>
      </c>
      <c r="T63" s="134">
        <f t="shared" si="8"/>
        <v>163607966120.79547</v>
      </c>
    </row>
    <row r="64" spans="1:20" x14ac:dyDescent="0.2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0"/>
        <v>14375277.779999999</v>
      </c>
      <c r="E64" s="48">
        <v>0</v>
      </c>
      <c r="F64" s="48">
        <f>Inputs!AI121</f>
        <v>2869949.63</v>
      </c>
      <c r="G64" s="48">
        <f t="shared" si="3"/>
        <v>11505328.149999999</v>
      </c>
      <c r="H64" s="162">
        <v>599.76249999999993</v>
      </c>
      <c r="I64" s="162">
        <v>0</v>
      </c>
      <c r="J64" s="48">
        <v>28</v>
      </c>
      <c r="K64" s="110">
        <v>0</v>
      </c>
      <c r="L64" s="48">
        <f>Inputs!G121+Inputs!I121+Inputs!L121+Inputs!O121+Inputs!R121+Inputs!AA121</f>
        <v>7739</v>
      </c>
      <c r="M64" s="48">
        <v>0</v>
      </c>
      <c r="N64" s="48">
        <f t="shared" si="4"/>
        <v>11202983.329988232</v>
      </c>
      <c r="O64" s="32">
        <f t="shared" si="5"/>
        <v>-302344.82001176663</v>
      </c>
      <c r="P64" s="41">
        <f t="shared" si="6"/>
        <v>-2.6278678545276143E-2</v>
      </c>
      <c r="Q64" s="12">
        <f t="shared" si="1"/>
        <v>2.6278678545276143E-2</v>
      </c>
      <c r="R64" s="134">
        <f t="shared" si="2"/>
        <v>91412390187.947556</v>
      </c>
      <c r="S64" s="134">
        <f t="shared" si="7"/>
        <v>-483017.72435912862</v>
      </c>
      <c r="T64" s="134">
        <f t="shared" si="8"/>
        <v>233306122045.07117</v>
      </c>
    </row>
    <row r="65" spans="1:20" x14ac:dyDescent="0.2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0"/>
        <v>15036579.029999999</v>
      </c>
      <c r="E65" s="48">
        <v>0</v>
      </c>
      <c r="F65" s="48">
        <f>Inputs!AI122</f>
        <v>3393106.7</v>
      </c>
      <c r="G65" s="48">
        <f t="shared" si="3"/>
        <v>11643472.329999998</v>
      </c>
      <c r="H65" s="162">
        <v>527.26250000000005</v>
      </c>
      <c r="I65" s="162">
        <v>0</v>
      </c>
      <c r="J65" s="48">
        <v>31</v>
      </c>
      <c r="K65" s="110">
        <v>1</v>
      </c>
      <c r="L65" s="48">
        <f>Inputs!G122+Inputs!I122+Inputs!L122+Inputs!O122+Inputs!R122+Inputs!AA122</f>
        <v>7764</v>
      </c>
      <c r="M65" s="48">
        <v>0</v>
      </c>
      <c r="N65" s="48">
        <f t="shared" si="4"/>
        <v>11678628.0167669</v>
      </c>
      <c r="O65" s="32">
        <f t="shared" si="5"/>
        <v>35155.686766901985</v>
      </c>
      <c r="P65" s="41">
        <f t="shared" si="6"/>
        <v>3.0193473021206544E-3</v>
      </c>
      <c r="Q65" s="12">
        <f t="shared" si="1"/>
        <v>3.0193473021206544E-3</v>
      </c>
      <c r="R65" s="134">
        <f t="shared" si="2"/>
        <v>1235922312.0525274</v>
      </c>
      <c r="S65" s="134">
        <f t="shared" si="7"/>
        <v>337500.50677866861</v>
      </c>
      <c r="T65" s="134">
        <f t="shared" si="8"/>
        <v>113906592075.85814</v>
      </c>
    </row>
    <row r="66" spans="1:20" x14ac:dyDescent="0.2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0"/>
        <v>12453620.560000001</v>
      </c>
      <c r="E66" s="48">
        <v>0</v>
      </c>
      <c r="F66" s="48">
        <f>Inputs!AI123</f>
        <v>2336568.6500000004</v>
      </c>
      <c r="G66" s="48">
        <f t="shared" si="3"/>
        <v>10117051.91</v>
      </c>
      <c r="H66" s="162">
        <v>349.3125</v>
      </c>
      <c r="I66" s="162">
        <v>0.32500000000000001</v>
      </c>
      <c r="J66" s="48">
        <v>30</v>
      </c>
      <c r="K66" s="110">
        <v>1</v>
      </c>
      <c r="L66" s="48">
        <f>Inputs!G123+Inputs!I123+Inputs!L123+Inputs!O123+Inputs!R123+Inputs!AA123</f>
        <v>7789</v>
      </c>
      <c r="M66" s="48">
        <v>0</v>
      </c>
      <c r="N66" s="48">
        <f t="shared" si="4"/>
        <v>11064849.344847115</v>
      </c>
      <c r="O66" s="32">
        <f t="shared" si="5"/>
        <v>947797.43484711461</v>
      </c>
      <c r="P66" s="41">
        <f t="shared" si="6"/>
        <v>9.3683164154795232E-2</v>
      </c>
      <c r="Q66" s="12">
        <f t="shared" si="1"/>
        <v>9.3683164154795232E-2</v>
      </c>
      <c r="R66" s="134">
        <f t="shared" si="2"/>
        <v>898319977502.77051</v>
      </c>
      <c r="S66" s="134">
        <f t="shared" si="7"/>
        <v>912641.74808021262</v>
      </c>
      <c r="T66" s="134">
        <f t="shared" si="8"/>
        <v>832914960338.90625</v>
      </c>
    </row>
    <row r="67" spans="1:20" x14ac:dyDescent="0.2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ref="D67:D104" si="9">B67+C67</f>
        <v>13478839.190000001</v>
      </c>
      <c r="E67" s="48">
        <v>0</v>
      </c>
      <c r="F67" s="48">
        <f>Inputs!AI124</f>
        <v>2384594.4500000002</v>
      </c>
      <c r="G67" s="48">
        <f t="shared" si="3"/>
        <v>11094244.740000002</v>
      </c>
      <c r="H67" s="162">
        <v>159.125</v>
      </c>
      <c r="I67" s="162">
        <v>18.412500000000001</v>
      </c>
      <c r="J67" s="48">
        <v>31</v>
      </c>
      <c r="K67" s="110">
        <v>1</v>
      </c>
      <c r="L67" s="48">
        <f>Inputs!G124+Inputs!I124+Inputs!L124+Inputs!O124+Inputs!R124+Inputs!AA124</f>
        <v>7811</v>
      </c>
      <c r="M67" s="48">
        <v>0</v>
      </c>
      <c r="N67" s="48">
        <f t="shared" si="4"/>
        <v>11665688.35170535</v>
      </c>
      <c r="O67" s="32">
        <f t="shared" si="5"/>
        <v>571443.6117053479</v>
      </c>
      <c r="P67" s="41">
        <f t="shared" si="6"/>
        <v>5.150811299889782E-2</v>
      </c>
      <c r="Q67" s="12">
        <f t="shared" ref="Q67:Q86" si="10">ABS(P67)</f>
        <v>5.150811299889782E-2</v>
      </c>
      <c r="R67" s="134">
        <f t="shared" ref="R67:R86" si="11">O67*O67</f>
        <v>326547801358.85242</v>
      </c>
      <c r="S67" s="134">
        <f t="shared" si="7"/>
        <v>-376353.82314176671</v>
      </c>
      <c r="T67" s="134">
        <f t="shared" si="8"/>
        <v>141642200193.42422</v>
      </c>
    </row>
    <row r="68" spans="1:20" x14ac:dyDescent="0.2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9"/>
        <v>15789989.870000001</v>
      </c>
      <c r="E68" s="48">
        <v>0</v>
      </c>
      <c r="F68" s="48">
        <f>Inputs!AI125</f>
        <v>2793752.57</v>
      </c>
      <c r="G68" s="48">
        <f t="shared" ref="G68:G104" si="12">D68-E68-F68</f>
        <v>12996237.300000001</v>
      </c>
      <c r="H68" s="162">
        <v>33.324999999999996</v>
      </c>
      <c r="I68" s="162">
        <v>50.612499999999997</v>
      </c>
      <c r="J68" s="48">
        <v>30</v>
      </c>
      <c r="K68" s="110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13">$W$18+$W$19*H68+$W$20*I68+$W$21*J68+$W$22*K68+$W$23*L68+M68*$W$24</f>
        <v>12608399.715979487</v>
      </c>
      <c r="O68" s="32">
        <f t="shared" ref="O68:O86" si="14">N68-G68</f>
        <v>-387837.58402051404</v>
      </c>
      <c r="P68" s="41">
        <f t="shared" ref="P68:P86" si="15">O68/G68</f>
        <v>-2.9842297818039536E-2</v>
      </c>
      <c r="Q68" s="12">
        <f t="shared" si="10"/>
        <v>2.9842297818039536E-2</v>
      </c>
      <c r="R68" s="134">
        <f t="shared" si="11"/>
        <v>150417991578.86929</v>
      </c>
      <c r="S68" s="134">
        <f t="shared" ref="S68:S86" si="16">O68-O67</f>
        <v>-959281.19572586194</v>
      </c>
      <c r="T68" s="134">
        <f t="shared" ref="T68:T86" si="17">S68*S68</f>
        <v>920220412473.23938</v>
      </c>
    </row>
    <row r="69" spans="1:20" x14ac:dyDescent="0.2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9"/>
        <v>15898923.970000003</v>
      </c>
      <c r="E69" s="48">
        <v>0</v>
      </c>
      <c r="F69" s="48">
        <f>Inputs!AI126</f>
        <v>2235041.04</v>
      </c>
      <c r="G69" s="48">
        <f t="shared" si="12"/>
        <v>13663882.930000003</v>
      </c>
      <c r="H69" s="162">
        <v>2.2625000000000002</v>
      </c>
      <c r="I69" s="162">
        <v>100.26249999999999</v>
      </c>
      <c r="J69" s="48">
        <v>31</v>
      </c>
      <c r="K69" s="110">
        <v>0</v>
      </c>
      <c r="L69" s="48">
        <f>Inputs!G126+Inputs!I126+Inputs!L126+Inputs!O126+Inputs!R126+Inputs!AA126</f>
        <v>7883</v>
      </c>
      <c r="M69" s="48">
        <v>0</v>
      </c>
      <c r="N69" s="48">
        <f t="shared" si="13"/>
        <v>14395779.523887062</v>
      </c>
      <c r="O69" s="32">
        <f t="shared" si="14"/>
        <v>731896.59388705902</v>
      </c>
      <c r="P69" s="41">
        <f t="shared" si="15"/>
        <v>5.3564319720577319E-2</v>
      </c>
      <c r="Q69" s="12">
        <f t="shared" si="10"/>
        <v>5.3564319720577319E-2</v>
      </c>
      <c r="R69" s="134">
        <f t="shared" si="11"/>
        <v>535672624143.47858</v>
      </c>
      <c r="S69" s="134">
        <f t="shared" si="16"/>
        <v>1119734.1779075731</v>
      </c>
      <c r="T69" s="134">
        <f t="shared" si="17"/>
        <v>1253804629174.3484</v>
      </c>
    </row>
    <row r="70" spans="1:20" x14ac:dyDescent="0.2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9"/>
        <v>17996971.880000003</v>
      </c>
      <c r="E70" s="48">
        <v>0</v>
      </c>
      <c r="F70" s="48">
        <f>Inputs!AI127</f>
        <v>3029650.33</v>
      </c>
      <c r="G70" s="48">
        <f t="shared" si="12"/>
        <v>14967321.550000003</v>
      </c>
      <c r="H70" s="162">
        <v>8.6000000000000014</v>
      </c>
      <c r="I70" s="162">
        <v>79.587499999999991</v>
      </c>
      <c r="J70" s="48">
        <v>31</v>
      </c>
      <c r="K70" s="110">
        <v>0</v>
      </c>
      <c r="L70" s="48">
        <f>Inputs!G127+Inputs!I127+Inputs!L127+Inputs!O127+Inputs!R127+Inputs!AA127</f>
        <v>7901</v>
      </c>
      <c r="M70" s="48">
        <v>0</v>
      </c>
      <c r="N70" s="48">
        <f t="shared" si="13"/>
        <v>13848462.51396588</v>
      </c>
      <c r="O70" s="32">
        <f t="shared" si="14"/>
        <v>-1118859.0360341221</v>
      </c>
      <c r="P70" s="41">
        <f t="shared" si="15"/>
        <v>-7.4753457543919863E-2</v>
      </c>
      <c r="Q70" s="12">
        <f t="shared" si="10"/>
        <v>7.4753457543919863E-2</v>
      </c>
      <c r="R70" s="134">
        <f t="shared" si="11"/>
        <v>1251845542515.2051</v>
      </c>
      <c r="S70" s="134">
        <f t="shared" si="16"/>
        <v>-1850755.6299211811</v>
      </c>
      <c r="T70" s="134">
        <f t="shared" si="17"/>
        <v>3425296401684.9478</v>
      </c>
    </row>
    <row r="71" spans="1:20" x14ac:dyDescent="0.2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9"/>
        <v>14213552.020000001</v>
      </c>
      <c r="E71" s="48">
        <v>0</v>
      </c>
      <c r="F71" s="48">
        <f>Inputs!AI128</f>
        <v>2605677.4699999997</v>
      </c>
      <c r="G71" s="48">
        <f t="shared" si="12"/>
        <v>11607874.550000001</v>
      </c>
      <c r="H71" s="162">
        <v>62.674999999999983</v>
      </c>
      <c r="I71" s="162">
        <v>31.699999999999996</v>
      </c>
      <c r="J71" s="48">
        <v>30</v>
      </c>
      <c r="K71" s="110">
        <v>1</v>
      </c>
      <c r="L71" s="48">
        <f>Inputs!G128+Inputs!I128+Inputs!L128+Inputs!O128+Inputs!R128+Inputs!AA128</f>
        <v>7934</v>
      </c>
      <c r="M71" s="48">
        <v>0</v>
      </c>
      <c r="N71" s="48">
        <f t="shared" si="13"/>
        <v>11716995.129184987</v>
      </c>
      <c r="O71" s="32">
        <f t="shared" si="14"/>
        <v>109120.57918498665</v>
      </c>
      <c r="P71" s="41">
        <f t="shared" si="15"/>
        <v>9.4005649970594005E-3</v>
      </c>
      <c r="Q71" s="12">
        <f t="shared" si="10"/>
        <v>9.4005649970594005E-3</v>
      </c>
      <c r="R71" s="134">
        <f t="shared" si="11"/>
        <v>11907300801.666943</v>
      </c>
      <c r="S71" s="134">
        <f t="shared" si="16"/>
        <v>1227979.6152191088</v>
      </c>
      <c r="T71" s="134">
        <f t="shared" si="17"/>
        <v>1507933935393.6704</v>
      </c>
    </row>
    <row r="72" spans="1:20" x14ac:dyDescent="0.2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9"/>
        <v>13997119.66</v>
      </c>
      <c r="E72" s="48">
        <v>0</v>
      </c>
      <c r="F72" s="48">
        <f>Inputs!AI129</f>
        <v>2583543.65</v>
      </c>
      <c r="G72" s="48">
        <f t="shared" si="12"/>
        <v>11413576.01</v>
      </c>
      <c r="H72" s="162">
        <v>229.3125</v>
      </c>
      <c r="I72" s="162">
        <v>5.1125000000000007</v>
      </c>
      <c r="J72" s="48">
        <v>31</v>
      </c>
      <c r="K72" s="110">
        <v>1</v>
      </c>
      <c r="L72" s="48">
        <f>Inputs!G129+Inputs!I129+Inputs!L129+Inputs!O129+Inputs!R129+Inputs!AA129</f>
        <v>7977</v>
      </c>
      <c r="M72" s="48">
        <v>0</v>
      </c>
      <c r="N72" s="48">
        <f t="shared" si="13"/>
        <v>11677434.503586605</v>
      </c>
      <c r="O72" s="32">
        <f t="shared" si="14"/>
        <v>263858.49358660541</v>
      </c>
      <c r="P72" s="41">
        <f t="shared" si="15"/>
        <v>2.3117951232411813E-2</v>
      </c>
      <c r="Q72" s="12">
        <f t="shared" si="10"/>
        <v>2.3117951232411813E-2</v>
      </c>
      <c r="R72" s="134">
        <f t="shared" si="11"/>
        <v>69621304637.792694</v>
      </c>
      <c r="S72" s="134">
        <f t="shared" si="16"/>
        <v>154737.91440161876</v>
      </c>
      <c r="T72" s="134">
        <f t="shared" si="17"/>
        <v>23943822153.362694</v>
      </c>
    </row>
    <row r="73" spans="1:20" x14ac:dyDescent="0.2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9"/>
        <v>14613656.860000001</v>
      </c>
      <c r="E73" s="48">
        <v>0</v>
      </c>
      <c r="F73" s="48">
        <f>Inputs!AI130</f>
        <v>2752624.6</v>
      </c>
      <c r="G73" s="48">
        <f t="shared" si="12"/>
        <v>11861032.260000002</v>
      </c>
      <c r="H73" s="162">
        <v>439.67500000000001</v>
      </c>
      <c r="I73" s="162">
        <v>0.05</v>
      </c>
      <c r="J73" s="48">
        <v>30</v>
      </c>
      <c r="K73" s="110">
        <v>0</v>
      </c>
      <c r="L73" s="48">
        <f>Inputs!G130+Inputs!I130+Inputs!L130+Inputs!O130+Inputs!R130+Inputs!AA130</f>
        <v>8016</v>
      </c>
      <c r="M73" s="48">
        <v>0</v>
      </c>
      <c r="N73" s="48">
        <f t="shared" si="13"/>
        <v>12128008.415167341</v>
      </c>
      <c r="O73" s="32">
        <f t="shared" si="14"/>
        <v>266976.15516733937</v>
      </c>
      <c r="P73" s="41">
        <f t="shared" si="15"/>
        <v>2.2508677939245342E-2</v>
      </c>
      <c r="Q73" s="12">
        <f t="shared" si="10"/>
        <v>2.2508677939245342E-2</v>
      </c>
      <c r="R73" s="134">
        <f t="shared" si="11"/>
        <v>71276267427.935272</v>
      </c>
      <c r="S73" s="134">
        <f t="shared" si="16"/>
        <v>3117.6615807339549</v>
      </c>
      <c r="T73" s="134">
        <f t="shared" si="17"/>
        <v>9719813.7319845427</v>
      </c>
    </row>
    <row r="74" spans="1:20" x14ac:dyDescent="0.2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9"/>
        <v>14785799.459999997</v>
      </c>
      <c r="E74" s="48">
        <v>0</v>
      </c>
      <c r="F74" s="48">
        <f>Inputs!AI131</f>
        <v>2539364.25</v>
      </c>
      <c r="G74" s="48">
        <f t="shared" si="12"/>
        <v>12246435.209999997</v>
      </c>
      <c r="H74" s="162">
        <v>573.38750000000005</v>
      </c>
      <c r="I74" s="162">
        <v>0</v>
      </c>
      <c r="J74" s="48">
        <v>31</v>
      </c>
      <c r="K74" s="110">
        <v>0</v>
      </c>
      <c r="L74" s="48">
        <f>Inputs!G131+Inputs!I131+Inputs!L131+Inputs!O131+Inputs!R131+Inputs!AA131</f>
        <v>8043</v>
      </c>
      <c r="M74" s="48">
        <v>0</v>
      </c>
      <c r="N74" s="48">
        <f t="shared" si="13"/>
        <v>12761329.281054934</v>
      </c>
      <c r="O74" s="32">
        <f t="shared" si="14"/>
        <v>514894.07105493732</v>
      </c>
      <c r="P74" s="41">
        <f t="shared" si="15"/>
        <v>4.2044404124597284E-2</v>
      </c>
      <c r="Q74" s="12">
        <f t="shared" si="10"/>
        <v>4.2044404124597284E-2</v>
      </c>
      <c r="R74" s="134">
        <f t="shared" si="11"/>
        <v>265115904407.52682</v>
      </c>
      <c r="S74" s="134">
        <f t="shared" si="16"/>
        <v>247917.91588759795</v>
      </c>
      <c r="T74" s="134">
        <f t="shared" si="17"/>
        <v>61463293018.050095</v>
      </c>
    </row>
    <row r="75" spans="1:20" x14ac:dyDescent="0.2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9"/>
        <v>16451556.24</v>
      </c>
      <c r="E75" s="48">
        <v>0</v>
      </c>
      <c r="F75" s="48">
        <f>Inputs!AI132</f>
        <v>2934568.9799999995</v>
      </c>
      <c r="G75" s="48">
        <f t="shared" si="12"/>
        <v>13516987.260000002</v>
      </c>
      <c r="H75" s="162">
        <v>679.58749999999998</v>
      </c>
      <c r="I75" s="162">
        <v>0</v>
      </c>
      <c r="J75" s="48">
        <v>31</v>
      </c>
      <c r="K75" s="110">
        <v>0</v>
      </c>
      <c r="L75" s="48">
        <f>Inputs!G132+Inputs!I132+Inputs!L132+Inputs!O132+Inputs!R132+Inputs!AA132</f>
        <v>8062</v>
      </c>
      <c r="M75" s="48">
        <v>0</v>
      </c>
      <c r="N75" s="48">
        <f t="shared" si="13"/>
        <v>12969471.775752181</v>
      </c>
      <c r="O75" s="32">
        <f t="shared" si="14"/>
        <v>-547515.48424782045</v>
      </c>
      <c r="P75" s="41">
        <f t="shared" si="15"/>
        <v>-4.0505733542270154E-2</v>
      </c>
      <c r="Q75" s="12">
        <f t="shared" si="10"/>
        <v>4.0505733542270154E-2</v>
      </c>
      <c r="R75" s="134">
        <f t="shared" si="11"/>
        <v>299773205491.12531</v>
      </c>
      <c r="S75" s="134">
        <f t="shared" si="16"/>
        <v>-1062409.5553027578</v>
      </c>
      <c r="T75" s="134">
        <f t="shared" si="17"/>
        <v>1128714063198.6035</v>
      </c>
    </row>
    <row r="76" spans="1:20" x14ac:dyDescent="0.2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9"/>
        <v>14787466.58</v>
      </c>
      <c r="E76" s="48">
        <v>0</v>
      </c>
      <c r="F76" s="48">
        <f>Inputs!AI133</f>
        <v>2674491.9299999997</v>
      </c>
      <c r="G76" s="48">
        <f t="shared" si="12"/>
        <v>12112974.65</v>
      </c>
      <c r="H76" s="162">
        <v>599.76249999999993</v>
      </c>
      <c r="I76" s="162">
        <v>0</v>
      </c>
      <c r="J76" s="48">
        <v>28</v>
      </c>
      <c r="K76" s="110">
        <v>0</v>
      </c>
      <c r="L76" s="48">
        <f>Inputs!G133+Inputs!I133+Inputs!L133+Inputs!O133+Inputs!R133+Inputs!AA133</f>
        <v>8086</v>
      </c>
      <c r="M76" s="48">
        <v>0</v>
      </c>
      <c r="N76" s="48">
        <f t="shared" si="13"/>
        <v>11773050.171004234</v>
      </c>
      <c r="O76" s="32">
        <f t="shared" si="14"/>
        <v>-339924.47899576649</v>
      </c>
      <c r="P76" s="41">
        <f t="shared" si="15"/>
        <v>-2.8062840781703978E-2</v>
      </c>
      <c r="Q76" s="12">
        <f t="shared" si="10"/>
        <v>2.8062840781703978E-2</v>
      </c>
      <c r="R76" s="134">
        <f t="shared" si="11"/>
        <v>115548651420.54329</v>
      </c>
      <c r="S76" s="134">
        <f t="shared" si="16"/>
        <v>207591.00525205396</v>
      </c>
      <c r="T76" s="134">
        <f t="shared" si="17"/>
        <v>43094025461.558296</v>
      </c>
    </row>
    <row r="77" spans="1:20" x14ac:dyDescent="0.2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9"/>
        <v>15903185.579999994</v>
      </c>
      <c r="E77" s="48">
        <v>0</v>
      </c>
      <c r="F77" s="48">
        <f>Inputs!AI134</f>
        <v>2908552.2800000003</v>
      </c>
      <c r="G77" s="48">
        <f t="shared" si="12"/>
        <v>12994633.299999993</v>
      </c>
      <c r="H77" s="162">
        <v>527.26250000000005</v>
      </c>
      <c r="I77" s="162">
        <v>0</v>
      </c>
      <c r="J77" s="48">
        <v>31</v>
      </c>
      <c r="K77" s="110">
        <v>1</v>
      </c>
      <c r="L77" s="48">
        <f>Inputs!G134+Inputs!I134+Inputs!L134+Inputs!O134+Inputs!R134+Inputs!AA134</f>
        <v>8093</v>
      </c>
      <c r="M77" s="48">
        <v>0</v>
      </c>
      <c r="N77" s="48">
        <f t="shared" si="13"/>
        <v>12219123.667182649</v>
      </c>
      <c r="O77" s="32">
        <f t="shared" si="14"/>
        <v>-775509.63281734474</v>
      </c>
      <c r="P77" s="41">
        <f t="shared" si="15"/>
        <v>-5.9679224100717423E-2</v>
      </c>
      <c r="Q77" s="12">
        <f t="shared" si="10"/>
        <v>5.9679224100717423E-2</v>
      </c>
      <c r="R77" s="134">
        <f t="shared" si="11"/>
        <v>601415190592.49292</v>
      </c>
      <c r="S77" s="134">
        <f t="shared" si="16"/>
        <v>-435585.15382157825</v>
      </c>
      <c r="T77" s="134">
        <f t="shared" si="17"/>
        <v>189734426229.76797</v>
      </c>
    </row>
    <row r="78" spans="1:20" x14ac:dyDescent="0.2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9"/>
        <v>13584384.76</v>
      </c>
      <c r="E78" s="48">
        <v>0</v>
      </c>
      <c r="F78" s="48">
        <f>Inputs!AI135</f>
        <v>2339369.9700000002</v>
      </c>
      <c r="G78" s="48">
        <f t="shared" si="12"/>
        <v>11245014.789999999</v>
      </c>
      <c r="H78" s="162">
        <v>349.3125</v>
      </c>
      <c r="I78" s="162">
        <v>0.32500000000000001</v>
      </c>
      <c r="J78" s="48">
        <v>30</v>
      </c>
      <c r="K78" s="110">
        <v>1</v>
      </c>
      <c r="L78" s="48">
        <f>Inputs!G135+Inputs!I135+Inputs!L135+Inputs!O135+Inputs!R135+Inputs!AA135</f>
        <v>8106</v>
      </c>
      <c r="M78" s="48">
        <v>0</v>
      </c>
      <c r="N78" s="48">
        <f t="shared" si="13"/>
        <v>11585630.868196027</v>
      </c>
      <c r="O78" s="32">
        <f t="shared" si="14"/>
        <v>340616.07819602825</v>
      </c>
      <c r="P78" s="41">
        <f t="shared" si="15"/>
        <v>3.0290407309995923E-2</v>
      </c>
      <c r="Q78" s="12">
        <f t="shared" si="10"/>
        <v>3.0290407309995923E-2</v>
      </c>
      <c r="R78" s="134">
        <f t="shared" si="11"/>
        <v>116019312725.64282</v>
      </c>
      <c r="S78" s="134">
        <f t="shared" si="16"/>
        <v>1116125.711013373</v>
      </c>
      <c r="T78" s="134">
        <f t="shared" si="17"/>
        <v>1245736602785.1074</v>
      </c>
    </row>
    <row r="79" spans="1:20" x14ac:dyDescent="0.2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9"/>
        <v>14538731.920000006</v>
      </c>
      <c r="E79" s="48">
        <v>0</v>
      </c>
      <c r="F79" s="48">
        <f>Inputs!AI136</f>
        <v>2339920.3899999997</v>
      </c>
      <c r="G79" s="48">
        <f t="shared" si="12"/>
        <v>12198811.530000005</v>
      </c>
      <c r="H79" s="162">
        <v>159.125</v>
      </c>
      <c r="I79" s="162">
        <v>18.412500000000001</v>
      </c>
      <c r="J79" s="48">
        <v>31</v>
      </c>
      <c r="K79" s="110">
        <v>1</v>
      </c>
      <c r="L79" s="48">
        <f>Inputs!G136+Inputs!I136+Inputs!L136+Inputs!O136+Inputs!R136+Inputs!AA136</f>
        <v>8119</v>
      </c>
      <c r="M79" s="48">
        <v>0</v>
      </c>
      <c r="N79" s="48">
        <f t="shared" si="13"/>
        <v>12171684.279754136</v>
      </c>
      <c r="O79" s="32">
        <f t="shared" si="14"/>
        <v>-27127.25024586916</v>
      </c>
      <c r="P79" s="41">
        <f t="shared" si="15"/>
        <v>-2.2237617311453902E-3</v>
      </c>
      <c r="Q79" s="12">
        <f t="shared" si="10"/>
        <v>2.2237617311453902E-3</v>
      </c>
      <c r="R79" s="134">
        <f t="shared" si="11"/>
        <v>735887705.90200841</v>
      </c>
      <c r="S79" s="134">
        <f t="shared" si="16"/>
        <v>-367743.32844189741</v>
      </c>
      <c r="T79" s="134">
        <f t="shared" si="17"/>
        <v>135235155613.52524</v>
      </c>
    </row>
    <row r="80" spans="1:20" x14ac:dyDescent="0.2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9"/>
        <v>15824994.650000002</v>
      </c>
      <c r="E80" s="48">
        <v>0</v>
      </c>
      <c r="F80" s="48">
        <f>Inputs!AI137</f>
        <v>2565190.25</v>
      </c>
      <c r="G80" s="48">
        <f t="shared" si="12"/>
        <v>13259804.400000002</v>
      </c>
      <c r="H80" s="162">
        <v>33.324999999999996</v>
      </c>
      <c r="I80" s="162">
        <v>50.612499999999997</v>
      </c>
      <c r="J80" s="48">
        <v>30</v>
      </c>
      <c r="K80" s="110">
        <v>0</v>
      </c>
      <c r="L80" s="48">
        <f>Inputs!G137+Inputs!I137+Inputs!L137+Inputs!O137+Inputs!R137+Inputs!AA137</f>
        <v>8166</v>
      </c>
      <c r="M80" s="48">
        <v>0</v>
      </c>
      <c r="N80" s="48">
        <f t="shared" si="13"/>
        <v>13134109.771095108</v>
      </c>
      <c r="O80" s="32">
        <f t="shared" si="14"/>
        <v>-125694.62890489399</v>
      </c>
      <c r="P80" s="41">
        <f t="shared" si="15"/>
        <v>-9.4793727805588118E-3</v>
      </c>
      <c r="Q80" s="12">
        <f t="shared" si="10"/>
        <v>9.4793727805588118E-3</v>
      </c>
      <c r="R80" s="134">
        <f t="shared" si="11"/>
        <v>15799139735.539013</v>
      </c>
      <c r="S80" s="134">
        <f t="shared" si="16"/>
        <v>-98567.378659024835</v>
      </c>
      <c r="T80" s="134">
        <f t="shared" si="17"/>
        <v>9715528135.7115841</v>
      </c>
    </row>
    <row r="81" spans="1:20" x14ac:dyDescent="0.2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9"/>
        <v>17241588.73</v>
      </c>
      <c r="E81" s="48">
        <v>0</v>
      </c>
      <c r="F81" s="48">
        <f>Inputs!AI138</f>
        <v>2522388.0499999998</v>
      </c>
      <c r="G81" s="48">
        <f t="shared" si="12"/>
        <v>14719200.68</v>
      </c>
      <c r="H81" s="162">
        <v>2.2625000000000002</v>
      </c>
      <c r="I81" s="162">
        <v>100.26249999999999</v>
      </c>
      <c r="J81" s="48">
        <v>31</v>
      </c>
      <c r="K81" s="110">
        <v>0</v>
      </c>
      <c r="L81" s="48">
        <f>Inputs!G138+Inputs!I138+Inputs!L138+Inputs!O138+Inputs!R138+Inputs!AA138</f>
        <v>8192</v>
      </c>
      <c r="M81" s="48">
        <v>0</v>
      </c>
      <c r="N81" s="48">
        <f t="shared" si="13"/>
        <v>14903418.295858085</v>
      </c>
      <c r="O81" s="32">
        <f t="shared" si="14"/>
        <v>184217.61585808545</v>
      </c>
      <c r="P81" s="41">
        <f t="shared" si="15"/>
        <v>1.2515463296073864E-2</v>
      </c>
      <c r="Q81" s="12">
        <f t="shared" si="10"/>
        <v>1.2515463296073864E-2</v>
      </c>
      <c r="R81" s="134">
        <f t="shared" si="11"/>
        <v>33936129992.437138</v>
      </c>
      <c r="S81" s="134">
        <f t="shared" si="16"/>
        <v>309912.24476297945</v>
      </c>
      <c r="T81" s="134">
        <f t="shared" si="17"/>
        <v>96045599454.028885</v>
      </c>
    </row>
    <row r="82" spans="1:20" x14ac:dyDescent="0.2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9"/>
        <v>17963610.170000002</v>
      </c>
      <c r="E82" s="48">
        <v>0</v>
      </c>
      <c r="F82" s="48">
        <f>Inputs!AI139</f>
        <v>2960784.4699999997</v>
      </c>
      <c r="G82" s="48">
        <f t="shared" si="12"/>
        <v>15002825.700000003</v>
      </c>
      <c r="H82" s="162">
        <v>8.6000000000000014</v>
      </c>
      <c r="I82" s="162">
        <v>79.587499999999991</v>
      </c>
      <c r="J82" s="48">
        <v>31</v>
      </c>
      <c r="K82" s="110">
        <v>0</v>
      </c>
      <c r="L82" s="48">
        <f>Inputs!G139+Inputs!I139+Inputs!L139+Inputs!O139+Inputs!R139+Inputs!AA139</f>
        <v>8221</v>
      </c>
      <c r="M82" s="48">
        <v>0</v>
      </c>
      <c r="N82" s="48">
        <f t="shared" si="13"/>
        <v>14374172.569081502</v>
      </c>
      <c r="O82" s="32">
        <f t="shared" si="14"/>
        <v>-628653.13091850094</v>
      </c>
      <c r="P82" s="41">
        <f t="shared" si="15"/>
        <v>-4.1902315169768375E-2</v>
      </c>
      <c r="Q82" s="12">
        <f t="shared" si="10"/>
        <v>4.1902315169768375E-2</v>
      </c>
      <c r="R82" s="134">
        <f t="shared" si="11"/>
        <v>395204759013.63391</v>
      </c>
      <c r="S82" s="134">
        <f t="shared" si="16"/>
        <v>-812870.7467765864</v>
      </c>
      <c r="T82" s="134">
        <f t="shared" si="17"/>
        <v>660758850965.12524</v>
      </c>
    </row>
    <row r="83" spans="1:20" x14ac:dyDescent="0.2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9"/>
        <v>15002641.299999997</v>
      </c>
      <c r="E83" s="48">
        <v>0</v>
      </c>
      <c r="F83" s="48">
        <f>Inputs!AI140</f>
        <v>2469973.7000000002</v>
      </c>
      <c r="G83" s="48">
        <f t="shared" si="12"/>
        <v>12532667.599999998</v>
      </c>
      <c r="H83" s="162">
        <v>62.674999999999983</v>
      </c>
      <c r="I83" s="162">
        <v>31.699999999999996</v>
      </c>
      <c r="J83" s="48">
        <v>30</v>
      </c>
      <c r="K83" s="110">
        <v>1</v>
      </c>
      <c r="L83" s="48">
        <f>Inputs!G140+Inputs!I140+Inputs!L140+Inputs!O140+Inputs!R140+Inputs!AA140</f>
        <v>8244</v>
      </c>
      <c r="M83" s="48">
        <v>0</v>
      </c>
      <c r="N83" s="48">
        <f t="shared" si="13"/>
        <v>12226276.745078247</v>
      </c>
      <c r="O83" s="32">
        <f t="shared" si="14"/>
        <v>-306390.85492175072</v>
      </c>
      <c r="P83" s="41">
        <f t="shared" si="15"/>
        <v>-2.444737742200637E-2</v>
      </c>
      <c r="Q83" s="12">
        <f t="shared" si="10"/>
        <v>2.444737742200637E-2</v>
      </c>
      <c r="R83" s="134">
        <f t="shared" si="11"/>
        <v>93875355979.681305</v>
      </c>
      <c r="S83" s="134">
        <f t="shared" si="16"/>
        <v>322262.27599675022</v>
      </c>
      <c r="T83" s="134">
        <f t="shared" si="17"/>
        <v>103852974530.60561</v>
      </c>
    </row>
    <row r="84" spans="1:20" x14ac:dyDescent="0.2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9"/>
        <v>14113176.860000001</v>
      </c>
      <c r="E84" s="48">
        <v>0</v>
      </c>
      <c r="F84" s="48">
        <f>Inputs!AI141</f>
        <v>2345996.61</v>
      </c>
      <c r="G84" s="48">
        <f t="shared" si="12"/>
        <v>11767180.250000002</v>
      </c>
      <c r="H84" s="162">
        <v>229.3125</v>
      </c>
      <c r="I84" s="162">
        <v>5.1125000000000007</v>
      </c>
      <c r="J84" s="48">
        <v>31</v>
      </c>
      <c r="K84" s="110">
        <v>1</v>
      </c>
      <c r="L84" s="48">
        <f>Inputs!G141+Inputs!I141+Inputs!L141+Inputs!O141+Inputs!R141+Inputs!AA141</f>
        <v>8288</v>
      </c>
      <c r="M84" s="48">
        <v>0</v>
      </c>
      <c r="N84" s="48">
        <f t="shared" si="13"/>
        <v>12188358.9634021</v>
      </c>
      <c r="O84" s="32">
        <f t="shared" si="14"/>
        <v>421178.71340209804</v>
      </c>
      <c r="P84" s="41">
        <f t="shared" si="15"/>
        <v>3.5792662681622303E-2</v>
      </c>
      <c r="Q84" s="12">
        <f t="shared" si="10"/>
        <v>3.5792662681622303E-2</v>
      </c>
      <c r="R84" s="134">
        <f t="shared" si="11"/>
        <v>177391508623.04663</v>
      </c>
      <c r="S84" s="134">
        <f t="shared" si="16"/>
        <v>727569.56832384877</v>
      </c>
      <c r="T84" s="134">
        <f t="shared" si="17"/>
        <v>529357476750.95166</v>
      </c>
    </row>
    <row r="85" spans="1:20" x14ac:dyDescent="0.2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9"/>
        <v>14635247.929999998</v>
      </c>
      <c r="E85" s="48">
        <v>0</v>
      </c>
      <c r="F85" s="48">
        <f>Inputs!AI142</f>
        <v>2611589.88</v>
      </c>
      <c r="G85" s="48">
        <f t="shared" si="12"/>
        <v>12023658.049999997</v>
      </c>
      <c r="H85" s="162">
        <v>439.67500000000001</v>
      </c>
      <c r="I85" s="162">
        <v>0.05</v>
      </c>
      <c r="J85" s="48">
        <v>30</v>
      </c>
      <c r="K85" s="110">
        <v>0</v>
      </c>
      <c r="L85" s="48">
        <f>Inputs!G142+Inputs!I142+Inputs!L142+Inputs!O142+Inputs!R142+Inputs!AA142</f>
        <v>8301</v>
      </c>
      <c r="M85" s="48">
        <v>0</v>
      </c>
      <c r="N85" s="48">
        <f t="shared" si="13"/>
        <v>12596218.933004692</v>
      </c>
      <c r="O85" s="32">
        <f t="shared" si="14"/>
        <v>572560.88300469518</v>
      </c>
      <c r="P85" s="41">
        <f t="shared" si="15"/>
        <v>4.7619524825449885E-2</v>
      </c>
      <c r="Q85" s="12">
        <f t="shared" si="10"/>
        <v>4.7619524825449885E-2</v>
      </c>
      <c r="R85" s="134">
        <f t="shared" si="11"/>
        <v>327825964747.11621</v>
      </c>
      <c r="S85" s="134">
        <f t="shared" si="16"/>
        <v>151382.16960259713</v>
      </c>
      <c r="T85" s="134">
        <f t="shared" si="17"/>
        <v>22916561273.589481</v>
      </c>
    </row>
    <row r="86" spans="1:20" x14ac:dyDescent="0.2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9"/>
        <v>15098170.840000004</v>
      </c>
      <c r="E86" s="48">
        <v>0</v>
      </c>
      <c r="F86" s="48">
        <f>Inputs!AI143</f>
        <v>2244485.73</v>
      </c>
      <c r="G86" s="48">
        <f t="shared" si="12"/>
        <v>12853685.110000003</v>
      </c>
      <c r="H86" s="162">
        <v>573.38750000000005</v>
      </c>
      <c r="I86" s="162">
        <v>0</v>
      </c>
      <c r="J86" s="48">
        <v>31</v>
      </c>
      <c r="K86" s="110">
        <v>0</v>
      </c>
      <c r="L86" s="48">
        <f>Inputs!G143+Inputs!I143+Inputs!L143+Inputs!O143+Inputs!R143+Inputs!AA143</f>
        <v>8315</v>
      </c>
      <c r="M86" s="48">
        <v>0</v>
      </c>
      <c r="N86" s="48">
        <f t="shared" si="13"/>
        <v>13208182.827903213</v>
      </c>
      <c r="O86" s="32">
        <f t="shared" si="14"/>
        <v>354497.71790320985</v>
      </c>
      <c r="P86" s="41">
        <f t="shared" si="15"/>
        <v>2.757946183288831E-2</v>
      </c>
      <c r="Q86" s="12">
        <f t="shared" si="10"/>
        <v>2.757946183288831E-2</v>
      </c>
      <c r="R86" s="134">
        <f t="shared" si="11"/>
        <v>125668631998.58376</v>
      </c>
      <c r="S86" s="134">
        <f t="shared" si="16"/>
        <v>-218063.16510148533</v>
      </c>
      <c r="T86" s="134">
        <f t="shared" si="17"/>
        <v>47551543974.077652</v>
      </c>
    </row>
    <row r="87" spans="1:20" x14ac:dyDescent="0.2">
      <c r="A87" s="47">
        <v>44957</v>
      </c>
      <c r="B87" s="48">
        <f>Inputs!D144</f>
        <v>15764179.122748416</v>
      </c>
      <c r="C87" s="48">
        <f>Inputs!E144</f>
        <v>27611.989999999998</v>
      </c>
      <c r="D87" s="48">
        <f t="shared" si="9"/>
        <v>15791791.112748416</v>
      </c>
      <c r="E87" s="48">
        <v>0</v>
      </c>
      <c r="F87" s="48">
        <f>Inputs!AI144</f>
        <v>2662038.7200000002</v>
      </c>
      <c r="G87" s="48">
        <f t="shared" si="12"/>
        <v>13129752.392748415</v>
      </c>
      <c r="H87" s="162">
        <v>679.58749999999998</v>
      </c>
      <c r="I87" s="162">
        <v>0</v>
      </c>
      <c r="J87" s="93">
        <v>31</v>
      </c>
      <c r="K87" s="111">
        <v>0</v>
      </c>
      <c r="L87" s="48">
        <f>'Rate Class Customer Model'!Q12</f>
        <v>8322.054935186803</v>
      </c>
      <c r="M87" s="48">
        <v>0</v>
      </c>
      <c r="N87" s="48">
        <f t="shared" si="13"/>
        <v>13396701.44547138</v>
      </c>
      <c r="O87" s="32"/>
      <c r="Q87" s="5">
        <f>AVERAGE(Q3:Q86)</f>
        <v>3.4040907338051068E-2</v>
      </c>
      <c r="R87" s="134">
        <f>SUM(R3:R86)</f>
        <v>20995517309064.117</v>
      </c>
      <c r="S87" s="134"/>
      <c r="T87" s="134">
        <f>SUM(T4:T86)</f>
        <v>30613182505255.598</v>
      </c>
    </row>
    <row r="88" spans="1:20" x14ac:dyDescent="0.2">
      <c r="A88" s="47">
        <v>44985</v>
      </c>
      <c r="B88" s="48">
        <f>Inputs!D145</f>
        <v>14136641.043564996</v>
      </c>
      <c r="C88" s="48">
        <f>Inputs!E145</f>
        <v>64932.92</v>
      </c>
      <c r="D88" s="48">
        <f t="shared" si="9"/>
        <v>14201573.963564996</v>
      </c>
      <c r="E88" s="48">
        <v>0</v>
      </c>
      <c r="F88" s="48">
        <f>Inputs!AI145</f>
        <v>2424443.54</v>
      </c>
      <c r="G88" s="48">
        <f t="shared" si="12"/>
        <v>11777130.423564997</v>
      </c>
      <c r="H88" s="162">
        <v>599.76249999999993</v>
      </c>
      <c r="I88" s="162">
        <v>0</v>
      </c>
      <c r="J88" s="93">
        <v>28</v>
      </c>
      <c r="K88" s="111">
        <v>0</v>
      </c>
      <c r="L88" s="48">
        <f>'Rate Class Customer Model'!Q13</f>
        <v>8329.1158561956745</v>
      </c>
      <c r="M88" s="48">
        <v>0</v>
      </c>
      <c r="N88" s="48">
        <f t="shared" si="13"/>
        <v>12172451.577754576</v>
      </c>
      <c r="O88" s="32"/>
      <c r="R88" s="134"/>
      <c r="S88" s="134"/>
      <c r="T88" s="134"/>
    </row>
    <row r="89" spans="1:20" x14ac:dyDescent="0.2">
      <c r="A89" s="47">
        <v>45016</v>
      </c>
      <c r="B89" s="48">
        <f>Inputs!D146</f>
        <v>15486309.284900974</v>
      </c>
      <c r="C89" s="48">
        <f>Inputs!E146</f>
        <v>96594.64</v>
      </c>
      <c r="D89" s="48">
        <f t="shared" si="9"/>
        <v>15582903.924900975</v>
      </c>
      <c r="E89" s="48">
        <v>0</v>
      </c>
      <c r="F89" s="48">
        <f>Inputs!AI146</f>
        <v>2847086.92</v>
      </c>
      <c r="G89" s="48">
        <f t="shared" si="12"/>
        <v>12735817.004900975</v>
      </c>
      <c r="H89" s="162">
        <v>527.26250000000005</v>
      </c>
      <c r="I89" s="162">
        <v>0</v>
      </c>
      <c r="J89" s="93">
        <v>31</v>
      </c>
      <c r="K89" s="111">
        <v>1</v>
      </c>
      <c r="L89" s="48">
        <f>'Rate Class Customer Model'!Q14</f>
        <v>8336.1827681053364</v>
      </c>
      <c r="M89" s="48">
        <v>0</v>
      </c>
      <c r="N89" s="48">
        <f t="shared" si="13"/>
        <v>12618634.999757104</v>
      </c>
      <c r="O89" s="32"/>
      <c r="R89" s="134"/>
      <c r="S89" s="134"/>
      <c r="T89" s="134"/>
    </row>
    <row r="90" spans="1:20" x14ac:dyDescent="0.2">
      <c r="A90" s="47">
        <v>45046</v>
      </c>
      <c r="B90" s="48">
        <f>Inputs!D147</f>
        <v>13612691.13400103</v>
      </c>
      <c r="C90" s="48">
        <f>Inputs!E147</f>
        <v>169996.45</v>
      </c>
      <c r="D90" s="48">
        <f t="shared" si="9"/>
        <v>13782687.584001029</v>
      </c>
      <c r="E90" s="48">
        <v>0</v>
      </c>
      <c r="F90" s="48">
        <f>Inputs!AI147</f>
        <v>2352437.29</v>
      </c>
      <c r="G90" s="48">
        <f t="shared" si="12"/>
        <v>11430250.294001028</v>
      </c>
      <c r="H90" s="162">
        <v>349.3125</v>
      </c>
      <c r="I90" s="162">
        <v>0.32500000000000001</v>
      </c>
      <c r="J90" s="93">
        <v>30</v>
      </c>
      <c r="K90" s="111">
        <v>1</v>
      </c>
      <c r="L90" s="48">
        <f>'Rate Class Customer Model'!Q15</f>
        <v>8343.255675998822</v>
      </c>
      <c r="M90" s="48">
        <v>0</v>
      </c>
      <c r="N90" s="48">
        <f t="shared" si="13"/>
        <v>11975404.913526762</v>
      </c>
      <c r="O90" s="32"/>
      <c r="R90" s="134"/>
      <c r="S90" s="134"/>
      <c r="T90" s="134"/>
    </row>
    <row r="91" spans="1:20" x14ac:dyDescent="0.2">
      <c r="A91" s="47">
        <v>45077</v>
      </c>
      <c r="B91" s="48">
        <f>Inputs!D148</f>
        <v>14486939.494704532</v>
      </c>
      <c r="C91" s="48">
        <f>Inputs!E148</f>
        <v>244919.24000000002</v>
      </c>
      <c r="D91" s="48">
        <f t="shared" si="9"/>
        <v>14731858.734704532</v>
      </c>
      <c r="E91" s="48">
        <v>0</v>
      </c>
      <c r="F91" s="48">
        <f>Inputs!AI148</f>
        <v>2446893.79</v>
      </c>
      <c r="G91" s="48">
        <f t="shared" si="12"/>
        <v>12284964.944704533</v>
      </c>
      <c r="H91" s="162">
        <v>159.125</v>
      </c>
      <c r="I91" s="162">
        <v>18.412500000000001</v>
      </c>
      <c r="J91" s="93">
        <v>31</v>
      </c>
      <c r="K91" s="111">
        <v>1</v>
      </c>
      <c r="L91" s="48">
        <f>'Rate Class Customer Model'!Q16</f>
        <v>8350.334584963477</v>
      </c>
      <c r="M91" s="48">
        <v>0</v>
      </c>
      <c r="N91" s="48">
        <f t="shared" si="13"/>
        <v>12551730.896664446</v>
      </c>
      <c r="O91" s="32"/>
      <c r="R91" s="134"/>
      <c r="S91" s="134"/>
      <c r="T91" s="134"/>
    </row>
    <row r="92" spans="1:20" x14ac:dyDescent="0.2">
      <c r="A92" s="47">
        <v>45107</v>
      </c>
      <c r="B92" s="48">
        <f>Inputs!D149</f>
        <v>15530585.732628452</v>
      </c>
      <c r="C92" s="48">
        <f>Inputs!E149</f>
        <v>213886.78000000003</v>
      </c>
      <c r="D92" s="48">
        <f t="shared" si="9"/>
        <v>15744472.512628451</v>
      </c>
      <c r="E92" s="48">
        <v>0</v>
      </c>
      <c r="F92" s="48">
        <f>Inputs!AI149</f>
        <v>2555143.6599999997</v>
      </c>
      <c r="G92" s="48">
        <f t="shared" si="12"/>
        <v>13189328.852628451</v>
      </c>
      <c r="H92" s="162">
        <v>33.324999999999996</v>
      </c>
      <c r="I92" s="162">
        <v>50.612499999999997</v>
      </c>
      <c r="J92" s="93">
        <v>30</v>
      </c>
      <c r="K92" s="111">
        <v>0</v>
      </c>
      <c r="L92" s="48">
        <f>'Rate Class Customer Model'!Q17</f>
        <v>8357.4195000909622</v>
      </c>
      <c r="M92" s="48">
        <v>0</v>
      </c>
      <c r="N92" s="48">
        <f t="shared" si="13"/>
        <v>13448582.133417059</v>
      </c>
      <c r="O92" s="32"/>
      <c r="R92" s="134"/>
      <c r="S92" s="134"/>
      <c r="T92" s="134"/>
    </row>
    <row r="93" spans="1:20" x14ac:dyDescent="0.2">
      <c r="A93" s="47">
        <v>45138</v>
      </c>
      <c r="B93" s="48">
        <f>Inputs!D150</f>
        <v>17054339.358404133</v>
      </c>
      <c r="C93" s="48">
        <f>Inputs!E150</f>
        <v>129654.62</v>
      </c>
      <c r="D93" s="48">
        <f t="shared" si="9"/>
        <v>17183993.978404135</v>
      </c>
      <c r="E93" s="48">
        <v>0</v>
      </c>
      <c r="F93" s="48">
        <f>Inputs!AI150</f>
        <v>2382616.04</v>
      </c>
      <c r="G93" s="48">
        <f t="shared" si="12"/>
        <v>14801377.938404135</v>
      </c>
      <c r="H93" s="162">
        <v>2.2625000000000002</v>
      </c>
      <c r="I93" s="162">
        <v>100.26249999999999</v>
      </c>
      <c r="J93" s="93">
        <v>31</v>
      </c>
      <c r="K93" s="111">
        <v>0</v>
      </c>
      <c r="L93" s="48">
        <f>'Rate Class Customer Model'!Q18</f>
        <v>8364.5104264772599</v>
      </c>
      <c r="M93" s="48">
        <v>0</v>
      </c>
      <c r="N93" s="48">
        <f t="shared" si="13"/>
        <v>15186826.001518646</v>
      </c>
      <c r="O93" s="32"/>
      <c r="P93"/>
      <c r="Q93"/>
      <c r="R93" s="134"/>
      <c r="S93" s="134"/>
      <c r="T93" s="134"/>
    </row>
    <row r="94" spans="1:20" x14ac:dyDescent="0.2">
      <c r="A94" s="47">
        <v>45169</v>
      </c>
      <c r="B94" s="48">
        <f>Inputs!D151</f>
        <v>16860898.505161364</v>
      </c>
      <c r="C94" s="48">
        <f>Inputs!E151</f>
        <v>178256.49</v>
      </c>
      <c r="D94" s="48">
        <f t="shared" si="9"/>
        <v>17039154.995161362</v>
      </c>
      <c r="E94" s="48">
        <v>0</v>
      </c>
      <c r="F94" s="48">
        <f>Inputs!AI151</f>
        <v>2699374.0200000005</v>
      </c>
      <c r="G94" s="48">
        <f t="shared" si="12"/>
        <v>14339780.975161362</v>
      </c>
      <c r="H94" s="162">
        <v>8.6000000000000014</v>
      </c>
      <c r="I94" s="162">
        <v>79.587499999999991</v>
      </c>
      <c r="J94" s="93">
        <v>31</v>
      </c>
      <c r="K94" s="111">
        <v>0</v>
      </c>
      <c r="L94" s="48">
        <f>'Rate Class Customer Model'!Q19</f>
        <v>8371.6073692226764</v>
      </c>
      <c r="M94" s="48">
        <v>0</v>
      </c>
      <c r="N94" s="48">
        <f t="shared" si="13"/>
        <v>14621596.970252978</v>
      </c>
      <c r="O94" s="32"/>
      <c r="P94"/>
      <c r="Q94"/>
      <c r="R94" s="134"/>
      <c r="S94" s="134"/>
      <c r="T94" s="134"/>
    </row>
    <row r="95" spans="1:20" x14ac:dyDescent="0.2">
      <c r="A95" s="47">
        <v>45199</v>
      </c>
      <c r="B95" s="48">
        <f>Inputs!D152</f>
        <v>15223621.157050353</v>
      </c>
      <c r="C95" s="48">
        <f>Inputs!E152</f>
        <v>162634.43</v>
      </c>
      <c r="D95" s="48">
        <f t="shared" si="9"/>
        <v>15386255.587050352</v>
      </c>
      <c r="E95" s="48">
        <v>0</v>
      </c>
      <c r="F95" s="48">
        <f>Inputs!AI152</f>
        <v>2578882.92</v>
      </c>
      <c r="G95" s="48">
        <f t="shared" si="12"/>
        <v>12807372.667050352</v>
      </c>
      <c r="H95" s="162">
        <v>62.674999999999983</v>
      </c>
      <c r="I95" s="162">
        <v>31.699999999999996</v>
      </c>
      <c r="J95" s="93">
        <v>30</v>
      </c>
      <c r="K95" s="111">
        <v>1</v>
      </c>
      <c r="L95" s="48">
        <f>'Rate Class Customer Model'!Q20</f>
        <v>8378.7103334318454</v>
      </c>
      <c r="M95" s="48">
        <v>0</v>
      </c>
      <c r="N95" s="48">
        <f t="shared" si="13"/>
        <v>12447584.797619181</v>
      </c>
      <c r="O95" s="32"/>
      <c r="P95"/>
      <c r="Q95"/>
      <c r="R95" s="134"/>
      <c r="S95" s="134"/>
      <c r="T95" s="134"/>
    </row>
    <row r="96" spans="1:20" x14ac:dyDescent="0.2">
      <c r="A96" s="47">
        <v>45230</v>
      </c>
      <c r="B96" s="48">
        <f>Inputs!D153</f>
        <v>14832443.876044633</v>
      </c>
      <c r="C96" s="48">
        <f>Inputs!E153</f>
        <v>107189.81</v>
      </c>
      <c r="D96" s="48">
        <f t="shared" si="9"/>
        <v>14939633.686044633</v>
      </c>
      <c r="E96" s="48">
        <v>0</v>
      </c>
      <c r="F96" s="48">
        <f>Inputs!AI153</f>
        <v>2594136.36</v>
      </c>
      <c r="G96" s="48">
        <f t="shared" si="12"/>
        <v>12345497.326044634</v>
      </c>
      <c r="H96" s="162">
        <v>229.3125</v>
      </c>
      <c r="I96" s="162">
        <v>5.1125000000000007</v>
      </c>
      <c r="J96" s="93">
        <v>31</v>
      </c>
      <c r="K96" s="111">
        <v>1</v>
      </c>
      <c r="L96" s="48">
        <f>'Rate Class Customer Model'!Q21</f>
        <v>8385.8193242137295</v>
      </c>
      <c r="M96" s="48">
        <v>0</v>
      </c>
      <c r="N96" s="48">
        <f t="shared" si="13"/>
        <v>12349060.84566389</v>
      </c>
      <c r="O96" s="32"/>
      <c r="P96"/>
      <c r="Q96"/>
      <c r="R96" s="134"/>
      <c r="S96" s="134"/>
      <c r="T96" s="134"/>
    </row>
    <row r="97" spans="1:20" x14ac:dyDescent="0.2">
      <c r="A97" s="47">
        <v>45260</v>
      </c>
      <c r="B97" s="48">
        <f>Inputs!D154</f>
        <v>15091992.253819162</v>
      </c>
      <c r="C97" s="48">
        <f>Inputs!E154</f>
        <v>66484.479999999996</v>
      </c>
      <c r="D97" s="48">
        <f t="shared" si="9"/>
        <v>15158476.733819162</v>
      </c>
      <c r="E97" s="48">
        <v>0</v>
      </c>
      <c r="F97" s="48">
        <f>Inputs!AI154</f>
        <v>2537480</v>
      </c>
      <c r="G97" s="48">
        <f t="shared" si="12"/>
        <v>12620996.733819162</v>
      </c>
      <c r="H97" s="162">
        <v>439.67500000000001</v>
      </c>
      <c r="I97" s="162">
        <v>0.05</v>
      </c>
      <c r="J97" s="93">
        <v>30</v>
      </c>
      <c r="K97" s="111">
        <v>0</v>
      </c>
      <c r="L97" s="48">
        <f>'Rate Class Customer Model'!Q22</f>
        <v>8392.9343466816281</v>
      </c>
      <c r="M97" s="48">
        <v>0</v>
      </c>
      <c r="N97" s="48">
        <f t="shared" si="13"/>
        <v>12747252.715695372</v>
      </c>
      <c r="O97" s="32"/>
      <c r="P97"/>
      <c r="Q97"/>
      <c r="R97" s="134"/>
      <c r="S97" s="134"/>
      <c r="T97" s="134"/>
    </row>
    <row r="98" spans="1:20" x14ac:dyDescent="0.2">
      <c r="A98" s="47">
        <v>45291</v>
      </c>
      <c r="B98" s="48">
        <f>Inputs!D155</f>
        <v>14764998.982675916</v>
      </c>
      <c r="C98" s="48">
        <f>Inputs!E155</f>
        <v>34488.400000000001</v>
      </c>
      <c r="D98" s="48">
        <f t="shared" si="9"/>
        <v>14799487.382675916</v>
      </c>
      <c r="E98" s="48">
        <v>0</v>
      </c>
      <c r="F98" s="48">
        <f>Inputs!AI155</f>
        <v>2105716.64</v>
      </c>
      <c r="G98" s="48">
        <f t="shared" si="12"/>
        <v>12693770.742675915</v>
      </c>
      <c r="H98" s="162">
        <v>573.38750000000005</v>
      </c>
      <c r="I98" s="162">
        <v>0</v>
      </c>
      <c r="J98" s="93">
        <v>31</v>
      </c>
      <c r="K98" s="111">
        <v>0</v>
      </c>
      <c r="L98" s="48">
        <f>'Rate Class Customer Model'!Q23</f>
        <v>8406</v>
      </c>
      <c r="M98" s="48">
        <v>0</v>
      </c>
      <c r="N98" s="48">
        <f t="shared" si="13"/>
        <v>13357681.624826718</v>
      </c>
      <c r="O98" s="32"/>
      <c r="P98"/>
      <c r="Q98"/>
      <c r="R98" s="134"/>
      <c r="S98" s="134"/>
      <c r="T98" s="134"/>
    </row>
    <row r="99" spans="1:20" x14ac:dyDescent="0.2">
      <c r="A99" s="47">
        <v>45322</v>
      </c>
      <c r="B99" s="48">
        <f>Inputs!D156</f>
        <v>16534102.110555433</v>
      </c>
      <c r="C99" s="48">
        <f>Inputs!E156</f>
        <v>27221.46</v>
      </c>
      <c r="D99" s="48">
        <f t="shared" si="9"/>
        <v>16561323.570555434</v>
      </c>
      <c r="E99" s="48">
        <v>0</v>
      </c>
      <c r="F99" s="48">
        <f>Inputs!AI156</f>
        <v>2651169.0700000003</v>
      </c>
      <c r="G99" s="48">
        <f t="shared" si="12"/>
        <v>13910154.500555433</v>
      </c>
      <c r="H99" s="162">
        <v>679.58749999999998</v>
      </c>
      <c r="I99" s="162">
        <v>0</v>
      </c>
      <c r="J99" s="93">
        <v>31</v>
      </c>
      <c r="K99" s="111">
        <v>0</v>
      </c>
      <c r="L99" s="48">
        <f>'Rate Class Customer Model'!R12</f>
        <v>8436</v>
      </c>
      <c r="M99" s="48">
        <v>0</v>
      </c>
      <c r="N99" s="48">
        <f t="shared" si="13"/>
        <v>13583895.402668564</v>
      </c>
      <c r="O99" s="32"/>
      <c r="P99"/>
      <c r="Q99"/>
      <c r="R99" s="134"/>
      <c r="S99" s="134"/>
      <c r="T99" s="134"/>
    </row>
    <row r="100" spans="1:20" x14ac:dyDescent="0.2">
      <c r="A100" s="47">
        <v>45351</v>
      </c>
      <c r="B100" s="48">
        <f>Inputs!D157</f>
        <v>14760437.733178187</v>
      </c>
      <c r="C100" s="48">
        <f>Inputs!E157</f>
        <v>93645.29</v>
      </c>
      <c r="D100" s="48">
        <f t="shared" si="9"/>
        <v>14854083.023178186</v>
      </c>
      <c r="E100" s="48">
        <v>0</v>
      </c>
      <c r="F100" s="48">
        <f>Inputs!AI157</f>
        <v>2452155.4500000002</v>
      </c>
      <c r="G100" s="48">
        <f t="shared" si="12"/>
        <v>12401927.573178187</v>
      </c>
      <c r="H100" s="162">
        <v>599.76249999999993</v>
      </c>
      <c r="I100" s="162">
        <v>0</v>
      </c>
      <c r="J100" s="93">
        <v>29</v>
      </c>
      <c r="K100" s="111">
        <v>0</v>
      </c>
      <c r="L100" s="48">
        <f>'Rate Class Customer Model'!R13</f>
        <v>8440</v>
      </c>
      <c r="M100" s="48">
        <v>0</v>
      </c>
      <c r="N100" s="48">
        <f t="shared" si="13"/>
        <v>12722237.574465778</v>
      </c>
      <c r="O100" s="32"/>
      <c r="P100"/>
      <c r="Q100"/>
      <c r="R100" s="134"/>
      <c r="S100" s="134"/>
      <c r="T100" s="134"/>
    </row>
    <row r="101" spans="1:20" x14ac:dyDescent="0.2">
      <c r="A101" s="47">
        <v>45382</v>
      </c>
      <c r="B101" s="48">
        <f>Inputs!D158</f>
        <v>15024470.071688553</v>
      </c>
      <c r="C101" s="48">
        <f>Inputs!E158</f>
        <v>129827.51</v>
      </c>
      <c r="D101" s="48">
        <f t="shared" si="9"/>
        <v>15154297.581688553</v>
      </c>
      <c r="E101" s="48">
        <v>0</v>
      </c>
      <c r="F101" s="48">
        <f>Inputs!AI158</f>
        <v>2515743.84</v>
      </c>
      <c r="G101" s="48">
        <f t="shared" si="12"/>
        <v>12638553.741688553</v>
      </c>
      <c r="H101" s="162">
        <v>527.26250000000005</v>
      </c>
      <c r="I101" s="162">
        <v>0</v>
      </c>
      <c r="J101" s="93">
        <v>31</v>
      </c>
      <c r="K101" s="111">
        <v>1</v>
      </c>
      <c r="L101" s="48">
        <f>'Rate Class Customer Model'!R14</f>
        <v>8442</v>
      </c>
      <c r="M101" s="48">
        <v>0</v>
      </c>
      <c r="N101" s="48">
        <f t="shared" si="13"/>
        <v>12792476.196043123</v>
      </c>
      <c r="O101" s="32"/>
      <c r="P101"/>
      <c r="Q101"/>
      <c r="R101" s="134"/>
      <c r="S101" s="134"/>
      <c r="T101" s="134"/>
    </row>
    <row r="102" spans="1:20" x14ac:dyDescent="0.2">
      <c r="A102" s="47">
        <v>45412</v>
      </c>
      <c r="B102" s="48">
        <f>Inputs!D159</f>
        <v>14291771.432481281</v>
      </c>
      <c r="C102" s="48">
        <f>Inputs!E159</f>
        <v>126561.07</v>
      </c>
      <c r="D102" s="48">
        <f t="shared" si="9"/>
        <v>14418332.502481282</v>
      </c>
      <c r="E102" s="48">
        <v>0</v>
      </c>
      <c r="F102" s="48">
        <f>Inputs!AI159</f>
        <v>2597494.8499999996</v>
      </c>
      <c r="G102" s="48">
        <f t="shared" si="12"/>
        <v>11820837.652481282</v>
      </c>
      <c r="H102" s="162">
        <v>349.3125</v>
      </c>
      <c r="I102" s="162">
        <v>0.32500000000000001</v>
      </c>
      <c r="J102" s="93">
        <v>30</v>
      </c>
      <c r="K102" s="111">
        <v>1</v>
      </c>
      <c r="L102" s="48">
        <f>'Rate Class Customer Model'!R15</f>
        <v>8446</v>
      </c>
      <c r="M102" s="48">
        <v>0</v>
      </c>
      <c r="N102" s="48">
        <f t="shared" si="13"/>
        <v>12144197.801756376</v>
      </c>
      <c r="O102" s="32"/>
      <c r="P102"/>
      <c r="Q102"/>
      <c r="R102" s="134"/>
      <c r="S102" s="134"/>
      <c r="T102" s="134"/>
    </row>
    <row r="103" spans="1:20" x14ac:dyDescent="0.2">
      <c r="A103" s="47">
        <v>45443</v>
      </c>
      <c r="B103" s="48">
        <f>Inputs!D160</f>
        <v>15158175.05241408</v>
      </c>
      <c r="C103" s="48">
        <f>Inputs!E160</f>
        <v>184786.31</v>
      </c>
      <c r="D103" s="48">
        <f t="shared" si="9"/>
        <v>15342961.362414081</v>
      </c>
      <c r="E103" s="48">
        <v>0</v>
      </c>
      <c r="F103" s="48">
        <f>Inputs!AI160</f>
        <v>2572848.3100000005</v>
      </c>
      <c r="G103" s="48">
        <f t="shared" si="12"/>
        <v>12770113.05241408</v>
      </c>
      <c r="H103" s="162">
        <v>159.125</v>
      </c>
      <c r="I103" s="162">
        <v>18.412500000000001</v>
      </c>
      <c r="J103" s="93">
        <v>31</v>
      </c>
      <c r="K103" s="111">
        <v>1</v>
      </c>
      <c r="L103" s="48">
        <f>'Rate Class Customer Model'!R16</f>
        <v>8456</v>
      </c>
      <c r="M103" s="48">
        <v>0</v>
      </c>
      <c r="N103" s="48">
        <f t="shared" si="13"/>
        <v>12725322.681547776</v>
      </c>
      <c r="O103" s="32"/>
      <c r="P103"/>
      <c r="Q103"/>
      <c r="R103" s="134"/>
      <c r="S103" s="134"/>
      <c r="T103" s="134"/>
    </row>
    <row r="104" spans="1:20" x14ac:dyDescent="0.2">
      <c r="A104" s="47">
        <v>45473</v>
      </c>
      <c r="B104" s="48">
        <f>Inputs!D161</f>
        <v>16328490.095426783</v>
      </c>
      <c r="C104" s="48">
        <f>Inputs!E161</f>
        <v>204911.08</v>
      </c>
      <c r="D104" s="48">
        <f t="shared" si="9"/>
        <v>16533401.175426783</v>
      </c>
      <c r="E104" s="48">
        <v>0</v>
      </c>
      <c r="F104" s="48">
        <f>Inputs!AI161</f>
        <v>2367826.21</v>
      </c>
      <c r="G104" s="48">
        <f t="shared" si="12"/>
        <v>14165574.965426784</v>
      </c>
      <c r="H104" s="162">
        <v>33.324999999999996</v>
      </c>
      <c r="I104" s="162">
        <v>50.612499999999997</v>
      </c>
      <c r="J104" s="93">
        <v>30</v>
      </c>
      <c r="K104" s="111">
        <v>0</v>
      </c>
      <c r="L104" s="48">
        <f>'Rate Class Customer Model'!R17</f>
        <v>8480</v>
      </c>
      <c r="M104" s="48">
        <v>0</v>
      </c>
      <c r="N104" s="48">
        <f t="shared" si="13"/>
        <v>13649962.762677312</v>
      </c>
      <c r="O104" s="32"/>
      <c r="P104"/>
      <c r="Q104"/>
      <c r="R104" s="134"/>
      <c r="S104" s="134"/>
      <c r="T104" s="134"/>
    </row>
    <row r="105" spans="1:20" x14ac:dyDescent="0.2">
      <c r="A105" s="47">
        <v>45504</v>
      </c>
      <c r="B105" s="48"/>
      <c r="C105" s="48"/>
      <c r="D105" s="48"/>
      <c r="E105" s="48"/>
      <c r="F105" s="48"/>
      <c r="G105" s="48"/>
      <c r="H105" s="162">
        <v>2.2625000000000002</v>
      </c>
      <c r="I105" s="162">
        <v>100.26249999999999</v>
      </c>
      <c r="J105" s="93">
        <v>31</v>
      </c>
      <c r="K105" s="111">
        <v>0</v>
      </c>
      <c r="L105" s="96">
        <f>'Rate Class Customer Model'!R18</f>
        <v>8492.5406045191612</v>
      </c>
      <c r="M105" s="48">
        <v>0</v>
      </c>
      <c r="N105" s="48">
        <f t="shared" si="13"/>
        <v>15397159.601377618</v>
      </c>
      <c r="O105" s="32"/>
      <c r="P105"/>
      <c r="Q105"/>
      <c r="R105" s="134"/>
      <c r="S105" s="134"/>
      <c r="T105" s="134"/>
    </row>
    <row r="106" spans="1:20" x14ac:dyDescent="0.2">
      <c r="A106" s="47">
        <v>45535</v>
      </c>
      <c r="B106" s="48"/>
      <c r="C106" s="48"/>
      <c r="D106" s="48"/>
      <c r="E106" s="48"/>
      <c r="F106" s="48"/>
      <c r="G106" s="48"/>
      <c r="H106" s="162">
        <v>8.6000000000000014</v>
      </c>
      <c r="I106" s="162">
        <v>79.587499999999991</v>
      </c>
      <c r="J106" s="93">
        <v>31</v>
      </c>
      <c r="K106" s="111">
        <v>0</v>
      </c>
      <c r="L106" s="96">
        <f>'Rate Class Customer Model'!R19</f>
        <v>8505.0997546470153</v>
      </c>
      <c r="M106" s="48">
        <v>0</v>
      </c>
      <c r="N106" s="48">
        <f t="shared" si="13"/>
        <v>14840904.124312181</v>
      </c>
      <c r="O106" s="32"/>
      <c r="P106"/>
      <c r="Q106"/>
      <c r="R106" s="134"/>
      <c r="S106" s="134"/>
      <c r="T106" s="134"/>
    </row>
    <row r="107" spans="1:20" x14ac:dyDescent="0.2">
      <c r="A107" s="47">
        <v>45565</v>
      </c>
      <c r="B107" s="48"/>
      <c r="C107" s="48"/>
      <c r="D107" s="48"/>
      <c r="E107" s="48"/>
      <c r="F107" s="48"/>
      <c r="G107" s="48"/>
      <c r="H107" s="162">
        <v>62.674999999999983</v>
      </c>
      <c r="I107" s="162">
        <v>31.699999999999996</v>
      </c>
      <c r="J107" s="93">
        <v>30</v>
      </c>
      <c r="K107" s="111">
        <v>1</v>
      </c>
      <c r="L107" s="96">
        <f>'Rate Class Customer Model'!R20</f>
        <v>8517.6774778096387</v>
      </c>
      <c r="M107" s="48">
        <v>0</v>
      </c>
      <c r="N107" s="48">
        <f t="shared" si="13"/>
        <v>12675886.126150776</v>
      </c>
      <c r="O107" s="32"/>
      <c r="P107"/>
      <c r="Q107"/>
      <c r="R107" s="134"/>
      <c r="S107" s="134"/>
      <c r="T107" s="134"/>
    </row>
    <row r="108" spans="1:20" x14ac:dyDescent="0.2">
      <c r="A108" s="47">
        <v>45596</v>
      </c>
      <c r="B108" s="48"/>
      <c r="C108" s="48"/>
      <c r="D108" s="48"/>
      <c r="E108" s="48"/>
      <c r="F108" s="48"/>
      <c r="G108" s="48"/>
      <c r="H108" s="162">
        <v>229.3125</v>
      </c>
      <c r="I108" s="162">
        <v>5.1125000000000007</v>
      </c>
      <c r="J108" s="93">
        <v>31</v>
      </c>
      <c r="K108" s="111">
        <v>1</v>
      </c>
      <c r="L108" s="96">
        <f>'Rate Class Customer Model'!R21</f>
        <v>8530.2738014736697</v>
      </c>
      <c r="M108" s="48">
        <v>0</v>
      </c>
      <c r="N108" s="48">
        <f t="shared" si="13"/>
        <v>12586377.005670207</v>
      </c>
      <c r="O108" s="32"/>
      <c r="P108"/>
      <c r="Q108"/>
      <c r="R108" s="134"/>
      <c r="S108" s="134"/>
      <c r="T108" s="134"/>
    </row>
    <row r="109" spans="1:20" x14ac:dyDescent="0.2">
      <c r="A109" s="47">
        <v>45626</v>
      </c>
      <c r="B109" s="48"/>
      <c r="C109" s="48"/>
      <c r="D109" s="48"/>
      <c r="E109" s="48"/>
      <c r="F109" s="48"/>
      <c r="G109" s="48"/>
      <c r="H109" s="162">
        <v>439.67500000000001</v>
      </c>
      <c r="I109" s="162">
        <v>0.05</v>
      </c>
      <c r="J109" s="93">
        <v>30</v>
      </c>
      <c r="K109" s="111">
        <v>0</v>
      </c>
      <c r="L109" s="96">
        <f>'Rate Class Customer Model'!R22</f>
        <v>8542.8887531463643</v>
      </c>
      <c r="M109" s="48">
        <v>0</v>
      </c>
      <c r="N109" s="48">
        <f t="shared" si="13"/>
        <v>12993604.400968518</v>
      </c>
      <c r="O109" s="32"/>
      <c r="R109" s="134"/>
      <c r="S109" s="134"/>
      <c r="T109" s="134"/>
    </row>
    <row r="110" spans="1:20" x14ac:dyDescent="0.2">
      <c r="A110" s="47">
        <v>45657</v>
      </c>
      <c r="B110" s="48"/>
      <c r="C110" s="48"/>
      <c r="D110" s="48"/>
      <c r="E110" s="48"/>
      <c r="F110" s="48"/>
      <c r="G110" s="48"/>
      <c r="H110" s="162">
        <v>573.38750000000005</v>
      </c>
      <c r="I110" s="162">
        <v>0</v>
      </c>
      <c r="J110" s="93">
        <v>31</v>
      </c>
      <c r="K110" s="111">
        <v>0</v>
      </c>
      <c r="L110" s="96">
        <f>'Rate Class Customer Model'!R23</f>
        <v>8555.5223603756567</v>
      </c>
      <c r="M110" s="48">
        <v>0</v>
      </c>
      <c r="N110" s="48">
        <f t="shared" si="13"/>
        <v>13603323.525808295</v>
      </c>
      <c r="O110" s="32"/>
      <c r="R110"/>
      <c r="S110"/>
      <c r="T110"/>
    </row>
    <row r="111" spans="1:20" x14ac:dyDescent="0.2">
      <c r="A111" s="33"/>
      <c r="J111" s="10"/>
      <c r="K111" s="58"/>
      <c r="R111"/>
      <c r="S111"/>
      <c r="T111"/>
    </row>
    <row r="112" spans="1:20" x14ac:dyDescent="0.2">
      <c r="A112" s="33"/>
      <c r="J112" s="10"/>
      <c r="K112" s="58"/>
      <c r="R112"/>
      <c r="S112"/>
      <c r="T112"/>
    </row>
    <row r="113" spans="1:31" ht="12.6" customHeight="1" x14ac:dyDescent="0.2">
      <c r="A113" s="33"/>
      <c r="H113" s="98" t="s">
        <v>147</v>
      </c>
      <c r="I113" s="95"/>
      <c r="J113" s="10"/>
      <c r="K113" s="58"/>
      <c r="R113"/>
      <c r="S113"/>
      <c r="T113"/>
    </row>
    <row r="114" spans="1:31" x14ac:dyDescent="0.2">
      <c r="A114" s="33"/>
      <c r="H114" s="99" t="s">
        <v>89</v>
      </c>
      <c r="I114" s="97"/>
      <c r="J114" s="10"/>
      <c r="K114" s="58"/>
      <c r="N114" s="32">
        <f>SUM(N2:N110)</f>
        <v>1292496542.929482</v>
      </c>
      <c r="R114"/>
      <c r="S114"/>
      <c r="T114"/>
      <c r="W114" s="27">
        <v>2016</v>
      </c>
      <c r="X114" s="27">
        <v>2017</v>
      </c>
      <c r="Y114" s="27">
        <v>2018</v>
      </c>
      <c r="Z114" s="27">
        <v>2019</v>
      </c>
      <c r="AA114" s="27">
        <v>2020</v>
      </c>
      <c r="AB114" s="27">
        <v>2021</v>
      </c>
      <c r="AC114" s="27">
        <v>2022</v>
      </c>
      <c r="AD114" s="27">
        <v>2023</v>
      </c>
      <c r="AE114" s="27">
        <v>2024</v>
      </c>
    </row>
    <row r="115" spans="1:31" x14ac:dyDescent="0.2">
      <c r="A115" s="33"/>
      <c r="J115" s="10"/>
      <c r="K115" s="58"/>
      <c r="O115" s="52" t="s">
        <v>133</v>
      </c>
      <c r="P115" s="52" t="s">
        <v>134</v>
      </c>
      <c r="Q115" s="52" t="s">
        <v>139</v>
      </c>
      <c r="R115"/>
      <c r="S115"/>
      <c r="T115"/>
      <c r="W115">
        <f t="array" ref="W115:AE115">TRANSPOSE(S116:S124)</f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</row>
    <row r="116" spans="1:31" x14ac:dyDescent="0.2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0</v>
      </c>
      <c r="F116" s="6">
        <f>SUM(F3:F14)</f>
        <v>66595461.769999996</v>
      </c>
      <c r="G116" s="6">
        <f>SUM(G3:G14)</f>
        <v>135175786.38</v>
      </c>
      <c r="N116" s="6">
        <f>SUM(N3:N14)</f>
        <v>130875217.62752831</v>
      </c>
      <c r="O116" s="6">
        <f>E116</f>
        <v>0</v>
      </c>
      <c r="P116" s="6">
        <f>F116</f>
        <v>66595461.769999996</v>
      </c>
      <c r="Q116" s="6">
        <f>N116+O116+P116</f>
        <v>197470679.39752829</v>
      </c>
      <c r="R116"/>
      <c r="S116"/>
      <c r="T116"/>
    </row>
    <row r="117" spans="1:31" x14ac:dyDescent="0.2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0</v>
      </c>
      <c r="F117" s="6">
        <f>SUM(F15:F26)</f>
        <v>59043555.620000005</v>
      </c>
      <c r="G117" s="6">
        <f>SUM(G15:G26)</f>
        <v>130593904.94999999</v>
      </c>
      <c r="N117" s="6">
        <f>SUM(N15:N26)</f>
        <v>132874935.06448095</v>
      </c>
      <c r="O117" s="6">
        <f t="shared" ref="O117:P122" si="18">E117</f>
        <v>0</v>
      </c>
      <c r="P117" s="6">
        <f>F117</f>
        <v>59043555.620000005</v>
      </c>
      <c r="Q117" s="6">
        <f t="shared" ref="Q117:Q124" si="19">N117+O117+P117</f>
        <v>191918490.68448097</v>
      </c>
      <c r="R117"/>
      <c r="S117"/>
      <c r="T117"/>
    </row>
    <row r="118" spans="1:31" x14ac:dyDescent="0.2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0</v>
      </c>
      <c r="F118" s="6">
        <f>SUM(F27:F38)</f>
        <v>52211839.280000001</v>
      </c>
      <c r="G118" s="6">
        <f>SUM(G27:G38)</f>
        <v>137782115.54000002</v>
      </c>
      <c r="N118" s="6">
        <f>SUM(N27:N38)</f>
        <v>135146988.20893377</v>
      </c>
      <c r="O118" s="6">
        <f t="shared" si="18"/>
        <v>0</v>
      </c>
      <c r="P118" s="6">
        <f>F118</f>
        <v>52211839.280000001</v>
      </c>
      <c r="Q118" s="6">
        <f t="shared" si="19"/>
        <v>187358827.48893377</v>
      </c>
      <c r="R118"/>
      <c r="S118"/>
      <c r="T118"/>
    </row>
    <row r="119" spans="1:31" x14ac:dyDescent="0.2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0</v>
      </c>
      <c r="F119" s="6">
        <f>SUM(F39:F50)</f>
        <v>42225842.570000008</v>
      </c>
      <c r="G119" s="6">
        <f>SUM(G39:G50)</f>
        <v>135056311.13</v>
      </c>
      <c r="N119" s="6">
        <f>SUM(N39:N50)</f>
        <v>137908608.84221303</v>
      </c>
      <c r="O119" s="6">
        <f t="shared" si="18"/>
        <v>0</v>
      </c>
      <c r="P119" s="6">
        <f>F119</f>
        <v>42225842.570000008</v>
      </c>
      <c r="Q119" s="6">
        <f t="shared" si="19"/>
        <v>180134451.41221303</v>
      </c>
      <c r="R119"/>
      <c r="S119"/>
      <c r="T119"/>
    </row>
    <row r="120" spans="1:31" x14ac:dyDescent="0.2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0</v>
      </c>
      <c r="F120" s="6">
        <f>SUM(F51:F62)</f>
        <v>33334087.879999999</v>
      </c>
      <c r="G120" s="6">
        <f>SUM(G51:G62)</f>
        <v>140046370.87</v>
      </c>
      <c r="N120" s="6">
        <f>SUM(N51:N62)</f>
        <v>138596060.9129177</v>
      </c>
      <c r="O120" s="6">
        <f t="shared" si="18"/>
        <v>0</v>
      </c>
      <c r="P120" s="6">
        <f>F120</f>
        <v>33334087.879999999</v>
      </c>
      <c r="Q120" s="6">
        <f t="shared" si="19"/>
        <v>171930148.7929177</v>
      </c>
      <c r="R120"/>
      <c r="S120"/>
      <c r="T120"/>
    </row>
    <row r="121" spans="1:31" x14ac:dyDescent="0.2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0</v>
      </c>
      <c r="F121" s="6">
        <f>SUM(F63:F74)</f>
        <v>32720465.579999998</v>
      </c>
      <c r="G121" s="6">
        <f>SUM(G63:G74)</f>
        <v>145343403.19000003</v>
      </c>
      <c r="N121" s="6">
        <f>SUM(N63:N74)</f>
        <v>147156177.28048128</v>
      </c>
      <c r="O121" s="6">
        <f t="shared" si="18"/>
        <v>0</v>
      </c>
      <c r="P121" s="6">
        <f t="shared" si="18"/>
        <v>32720465.579999998</v>
      </c>
      <c r="Q121" s="6">
        <f t="shared" si="19"/>
        <v>179876642.86048126</v>
      </c>
      <c r="R121"/>
      <c r="S121"/>
      <c r="T121"/>
    </row>
    <row r="122" spans="1:31" x14ac:dyDescent="0.2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0</v>
      </c>
      <c r="F122" s="6">
        <f>SUM(F75:F86)</f>
        <v>30917312.239999998</v>
      </c>
      <c r="G122" s="6">
        <f>SUM(G75:G86)</f>
        <v>154227443.32000002</v>
      </c>
      <c r="N122" s="6">
        <f>SUM(N75:N86)</f>
        <v>153349698.86731219</v>
      </c>
      <c r="O122" s="6">
        <f t="shared" si="18"/>
        <v>0</v>
      </c>
      <c r="P122" s="6">
        <f>F122</f>
        <v>30917312.239999998</v>
      </c>
      <c r="Q122" s="6">
        <f t="shared" si="19"/>
        <v>184267011.1073122</v>
      </c>
      <c r="R122"/>
      <c r="S122"/>
      <c r="T122"/>
    </row>
    <row r="123" spans="1:31" x14ac:dyDescent="0.2">
      <c r="A123" s="27">
        <v>2023</v>
      </c>
      <c r="D123" s="6">
        <f>SUM(D87:D98)</f>
        <v>184342290.19570395</v>
      </c>
      <c r="E123" s="6">
        <f t="shared" ref="E123:G123" si="20">SUM(E87:E98)</f>
        <v>0</v>
      </c>
      <c r="F123" s="6">
        <f>SUM(F87:F98)</f>
        <v>30186249.899999999</v>
      </c>
      <c r="G123" s="6">
        <f t="shared" si="20"/>
        <v>154156040.29570395</v>
      </c>
      <c r="N123" s="6">
        <f>SUM(N87:N98)</f>
        <v>156873508.92216814</v>
      </c>
      <c r="O123" s="6">
        <v>0</v>
      </c>
      <c r="P123" s="6">
        <f>F123</f>
        <v>30186249.899999999</v>
      </c>
      <c r="Q123" s="6">
        <f t="shared" si="19"/>
        <v>187059758.82216814</v>
      </c>
      <c r="R123"/>
      <c r="S123"/>
      <c r="T123"/>
    </row>
    <row r="124" spans="1:31" x14ac:dyDescent="0.2">
      <c r="A124" s="27">
        <v>2024</v>
      </c>
      <c r="D124" s="6">
        <f>SUM(D99:D110)</f>
        <v>92864399.215744317</v>
      </c>
      <c r="E124" s="6">
        <f t="shared" ref="E124:G124" si="21">SUM(E99:E110)</f>
        <v>0</v>
      </c>
      <c r="F124" s="6">
        <f t="shared" si="21"/>
        <v>15157237.73</v>
      </c>
      <c r="G124" s="6">
        <f t="shared" si="21"/>
        <v>77707161.485744327</v>
      </c>
      <c r="N124" s="15">
        <f>SUM(N99:N110)</f>
        <v>159715347.20344654</v>
      </c>
      <c r="O124" s="6">
        <v>0</v>
      </c>
      <c r="P124" s="6">
        <f>SUM(F99:F104)+F138</f>
        <v>29575984.290000062</v>
      </c>
      <c r="Q124" s="6">
        <f t="shared" si="19"/>
        <v>189291331.49344659</v>
      </c>
      <c r="R124"/>
      <c r="S124"/>
      <c r="T124"/>
    </row>
    <row r="125" spans="1:31" x14ac:dyDescent="0.2">
      <c r="N125" s="6"/>
      <c r="R125"/>
      <c r="S125"/>
      <c r="T125"/>
    </row>
    <row r="126" spans="1:31" x14ac:dyDescent="0.2">
      <c r="A126" s="42" t="s">
        <v>7</v>
      </c>
      <c r="B126" s="6">
        <f>SUM(B116:B122)</f>
        <v>1282930063.3699999</v>
      </c>
      <c r="D126" s="6">
        <f>SUM(D116:D124)</f>
        <v>1572480589.7314482</v>
      </c>
      <c r="E126" s="6">
        <f t="shared" ref="E126:F126" si="22">SUM(E116:E124)</f>
        <v>0</v>
      </c>
      <c r="F126" s="6">
        <f t="shared" si="22"/>
        <v>362392052.56999999</v>
      </c>
      <c r="G126" s="6">
        <f>SUM(G116:G124)</f>
        <v>1210088537.1614482</v>
      </c>
      <c r="L126" s="1" t="s">
        <v>126</v>
      </c>
      <c r="N126" s="6">
        <f>SUM(N116:N123)+SUM(N99:N104)</f>
        <v>1210399288.1451945</v>
      </c>
      <c r="Q126" s="6">
        <f>SUM(Q116:Q122)</f>
        <v>1292956251.7438672</v>
      </c>
      <c r="R126"/>
      <c r="S126"/>
      <c r="T126"/>
    </row>
    <row r="127" spans="1:31" x14ac:dyDescent="0.2">
      <c r="N127" s="32">
        <f>N126-G126</f>
        <v>310750.98374629021</v>
      </c>
      <c r="Q127" s="6">
        <f>Q126-D126</f>
        <v>-279524337.98758101</v>
      </c>
      <c r="R127"/>
      <c r="S127"/>
      <c r="T127"/>
    </row>
    <row r="129" spans="1:20" x14ac:dyDescent="0.2">
      <c r="F129" s="60" t="s">
        <v>151</v>
      </c>
      <c r="O129"/>
      <c r="P129"/>
      <c r="Q129"/>
      <c r="R129"/>
      <c r="S129"/>
      <c r="T129"/>
    </row>
    <row r="130" spans="1:20" x14ac:dyDescent="0.2">
      <c r="A130" s="27">
        <v>2016</v>
      </c>
      <c r="F130" s="6">
        <f>SUM(F9:F14)</f>
        <v>33497818.990000002</v>
      </c>
      <c r="N130" s="6">
        <f>SUM(N116:N124)</f>
        <v>1292496542.9294822</v>
      </c>
    </row>
    <row r="131" spans="1:20" x14ac:dyDescent="0.2">
      <c r="A131" s="27">
        <v>2017</v>
      </c>
      <c r="F131" s="6">
        <f>SUM(F21:F26)</f>
        <v>27447480.450000003</v>
      </c>
      <c r="N131" s="32">
        <f>N114-N130</f>
        <v>0</v>
      </c>
    </row>
    <row r="132" spans="1:20" x14ac:dyDescent="0.2">
      <c r="A132" s="27">
        <v>2018</v>
      </c>
      <c r="B132"/>
      <c r="C132"/>
      <c r="D132"/>
      <c r="E132"/>
      <c r="F132" s="32">
        <f>SUM(F33:F38)</f>
        <v>24790562.309999999</v>
      </c>
      <c r="G132"/>
      <c r="H132"/>
      <c r="I132"/>
      <c r="J132"/>
      <c r="L132"/>
      <c r="M132"/>
      <c r="N132"/>
      <c r="O132"/>
    </row>
    <row r="133" spans="1:20" x14ac:dyDescent="0.2">
      <c r="A133" s="27">
        <v>2019</v>
      </c>
      <c r="B133"/>
      <c r="C133"/>
      <c r="D133"/>
      <c r="E133"/>
      <c r="F133" s="32">
        <f>SUM(F45:F50)</f>
        <v>20518276.920000002</v>
      </c>
      <c r="G133"/>
      <c r="H133"/>
      <c r="I133"/>
      <c r="J133"/>
      <c r="L133"/>
      <c r="M133"/>
      <c r="N133"/>
      <c r="O133"/>
    </row>
    <row r="134" spans="1:20" x14ac:dyDescent="0.2">
      <c r="A134" s="27">
        <v>2020</v>
      </c>
      <c r="B134"/>
      <c r="C134"/>
      <c r="D134"/>
      <c r="E134"/>
      <c r="F134" s="32">
        <f>SUM(F57:F62)</f>
        <v>18423404.809999999</v>
      </c>
      <c r="G134"/>
      <c r="H134"/>
      <c r="I134"/>
      <c r="J134"/>
      <c r="L134"/>
      <c r="M134"/>
      <c r="N134"/>
      <c r="O134"/>
    </row>
    <row r="135" spans="1:20" x14ac:dyDescent="0.2">
      <c r="A135" s="27">
        <v>2021</v>
      </c>
      <c r="B135"/>
      <c r="C135"/>
      <c r="D135"/>
      <c r="E135"/>
      <c r="F135" s="32">
        <f>SUM(F69:F74)</f>
        <v>15745901.34</v>
      </c>
      <c r="G135"/>
      <c r="H135"/>
      <c r="I135"/>
      <c r="J135"/>
      <c r="L135"/>
      <c r="M135"/>
      <c r="N135"/>
      <c r="O135"/>
    </row>
    <row r="136" spans="1:20" x14ac:dyDescent="0.2">
      <c r="A136" s="27">
        <v>2022</v>
      </c>
      <c r="B136"/>
      <c r="C136"/>
      <c r="F136" s="6">
        <f>SUM(F81:F86)</f>
        <v>15155218.440000001</v>
      </c>
      <c r="H136" s="6"/>
      <c r="I136" s="6"/>
      <c r="J136" s="6"/>
      <c r="L136"/>
      <c r="M136"/>
      <c r="N136"/>
      <c r="O136"/>
    </row>
    <row r="137" spans="1:20" x14ac:dyDescent="0.2">
      <c r="A137" s="27">
        <v>2023</v>
      </c>
      <c r="B137"/>
      <c r="C137"/>
      <c r="F137" s="6">
        <f>SUM(F93:F98)</f>
        <v>14898205.98</v>
      </c>
      <c r="H137" s="6"/>
      <c r="I137" s="6"/>
      <c r="J137" s="6"/>
      <c r="L137"/>
      <c r="M137"/>
      <c r="N137"/>
      <c r="O137"/>
    </row>
    <row r="138" spans="1:20" x14ac:dyDescent="0.2">
      <c r="A138" s="27">
        <v>2024</v>
      </c>
      <c r="B138"/>
      <c r="C138"/>
      <c r="E138" s="60" t="s">
        <v>152</v>
      </c>
      <c r="F138" s="6" cm="1">
        <f t="array" ref="F138">TREND(F135:F137,A135:A137,A138)</f>
        <v>14418746.560000062</v>
      </c>
      <c r="H138" s="6"/>
      <c r="I138" s="6"/>
      <c r="J138" s="6"/>
      <c r="L138"/>
      <c r="M138"/>
      <c r="N138"/>
      <c r="O138"/>
    </row>
    <row r="139" spans="1:20" x14ac:dyDescent="0.2">
      <c r="A139"/>
      <c r="B139"/>
      <c r="C139"/>
      <c r="H139" s="6"/>
      <c r="I139" s="6"/>
      <c r="J139" s="6"/>
      <c r="L139"/>
      <c r="M139"/>
      <c r="N139"/>
      <c r="O139"/>
    </row>
    <row r="140" spans="1:20" x14ac:dyDescent="0.2">
      <c r="A140"/>
      <c r="B140"/>
      <c r="C140"/>
      <c r="E140" s="6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 x14ac:dyDescent="0.2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 x14ac:dyDescent="0.2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 x14ac:dyDescent="0.2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 x14ac:dyDescent="0.2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 x14ac:dyDescent="0.2">
      <c r="A145"/>
      <c r="H145" s="6"/>
      <c r="I145" s="6"/>
      <c r="J145" s="6"/>
      <c r="P145"/>
      <c r="Q145"/>
      <c r="R145"/>
      <c r="S145"/>
      <c r="T145"/>
    </row>
    <row r="146" spans="1:20" x14ac:dyDescent="0.2">
      <c r="A146"/>
      <c r="H146" s="6"/>
      <c r="I146" s="6"/>
      <c r="J146" s="6"/>
      <c r="P146"/>
      <c r="Q146"/>
      <c r="R146"/>
      <c r="S146"/>
      <c r="T146"/>
    </row>
    <row r="147" spans="1:20" x14ac:dyDescent="0.2">
      <c r="A147"/>
      <c r="H147" s="6"/>
      <c r="I147" s="6"/>
      <c r="J147" s="6"/>
      <c r="P147"/>
      <c r="Q147"/>
      <c r="R147"/>
      <c r="S147"/>
      <c r="T147"/>
    </row>
    <row r="148" spans="1:20" x14ac:dyDescent="0.2">
      <c r="A148"/>
      <c r="H148" s="6"/>
      <c r="I148" s="6"/>
      <c r="J148" s="6"/>
      <c r="K148" s="6"/>
      <c r="P148"/>
      <c r="Q148"/>
      <c r="R148"/>
      <c r="S148"/>
      <c r="T148"/>
    </row>
    <row r="149" spans="1:20" x14ac:dyDescent="0.2">
      <c r="A149"/>
      <c r="P149"/>
      <c r="Q149"/>
      <c r="R149"/>
      <c r="S149"/>
      <c r="T149"/>
    </row>
    <row r="150" spans="1:20" x14ac:dyDescent="0.2">
      <c r="A150"/>
      <c r="P150"/>
      <c r="Q150"/>
      <c r="R150"/>
      <c r="S150"/>
      <c r="T150"/>
    </row>
    <row r="151" spans="1:20" x14ac:dyDescent="0.2">
      <c r="A151"/>
      <c r="P151"/>
      <c r="Q151"/>
      <c r="R151"/>
      <c r="S151"/>
      <c r="T151"/>
    </row>
    <row r="152" spans="1:20" x14ac:dyDescent="0.2">
      <c r="A152"/>
      <c r="P152"/>
      <c r="Q152"/>
      <c r="R152"/>
      <c r="S152"/>
      <c r="T152"/>
    </row>
    <row r="153" spans="1:20" x14ac:dyDescent="0.2">
      <c r="A153"/>
      <c r="P153"/>
      <c r="Q153"/>
      <c r="R153"/>
      <c r="S153"/>
      <c r="T153"/>
    </row>
    <row r="154" spans="1:20" x14ac:dyDescent="0.2">
      <c r="A154"/>
      <c r="P154"/>
      <c r="Q154"/>
      <c r="R154"/>
      <c r="S154"/>
      <c r="T154"/>
    </row>
    <row r="155" spans="1:20" x14ac:dyDescent="0.2">
      <c r="A155"/>
      <c r="P155"/>
      <c r="Q155"/>
      <c r="R155"/>
      <c r="S155"/>
      <c r="T155"/>
    </row>
    <row r="156" spans="1:20" customFormat="1" x14ac:dyDescent="0.2">
      <c r="K156" s="57"/>
    </row>
    <row r="157" spans="1:20" customFormat="1" x14ac:dyDescent="0.2">
      <c r="K157" s="57"/>
    </row>
  </sheetData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2:W55"/>
  <sheetViews>
    <sheetView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L10" sqref="L10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4" style="6" customWidth="1"/>
    <col min="10" max="10" width="14.140625" style="6" bestFit="1" customWidth="1"/>
    <col min="11" max="12" width="14.140625" style="6" customWidth="1"/>
    <col min="13" max="13" width="11.42578125" style="6" customWidth="1"/>
    <col min="14" max="14" width="12.42578125" style="6" customWidth="1"/>
    <col min="15" max="15" width="10.5703125" style="6" customWidth="1"/>
    <col min="16" max="17" width="16.85546875" customWidth="1"/>
    <col min="18" max="18" width="14.42578125" customWidth="1"/>
    <col min="19" max="19" width="12.5703125" bestFit="1" customWidth="1"/>
    <col min="20" max="20" width="11.5703125" bestFit="1" customWidth="1"/>
    <col min="21" max="21" width="14" customWidth="1"/>
    <col min="22" max="22" width="10.140625" bestFit="1" customWidth="1"/>
    <col min="23" max="23" width="12.5703125" style="6" bestFit="1" customWidth="1"/>
  </cols>
  <sheetData>
    <row r="2" spans="1:15" ht="38.25" x14ac:dyDescent="0.2">
      <c r="B2" s="2" t="s">
        <v>4</v>
      </c>
      <c r="C2" s="2" t="s">
        <v>5</v>
      </c>
      <c r="D2" s="2" t="s">
        <v>35</v>
      </c>
      <c r="E2" s="2" t="s">
        <v>6</v>
      </c>
      <c r="F2" s="2" t="s">
        <v>0</v>
      </c>
      <c r="G2" s="7" t="s">
        <v>1</v>
      </c>
      <c r="H2" s="142" t="str">
        <f>Inputs!B4</f>
        <v>Residential</v>
      </c>
      <c r="I2" s="46" t="str">
        <f>Inputs!C4</f>
        <v>General Service &lt; 50 kW</v>
      </c>
      <c r="J2" s="46" t="str">
        <f>Inputs!D4</f>
        <v>General Service 50 to 499 kW</v>
      </c>
      <c r="K2" s="46" t="str">
        <f>Inputs!E4</f>
        <v>General Service 500 to 1499 kW</v>
      </c>
      <c r="L2" s="46" t="str">
        <f>Inputs!F4</f>
        <v>General Service 1500-4999 kW</v>
      </c>
      <c r="M2" s="46" t="str">
        <f>Inputs!G4</f>
        <v>Unmetered Scattered Load</v>
      </c>
      <c r="N2" s="46" t="str">
        <f>Inputs!H4</f>
        <v>Sentinel Lighting</v>
      </c>
      <c r="O2" s="46" t="str">
        <f>Inputs!I4</f>
        <v xml:space="preserve">Street Lighting </v>
      </c>
    </row>
    <row r="3" spans="1:15" x14ac:dyDescent="0.2">
      <c r="A3">
        <v>2016</v>
      </c>
      <c r="B3" s="60">
        <f>'Power Purchased Model'!D116</f>
        <v>201771248.14999998</v>
      </c>
      <c r="C3" s="60">
        <f>'Power Purchased Model'!Q116</f>
        <v>199106105.58659732</v>
      </c>
      <c r="D3" s="24">
        <f t="shared" ref="D3:D9" si="0">C3-B3</f>
        <v>-2665142.5634026527</v>
      </c>
      <c r="E3" s="5">
        <f t="shared" ref="E3:E9" si="1">D3/B3</f>
        <v>-1.3208733096706341E-2</v>
      </c>
      <c r="F3" s="17">
        <f>1 +(B3-G3)/G3</f>
        <v>1.0297694965305608</v>
      </c>
      <c r="G3" s="6">
        <f t="shared" ref="G3:G10" si="2">SUM(H3:O3)</f>
        <v>195938264.66</v>
      </c>
      <c r="H3" s="38">
        <f>SUMIF(Inputs!A$24:A$143,'Rate Class Energy Model'!A3,Inputs!F$24:F$143)</f>
        <v>50305889.600000009</v>
      </c>
      <c r="I3" s="38">
        <f>SUMIF(Inputs!$A$24:$A$143,'Rate Class Energy Model'!$A$3,Inputs!$H$24:$H$143)</f>
        <v>21381406.040000003</v>
      </c>
      <c r="J3" s="38">
        <f>SUMIF(Inputs!$A$24:$A$143,'Rate Class Energy Model'!$A$3,Inputs!$J$24:$J$143)</f>
        <v>44669118.74000001</v>
      </c>
      <c r="K3" s="38">
        <f>SUMIF(Inputs!$A$24:$A$143,'Rate Class Energy Model'!$A$3,Inputs!$M$24:$M$143)</f>
        <v>42123343.190000005</v>
      </c>
      <c r="L3" s="38">
        <f>SUMIF(Inputs!$A$24:$A$143,'Rate Class Energy Model'!$A$3,Inputs!$P$24:$P$143)</f>
        <v>35542048.920000002</v>
      </c>
      <c r="M3" s="38">
        <f>SUMIF(Inputs!A$24:A$143,'Rate Class Energy Model'!$A3,Inputs!S$24:S$143)</f>
        <v>386200.86999999994</v>
      </c>
      <c r="N3" s="38">
        <f>SUMIF(Inputs!A$24:A$143,'Rate Class Energy Model'!$A3,Inputs!V$24:V$143)</f>
        <v>102640.95</v>
      </c>
      <c r="O3" s="38">
        <f>SUMIF(Inputs!A$24:A$143,'Rate Class Energy Model'!A3,Inputs!Y$24:Y$143)</f>
        <v>1427616.35</v>
      </c>
    </row>
    <row r="4" spans="1:15" x14ac:dyDescent="0.2">
      <c r="A4">
        <v>2017</v>
      </c>
      <c r="B4" s="60">
        <f>'Power Purchased Model'!D117</f>
        <v>189637460.56999999</v>
      </c>
      <c r="C4" s="60">
        <f>'Power Purchased Model'!Q117</f>
        <v>190717892.72147784</v>
      </c>
      <c r="D4" s="24">
        <f t="shared" si="0"/>
        <v>1080432.1514778435</v>
      </c>
      <c r="E4" s="5">
        <f t="shared" si="1"/>
        <v>5.6973561459341977E-3</v>
      </c>
      <c r="F4" s="17">
        <f t="shared" ref="F4:F9" si="3">1 +(B4-G4)/G4</f>
        <v>1.0316132564412603</v>
      </c>
      <c r="G4" s="6">
        <f t="shared" si="2"/>
        <v>183826118.34999996</v>
      </c>
      <c r="H4" s="38">
        <f>SUMIF(Inputs!A$24:A$143,'Rate Class Energy Model'!A4,Inputs!F$24:F$143)</f>
        <v>48524267.109999999</v>
      </c>
      <c r="I4" s="38">
        <f>SUMIF(Inputs!$A$24:$A$143,'Rate Class Energy Model'!$A$4,Inputs!$H$24:$H$143)</f>
        <v>20751634.890000001</v>
      </c>
      <c r="J4" s="38">
        <f>SUMIF(Inputs!$A$24:$A$143,'Rate Class Energy Model'!$A$4,Inputs!$J$24:$J$143)</f>
        <v>42593613.240000002</v>
      </c>
      <c r="K4" s="38">
        <f>SUMIF(Inputs!$A$24:$A$143,'Rate Class Energy Model'!$A$4,Inputs!$M$24:$M$143)</f>
        <v>39292384.899999991</v>
      </c>
      <c r="L4" s="38">
        <f>SUMIF(Inputs!$A$24:$A$143,'Rate Class Energy Model'!$A$4,Inputs!$P$24:$P$143)</f>
        <v>30775849.759999998</v>
      </c>
      <c r="M4" s="38">
        <f>SUMIF(Inputs!A$24:A$143,'Rate Class Energy Model'!$A4,Inputs!S$24:S$143)</f>
        <v>367142.77</v>
      </c>
      <c r="N4" s="38">
        <f>SUMIF(Inputs!A$24:A$143,'Rate Class Energy Model'!$A4,Inputs!V$24:V$143)</f>
        <v>98397.14</v>
      </c>
      <c r="O4" s="38">
        <f>SUMIF(Inputs!A$24:A$143,'Rate Class Energy Model'!A4,Inputs!Y$24:Y$143)</f>
        <v>1422828.54</v>
      </c>
    </row>
    <row r="5" spans="1:15" x14ac:dyDescent="0.2">
      <c r="A5">
        <v>2018</v>
      </c>
      <c r="B5" s="60">
        <f>'Power Purchased Model'!D118</f>
        <v>189993954.81999999</v>
      </c>
      <c r="C5" s="60">
        <f>'Power Purchased Model'!Q118</f>
        <v>189665090.34029546</v>
      </c>
      <c r="D5" s="24">
        <f t="shared" si="0"/>
        <v>-328864.47970452905</v>
      </c>
      <c r="E5" s="5">
        <f t="shared" si="1"/>
        <v>-1.7309207549055694E-3</v>
      </c>
      <c r="F5" s="17">
        <f t="shared" si="3"/>
        <v>1.0339778963343598</v>
      </c>
      <c r="G5" s="6">
        <f t="shared" si="2"/>
        <v>183750499.39999995</v>
      </c>
      <c r="H5" s="38">
        <f>SUMIF(Inputs!A$24:A$143,'Rate Class Energy Model'!A5,Inputs!F$24:F$143)</f>
        <v>52869436.35999997</v>
      </c>
      <c r="I5" s="38">
        <f>SUMIF(Inputs!$A$24:$A$143,'Rate Class Energy Model'!$A$5,Inputs!$H$24:$H$143)</f>
        <v>21318676.38000001</v>
      </c>
      <c r="J5" s="38">
        <f>SUMIF(Inputs!$A$24:$A$143,'Rate Class Energy Model'!$A$5,Inputs!$J$24:$J$143)</f>
        <v>42394829.209999993</v>
      </c>
      <c r="K5" s="38">
        <f>SUMIF(Inputs!$A$24:$A$143,'Rate Class Energy Model'!$A$5,Inputs!$M$24:$M$143)</f>
        <v>36925221.219999999</v>
      </c>
      <c r="L5" s="38">
        <f>SUMIF(Inputs!$A$24:$A$143,'Rate Class Energy Model'!$A$5,Inputs!$P$24:$P$143)</f>
        <v>28687524.48</v>
      </c>
      <c r="M5" s="38">
        <f>SUMIF(Inputs!A$24:A$143,'Rate Class Energy Model'!A5,Inputs!S$24:S$143)</f>
        <v>341865.81999999995</v>
      </c>
      <c r="N5" s="38">
        <f>SUMIF(Inputs!A$24:A$143,'Rate Class Energy Model'!$A5,Inputs!V$24:V$143)</f>
        <v>95814.57</v>
      </c>
      <c r="O5" s="38">
        <f>SUMIF(Inputs!A$24:A$143,'Rate Class Energy Model'!A5,Inputs!Y$24:Y$143)</f>
        <v>1117131.3599999999</v>
      </c>
    </row>
    <row r="6" spans="1:15" x14ac:dyDescent="0.2">
      <c r="A6">
        <v>2019</v>
      </c>
      <c r="B6" s="60">
        <f>'Power Purchased Model'!D119</f>
        <v>177282153.69999999</v>
      </c>
      <c r="C6" s="60">
        <f>'Power Purchased Model'!Q119</f>
        <v>179737436.55099034</v>
      </c>
      <c r="D6" s="24">
        <f t="shared" si="0"/>
        <v>2455282.850990355</v>
      </c>
      <c r="E6" s="5">
        <f t="shared" si="1"/>
        <v>1.3849577071052669E-2</v>
      </c>
      <c r="F6" s="17">
        <f t="shared" si="3"/>
        <v>1.0325891191050567</v>
      </c>
      <c r="G6" s="6">
        <f t="shared" si="2"/>
        <v>171687024.79999998</v>
      </c>
      <c r="H6" s="38">
        <f>SUMIF(Inputs!A$24:A$143,'Rate Class Energy Model'!A6,Inputs!F$24:F$143)</f>
        <v>51949016.819999948</v>
      </c>
      <c r="I6" s="38">
        <f>SUMIF(Inputs!$A$24:$A$143,'Rate Class Energy Model'!$A$6,Inputs!$H$24:$H$143)</f>
        <v>21167457.630000006</v>
      </c>
      <c r="J6" s="38">
        <f>SUMIF(Inputs!$A$24:$A$143,'Rate Class Energy Model'!$A$6,Inputs!$J$24:$J$143)</f>
        <v>42725411.180000007</v>
      </c>
      <c r="K6" s="38">
        <f>SUMIF(Inputs!$A$24:$A$143,'Rate Class Energy Model'!$A$6,Inputs!$M$24:$M$143)</f>
        <v>28159132.399999999</v>
      </c>
      <c r="L6" s="38">
        <f>SUMIF(Inputs!$A$24:$A$143,'Rate Class Energy Model'!$A$6,Inputs!$P$24:$P$143)</f>
        <v>26720406.400000002</v>
      </c>
      <c r="M6" s="38">
        <f>SUMIF(Inputs!A$24:A$143,'Rate Class Energy Model'!A6,Inputs!S$24:S$143)</f>
        <v>340304.06</v>
      </c>
      <c r="N6" s="38">
        <f>SUMIF(Inputs!A$24:A$143,'Rate Class Energy Model'!$A6,Inputs!V$24:V$143)</f>
        <v>79644.31</v>
      </c>
      <c r="O6" s="38">
        <f>SUMIF(Inputs!A$24:A$143,'Rate Class Energy Model'!A6,Inputs!Y$24:Y$143)</f>
        <v>545652</v>
      </c>
    </row>
    <row r="7" spans="1:15" x14ac:dyDescent="0.2">
      <c r="A7">
        <v>2020</v>
      </c>
      <c r="B7" s="60">
        <f>'Power Purchased Model'!D120</f>
        <v>173380458.75</v>
      </c>
      <c r="C7" s="60">
        <f>'Power Purchased Model'!Q120</f>
        <v>173000313.59235924</v>
      </c>
      <c r="D7" s="24">
        <f t="shared" si="0"/>
        <v>-380145.15764075518</v>
      </c>
      <c r="E7" s="5">
        <f t="shared" si="1"/>
        <v>-2.1925490356954958E-3</v>
      </c>
      <c r="F7" s="17">
        <f t="shared" si="3"/>
        <v>1.0352458734800551</v>
      </c>
      <c r="G7" s="6">
        <f t="shared" si="2"/>
        <v>167477565.66000003</v>
      </c>
      <c r="H7" s="38">
        <f>SUMIF(Inputs!A$24:A$143,'Rate Class Energy Model'!A7,Inputs!F$24:F$143)</f>
        <v>55641421.240000024</v>
      </c>
      <c r="I7" s="38">
        <f>SUMIF(Inputs!$A$24:$A$143,'Rate Class Energy Model'!$A$7,Inputs!$H$24:$H$143)</f>
        <v>21397530.899999999</v>
      </c>
      <c r="J7" s="38">
        <f>SUMIF(Inputs!$A$24:$A$143,'Rate Class Energy Model'!$A$7,Inputs!$J$24:$J$143)</f>
        <v>43788589.379999995</v>
      </c>
      <c r="K7" s="38">
        <f>SUMIF(Inputs!$A$24:$A$143,'Rate Class Energy Model'!$A$7,Inputs!$M$24:$M$143)</f>
        <v>25142092.139999997</v>
      </c>
      <c r="L7" s="38">
        <f>SUMIF(Inputs!$A$24:$A$143,'Rate Class Energy Model'!$A$7,Inputs!$P$24:$P$143)</f>
        <v>20564790.800000001</v>
      </c>
      <c r="M7" s="38">
        <f>SUMIF(Inputs!A$24:A$143,'Rate Class Energy Model'!A7,Inputs!S$24:S$143)</f>
        <v>340496.02</v>
      </c>
      <c r="N7" s="38">
        <f>SUMIF(Inputs!A$24:A$143,'Rate Class Energy Model'!$A7,Inputs!V$24:V$143)</f>
        <v>75008.179999999993</v>
      </c>
      <c r="O7" s="38">
        <f>SUMIF(Inputs!A$24:A$143,'Rate Class Energy Model'!A7,Inputs!Y$24:Y$143)</f>
        <v>527637</v>
      </c>
    </row>
    <row r="8" spans="1:15" x14ac:dyDescent="0.2">
      <c r="A8">
        <v>2021</v>
      </c>
      <c r="B8" s="60">
        <f>'Power Purchased Model'!D121</f>
        <v>178063868.77000004</v>
      </c>
      <c r="C8" s="60">
        <f>'Power Purchased Model'!Q121</f>
        <v>180464363.9729085</v>
      </c>
      <c r="D8" s="24">
        <f t="shared" si="0"/>
        <v>2400495.2029084563</v>
      </c>
      <c r="E8" s="5">
        <f t="shared" si="1"/>
        <v>1.3481090911312877E-2</v>
      </c>
      <c r="F8" s="17">
        <f t="shared" si="3"/>
        <v>1.0340712611785601</v>
      </c>
      <c r="G8" s="6">
        <f t="shared" si="2"/>
        <v>172196903.11000004</v>
      </c>
      <c r="H8" s="38">
        <f>SUMIF(Inputs!A$24:A$143,'Rate Class Energy Model'!A8,Inputs!F$24:F$143)</f>
        <v>57807950.240000054</v>
      </c>
      <c r="I8" s="38">
        <f>SUMIF(Inputs!$A$24:$A$143,'Rate Class Energy Model'!$A$8,Inputs!$H$24:$H$143)</f>
        <v>21062931.550000001</v>
      </c>
      <c r="J8" s="38">
        <f>SUMIF(Inputs!$A$24:$A$143,'Rate Class Energy Model'!$A$8,Inputs!$J$24:$J$143)</f>
        <v>46750239.970000006</v>
      </c>
      <c r="K8" s="38">
        <f>SUMIF(Inputs!$A$24:$A$143,'Rate Class Energy Model'!$A$8,Inputs!$M$24:$M$143)</f>
        <v>27055986.100000001</v>
      </c>
      <c r="L8" s="38">
        <f>SUMIF(Inputs!$A$24:$A$143,'Rate Class Energy Model'!$A$8,Inputs!$P$24:$P$143)</f>
        <v>18499236.399999999</v>
      </c>
      <c r="M8" s="38">
        <f>SUMIF(Inputs!A$24:A$143,'Rate Class Energy Model'!A8,Inputs!S$24:S$143)</f>
        <v>340759.81</v>
      </c>
      <c r="N8" s="38">
        <f>SUMIF(Inputs!A$24:A$143,'Rate Class Energy Model'!$A8,Inputs!V$24:V$143)</f>
        <v>72438</v>
      </c>
      <c r="O8" s="38">
        <f>SUMIF(Inputs!A$24:A$143,'Rate Class Energy Model'!A8,Inputs!Y$24:Y$143)</f>
        <v>607361.03999999992</v>
      </c>
    </row>
    <row r="9" spans="1:15" x14ac:dyDescent="0.2">
      <c r="A9">
        <v>2022</v>
      </c>
      <c r="B9" s="60">
        <f>'Power Purchased Model'!D122</f>
        <v>185144755.56000003</v>
      </c>
      <c r="C9" s="60">
        <f>'Power Purchased Model'!Q122</f>
        <v>183367807.66229105</v>
      </c>
      <c r="D9" s="24">
        <f t="shared" si="0"/>
        <v>-1776947.8977089822</v>
      </c>
      <c r="E9" s="5">
        <f t="shared" si="1"/>
        <v>-9.5976139984863089E-3</v>
      </c>
      <c r="F9" s="17">
        <f t="shared" si="3"/>
        <v>1.0362930645547737</v>
      </c>
      <c r="G9" s="6">
        <f t="shared" si="2"/>
        <v>178660614.34999996</v>
      </c>
      <c r="H9" s="38">
        <f>SUMIF(Inputs!A$24:A$143,'Rate Class Energy Model'!A9,Inputs!F$24:F$143)</f>
        <v>59629357.129999965</v>
      </c>
      <c r="I9" s="38">
        <f>SUMIF(Inputs!$A$24:$A$143,'Rate Class Energy Model'!$A$9,Inputs!$H$24:$H$143)</f>
        <v>23000509.379999999</v>
      </c>
      <c r="J9" s="38">
        <f>SUMIF(Inputs!$A$24:$A$143,'Rate Class Energy Model'!$A$9,Inputs!$J$24:$J$143)</f>
        <v>54079512.469999991</v>
      </c>
      <c r="K9" s="38">
        <f>SUMIF(Inputs!$A$24:$A$143,'Rate Class Energy Model'!$A$9,Inputs!$M$24:$M$143)</f>
        <v>23120478.16</v>
      </c>
      <c r="L9" s="38">
        <f>SUMIF(Inputs!$A$24:$A$143,'Rate Class Energy Model'!$A$9,Inputs!$P$24:$P$143)</f>
        <v>17800153.25</v>
      </c>
      <c r="M9" s="38">
        <f>SUMIF(Inputs!A$24:A$143,'Rate Class Energy Model'!A9,Inputs!S$24:S$143)</f>
        <v>338889.99</v>
      </c>
      <c r="N9" s="38">
        <f>SUMIF(Inputs!A$24:A$143,'Rate Class Energy Model'!$A9,Inputs!V$24:V$143)</f>
        <v>72091.330000000016</v>
      </c>
      <c r="O9" s="38">
        <f>SUMIF(Inputs!A$24:A$143,'Rate Class Energy Model'!A9,Inputs!Y$24:Y$143)</f>
        <v>619622.6399999999</v>
      </c>
    </row>
    <row r="10" spans="1:15" x14ac:dyDescent="0.2">
      <c r="A10" s="45">
        <v>2023</v>
      </c>
      <c r="B10" s="60">
        <f>'Power Purchased Model'!D123</f>
        <v>184342290.19570395</v>
      </c>
      <c r="C10" s="6">
        <f>'Power Purchased Model'!Q123</f>
        <v>183957000.13911551</v>
      </c>
      <c r="D10" s="24">
        <f t="shared" ref="D10" si="4">C10-B10</f>
        <v>-385290.05658844113</v>
      </c>
      <c r="E10" s="5">
        <f t="shared" ref="E10" si="5">D10/B10</f>
        <v>-2.0900795806507791E-3</v>
      </c>
      <c r="F10" s="17">
        <f t="shared" ref="F10" si="6">1 +(B10-G10)/G10</f>
        <v>1.0247335783803431</v>
      </c>
      <c r="G10" s="6">
        <f t="shared" si="2"/>
        <v>179892895.17287871</v>
      </c>
      <c r="H10" s="38">
        <v>59873386</v>
      </c>
      <c r="I10" s="38">
        <v>23287931</v>
      </c>
      <c r="J10" s="38">
        <v>57192547</v>
      </c>
      <c r="K10" s="38">
        <v>21487526</v>
      </c>
      <c r="L10" s="38">
        <v>17000470</v>
      </c>
      <c r="M10" s="38">
        <v>333947</v>
      </c>
      <c r="N10" s="38">
        <v>72340.172878717756</v>
      </c>
      <c r="O10" s="38">
        <v>644748</v>
      </c>
    </row>
    <row r="11" spans="1:15" x14ac:dyDescent="0.2">
      <c r="A11" s="45">
        <v>2024</v>
      </c>
      <c r="B11" s="6"/>
      <c r="C11" s="15">
        <f>'Power Purchased Model'!Q124</f>
        <v>188980580.50970057</v>
      </c>
      <c r="G11" s="15">
        <f>C11/$F$13</f>
        <v>183069860.09342986</v>
      </c>
      <c r="H11"/>
      <c r="I11"/>
      <c r="J11"/>
      <c r="K11"/>
      <c r="L11"/>
      <c r="M11"/>
      <c r="N11"/>
      <c r="O11"/>
    </row>
    <row r="12" spans="1:15" x14ac:dyDescent="0.2"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14" t="s">
        <v>9</v>
      </c>
      <c r="C13" s="35"/>
      <c r="D13" s="37"/>
      <c r="E13" s="52" t="s">
        <v>148</v>
      </c>
      <c r="F13" s="17">
        <f>AVERAGE(F3:F10)</f>
        <v>1.0322866932506212</v>
      </c>
      <c r="H13" s="59"/>
      <c r="I13" s="59"/>
      <c r="J13" s="59"/>
      <c r="K13" s="59"/>
      <c r="L13" s="59"/>
      <c r="M13" s="59"/>
      <c r="N13" s="59"/>
      <c r="O13" s="59"/>
    </row>
    <row r="14" spans="1:15" x14ac:dyDescent="0.2">
      <c r="C14" s="157">
        <f>C10/1000000</f>
        <v>183.95700013911551</v>
      </c>
      <c r="D14" s="37"/>
      <c r="E14" s="52"/>
      <c r="F14" s="17"/>
      <c r="G14" s="157">
        <f>G10/1000000</f>
        <v>179.89289517287872</v>
      </c>
    </row>
    <row r="15" spans="1:15" x14ac:dyDescent="0.2">
      <c r="C15" s="157">
        <f>C11/1000000</f>
        <v>188.98058050970056</v>
      </c>
      <c r="D15" s="37"/>
      <c r="G15" s="157">
        <f>G11/1000000</f>
        <v>183.06986009342987</v>
      </c>
    </row>
    <row r="16" spans="1:15" x14ac:dyDescent="0.2">
      <c r="A16" s="16" t="s">
        <v>11</v>
      </c>
      <c r="B16" s="11"/>
    </row>
    <row r="18" spans="1:18" x14ac:dyDescent="0.2">
      <c r="A18">
        <v>2023</v>
      </c>
      <c r="H18" s="6">
        <f>H10/'Rate Class Customer Model'!B18</f>
        <v>7889.4961127948345</v>
      </c>
      <c r="I18" s="6">
        <f>I10/'Rate Class Customer Model'!C18</f>
        <v>33947.42128279883</v>
      </c>
      <c r="J18" s="6">
        <f>J10/'Rate Class Customer Model'!D18</f>
        <v>752533.51315789472</v>
      </c>
      <c r="K18" s="6">
        <f>K10/'Rate Class Customer Model'!E18</f>
        <v>3069646.5714285714</v>
      </c>
      <c r="L18" s="6">
        <f>L10/'Rate Class Customer Model'!F18</f>
        <v>8500235</v>
      </c>
      <c r="M18" s="6">
        <f>M10/'Rate Class Customer Model'!G18</f>
        <v>6184.2037037037035</v>
      </c>
      <c r="N18" s="6">
        <f>N10/'Rate Class Customer Model'!H18</f>
        <v>645.89440070283706</v>
      </c>
      <c r="O18" s="6">
        <f>O10/'Rate Class Customer Model'!I18</f>
        <v>644748</v>
      </c>
    </row>
    <row r="19" spans="1:18" x14ac:dyDescent="0.2">
      <c r="A19">
        <f>A11</f>
        <v>2024</v>
      </c>
      <c r="H19" s="15">
        <f>H18</f>
        <v>7889.4961127948345</v>
      </c>
      <c r="I19" s="15">
        <f t="shared" ref="I19:O19" si="7">I18</f>
        <v>33947.42128279883</v>
      </c>
      <c r="J19" s="15">
        <f t="shared" si="7"/>
        <v>752533.51315789472</v>
      </c>
      <c r="K19" s="15">
        <f t="shared" si="7"/>
        <v>3069646.5714285714</v>
      </c>
      <c r="L19" s="15">
        <f t="shared" si="7"/>
        <v>8500235</v>
      </c>
      <c r="M19" s="15">
        <f t="shared" si="7"/>
        <v>6184.2037037037035</v>
      </c>
      <c r="N19" s="15">
        <f t="shared" si="7"/>
        <v>645.89440070283706</v>
      </c>
      <c r="O19" s="15">
        <f t="shared" si="7"/>
        <v>644748</v>
      </c>
    </row>
    <row r="20" spans="1:18" x14ac:dyDescent="0.2">
      <c r="H20"/>
      <c r="I20"/>
      <c r="J20"/>
      <c r="K20"/>
      <c r="L20"/>
      <c r="M20"/>
      <c r="N20"/>
      <c r="O20"/>
    </row>
    <row r="21" spans="1:18" x14ac:dyDescent="0.2">
      <c r="D21" s="6"/>
      <c r="H21" s="18"/>
      <c r="I21" s="18"/>
      <c r="J21" s="18"/>
      <c r="K21" s="18"/>
      <c r="L21" s="18"/>
      <c r="M21" s="18"/>
      <c r="N21" s="18"/>
      <c r="O21" s="18"/>
    </row>
    <row r="22" spans="1:18" x14ac:dyDescent="0.2">
      <c r="A22" s="14" t="s">
        <v>38</v>
      </c>
    </row>
    <row r="23" spans="1:18" x14ac:dyDescent="0.2">
      <c r="A23" s="43">
        <v>2024</v>
      </c>
      <c r="G23" s="6">
        <f>SUM(H23:O23)</f>
        <v>182453000.19457629</v>
      </c>
      <c r="H23" s="6">
        <f>H19*'Rate Class Customer Model'!B19</f>
        <v>60673255.202559307</v>
      </c>
      <c r="I23" s="6">
        <f>I19*'Rate Class Customer Model'!C19</f>
        <v>24073660.091307893</v>
      </c>
      <c r="J23" s="6">
        <f>J19*'Rate Class Customer Model'!D19</f>
        <v>58167053.727830388</v>
      </c>
      <c r="K23" s="6">
        <f>K19*'Rate Class Customer Model'!E19</f>
        <v>21487526</v>
      </c>
      <c r="L23" s="6">
        <f>L19*'Rate Class Customer Model'!F19</f>
        <v>17000470</v>
      </c>
      <c r="M23" s="6">
        <f>M19*'Rate Class Customer Model'!G19</f>
        <v>333947</v>
      </c>
      <c r="N23" s="6">
        <f>N19*'Rate Class Customer Model'!H19</f>
        <v>72340.172878717756</v>
      </c>
      <c r="O23" s="6">
        <f>O19*'Rate Class Customer Model'!I19</f>
        <v>644748</v>
      </c>
    </row>
    <row r="25" spans="1:18" x14ac:dyDescent="0.2">
      <c r="A25" s="14" t="s">
        <v>37</v>
      </c>
      <c r="Q25" s="6"/>
    </row>
    <row r="26" spans="1:18" x14ac:dyDescent="0.2">
      <c r="A26" s="43">
        <f>+A23</f>
        <v>2024</v>
      </c>
      <c r="G26" s="15">
        <f>G11</f>
        <v>183069860.09342986</v>
      </c>
      <c r="H26" s="6">
        <f t="shared" ref="H26:O26" si="8">H23+H32</f>
        <v>60942975.571376532</v>
      </c>
      <c r="I26" s="6">
        <f t="shared" si="8"/>
        <v>24180678.520711929</v>
      </c>
      <c r="J26" s="6">
        <f t="shared" si="8"/>
        <v>58349939.107185498</v>
      </c>
      <c r="K26" s="6">
        <f t="shared" si="8"/>
        <v>21530389.004209809</v>
      </c>
      <c r="L26" s="6">
        <f t="shared" si="8"/>
        <v>17014842.717067398</v>
      </c>
      <c r="M26" s="6">
        <f t="shared" si="8"/>
        <v>333947</v>
      </c>
      <c r="N26" s="6">
        <f t="shared" si="8"/>
        <v>72340.172878717756</v>
      </c>
      <c r="O26" s="6">
        <f t="shared" si="8"/>
        <v>644748</v>
      </c>
      <c r="P26" s="6">
        <f>SUM(H26:O26)</f>
        <v>183069860.09342986</v>
      </c>
      <c r="Q26" s="6">
        <f>P26-G26</f>
        <v>0</v>
      </c>
      <c r="R26" s="6" t="e">
        <f>Q26-#REF!</f>
        <v>#REF!</v>
      </c>
    </row>
    <row r="27" spans="1:18" x14ac:dyDescent="0.2">
      <c r="Q27" s="6"/>
    </row>
    <row r="28" spans="1:18" x14ac:dyDescent="0.2">
      <c r="A28" t="s">
        <v>39</v>
      </c>
      <c r="H28" s="50">
        <f>(100%+J28)/2</f>
        <v>0.77355696553430442</v>
      </c>
      <c r="I28" s="51">
        <f>H28</f>
        <v>0.77355696553430442</v>
      </c>
      <c r="J28" s="51">
        <v>0.54711393106860873</v>
      </c>
      <c r="K28" s="51">
        <f>J28-20%</f>
        <v>0.34711393106860872</v>
      </c>
      <c r="L28" s="51">
        <f>K28-20%</f>
        <v>0.14711393106860871</v>
      </c>
      <c r="M28" s="51">
        <v>0</v>
      </c>
      <c r="N28" s="51">
        <v>0</v>
      </c>
      <c r="O28" s="51">
        <v>0</v>
      </c>
    </row>
    <row r="29" spans="1:18" x14ac:dyDescent="0.2">
      <c r="A29" s="43">
        <f>+A26</f>
        <v>2024</v>
      </c>
      <c r="G29" s="6">
        <f>G26-G23</f>
        <v>616859.89885357022</v>
      </c>
      <c r="H29" s="6">
        <f t="shared" ref="H29:O29" si="9">H23*H$28</f>
        <v>46934219.183580227</v>
      </c>
      <c r="I29" s="6">
        <f t="shared" si="9"/>
        <v>18622347.44953642</v>
      </c>
      <c r="J29" s="6">
        <f t="shared" si="9"/>
        <v>31824005.423712254</v>
      </c>
      <c r="K29" s="6">
        <f t="shared" si="9"/>
        <v>7458619.6187989376</v>
      </c>
      <c r="L29" s="6">
        <f t="shared" si="9"/>
        <v>2501005.9717139504</v>
      </c>
      <c r="M29" s="6">
        <f t="shared" si="9"/>
        <v>0</v>
      </c>
      <c r="N29" s="6">
        <f t="shared" si="9"/>
        <v>0</v>
      </c>
      <c r="O29" s="6">
        <f t="shared" si="9"/>
        <v>0</v>
      </c>
      <c r="P29" s="6">
        <f>SUM(H29:O29)</f>
        <v>107340197.64734179</v>
      </c>
    </row>
    <row r="30" spans="1:18" ht="12" customHeight="1" x14ac:dyDescent="0.2"/>
    <row r="31" spans="1:18" x14ac:dyDescent="0.2">
      <c r="A31" t="s">
        <v>40</v>
      </c>
    </row>
    <row r="32" spans="1:18" x14ac:dyDescent="0.2">
      <c r="A32" s="43">
        <f>+A29</f>
        <v>2024</v>
      </c>
      <c r="G32" s="6">
        <f>SUM(H32:O32)</f>
        <v>616859.89885357022</v>
      </c>
      <c r="H32" s="6">
        <f>H29/$P$29*$G$29</f>
        <v>269720.3688172226</v>
      </c>
      <c r="I32" s="6">
        <f t="shared" ref="I32:O32" si="10">I29/$P$29*$G$29</f>
        <v>107018.42940403376</v>
      </c>
      <c r="J32" s="6">
        <f t="shared" si="10"/>
        <v>182885.37935511023</v>
      </c>
      <c r="K32" s="6">
        <f t="shared" si="10"/>
        <v>42863.004209807375</v>
      </c>
      <c r="L32" s="6">
        <f t="shared" si="10"/>
        <v>14372.71706739631</v>
      </c>
      <c r="M32" s="6">
        <f t="shared" si="10"/>
        <v>0</v>
      </c>
      <c r="N32" s="6">
        <f t="shared" si="10"/>
        <v>0</v>
      </c>
      <c r="O32" s="6">
        <f t="shared" si="10"/>
        <v>0</v>
      </c>
    </row>
    <row r="33" spans="1:23" x14ac:dyDescent="0.2">
      <c r="G33" s="19"/>
    </row>
    <row r="34" spans="1:23" x14ac:dyDescent="0.2">
      <c r="A34" s="14"/>
    </row>
    <row r="35" spans="1:23" x14ac:dyDescent="0.2">
      <c r="A35" s="14"/>
      <c r="J35" s="6">
        <f>J26</f>
        <v>58349939.107185498</v>
      </c>
      <c r="K35" s="6">
        <f>K26</f>
        <v>21530389.004209809</v>
      </c>
      <c r="L35" s="6">
        <f>SUM(J35:K35)</f>
        <v>79880328.111395299</v>
      </c>
    </row>
    <row r="36" spans="1:23" x14ac:dyDescent="0.2">
      <c r="A36" s="14"/>
      <c r="J36" s="6">
        <f>J29</f>
        <v>31824005.423712254</v>
      </c>
      <c r="K36" s="6">
        <f>K29</f>
        <v>7458619.6187989376</v>
      </c>
      <c r="L36" s="6">
        <f>SUM(J36:K36)</f>
        <v>39282625.042511195</v>
      </c>
    </row>
    <row r="37" spans="1:23" x14ac:dyDescent="0.2">
      <c r="L37" s="59">
        <f>L36/L35</f>
        <v>0.49176844876914505</v>
      </c>
    </row>
    <row r="38" spans="1:23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W38"/>
    </row>
    <row r="39" spans="1:23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W39"/>
    </row>
    <row r="40" spans="1:23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W40"/>
    </row>
    <row r="41" spans="1:23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W41"/>
    </row>
    <row r="44" spans="1:23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W44"/>
    </row>
    <row r="45" spans="1:23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W45"/>
    </row>
    <row r="46" spans="1:23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W46"/>
    </row>
    <row r="47" spans="1:23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W47"/>
    </row>
    <row r="48" spans="1:23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W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R87"/>
  <sheetViews>
    <sheetView workbookViewId="0">
      <selection activeCell="H23" sqref="H23"/>
    </sheetView>
  </sheetViews>
  <sheetFormatPr defaultRowHeight="12.75" x14ac:dyDescent="0.2"/>
  <cols>
    <col min="1" max="1" width="24.42578125" customWidth="1"/>
    <col min="2" max="2" width="15" style="6" customWidth="1"/>
    <col min="3" max="3" width="14.140625" style="6" bestFit="1" customWidth="1"/>
    <col min="4" max="4" width="17.85546875" style="6" bestFit="1" customWidth="1"/>
    <col min="5" max="6" width="17.85546875" style="6" customWidth="1"/>
    <col min="7" max="7" width="12.5703125" style="6" customWidth="1"/>
    <col min="8" max="9" width="11.42578125" style="6" customWidth="1"/>
    <col min="10" max="10" width="11.5703125" customWidth="1"/>
    <col min="11" max="11" width="12.5703125" bestFit="1" customWidth="1"/>
    <col min="12" max="12" width="12.5703125" customWidth="1"/>
    <col min="13" max="13" width="12.5703125" bestFit="1" customWidth="1"/>
    <col min="14" max="14" width="11.5703125" bestFit="1" customWidth="1"/>
    <col min="15" max="17" width="11.5703125" customWidth="1"/>
    <col min="18" max="18" width="10.5703125" bestFit="1" customWidth="1"/>
    <col min="19" max="20" width="9.140625" customWidth="1"/>
  </cols>
  <sheetData>
    <row r="1" spans="1:18" x14ac:dyDescent="0.2">
      <c r="B1" s="173" t="s">
        <v>57</v>
      </c>
      <c r="C1" s="174"/>
      <c r="D1" s="174"/>
      <c r="E1" s="174"/>
      <c r="F1" s="174"/>
      <c r="G1" s="174"/>
      <c r="H1" s="174"/>
      <c r="I1" s="174"/>
    </row>
    <row r="2" spans="1:18" ht="38.25" x14ac:dyDescent="0.2">
      <c r="B2" s="9" t="str">
        <f>'Rate Class Energy Model'!H2</f>
        <v>Residential</v>
      </c>
      <c r="C2" s="9" t="str">
        <f>'Rate Class Energy Model'!I2</f>
        <v>General Service &lt; 50 kW</v>
      </c>
      <c r="D2" s="9" t="str">
        <f>'Rate Class Energy Model'!J2</f>
        <v>General Service 50 to 499 kW</v>
      </c>
      <c r="E2" s="9" t="str">
        <f>'Rate Class Energy Model'!K2</f>
        <v>General Service 500 to 1499 kW</v>
      </c>
      <c r="F2" s="9" t="str">
        <f>'Rate Class Energy Model'!L2</f>
        <v>General Service 1500-4999 kW</v>
      </c>
      <c r="G2" s="9" t="str">
        <f>'Rate Class Energy Model'!M2</f>
        <v>Unmetered Scattered Load</v>
      </c>
      <c r="H2" s="9" t="str">
        <f>'Rate Class Energy Model'!N2</f>
        <v>Sentinel Lighting</v>
      </c>
      <c r="I2" s="9" t="str">
        <f>'Rate Class Energy Model'!O2</f>
        <v xml:space="preserve">Street Lighting </v>
      </c>
      <c r="J2" s="1" t="s">
        <v>7</v>
      </c>
      <c r="L2" s="94" t="s">
        <v>105</v>
      </c>
      <c r="O2" t="s">
        <v>125</v>
      </c>
      <c r="Q2" s="107">
        <v>2023</v>
      </c>
      <c r="R2" s="107">
        <v>2024</v>
      </c>
    </row>
    <row r="3" spans="1:18" hidden="1" x14ac:dyDescent="0.2">
      <c r="A3" s="4"/>
      <c r="B3" s="26"/>
      <c r="C3" s="26"/>
      <c r="D3" s="26"/>
      <c r="E3" s="26"/>
      <c r="F3" s="26"/>
      <c r="G3" s="26"/>
      <c r="H3" s="26"/>
      <c r="I3" s="26"/>
    </row>
    <row r="4" spans="1:18" hidden="1" x14ac:dyDescent="0.2">
      <c r="A4" s="4">
        <v>2000</v>
      </c>
      <c r="B4" s="25"/>
      <c r="C4" s="25"/>
      <c r="D4" s="25"/>
      <c r="E4" s="25"/>
      <c r="F4" s="25"/>
      <c r="G4" s="25"/>
      <c r="H4" s="25"/>
      <c r="I4" s="25"/>
    </row>
    <row r="5" spans="1:18" hidden="1" x14ac:dyDescent="0.2">
      <c r="A5" s="4">
        <v>2001</v>
      </c>
      <c r="B5" s="26" t="e">
        <f>(#REF!+#REF!)/2</f>
        <v>#REF!</v>
      </c>
      <c r="C5" s="26" t="e">
        <f>(#REF!+#REF!)/2</f>
        <v>#REF!</v>
      </c>
      <c r="D5" s="26" t="e">
        <f>(#REF!+#REF!)/2</f>
        <v>#REF!</v>
      </c>
      <c r="E5" s="26"/>
      <c r="F5" s="26"/>
      <c r="G5" s="26" t="e">
        <f>(#REF!+#REF!)/2</f>
        <v>#REF!</v>
      </c>
      <c r="H5" s="26" t="e">
        <f>(#REF!+#REF!)/2</f>
        <v>#REF!</v>
      </c>
      <c r="I5" s="26"/>
    </row>
    <row r="6" spans="1:18" hidden="1" x14ac:dyDescent="0.2">
      <c r="A6" s="4">
        <v>2002</v>
      </c>
      <c r="B6" s="26" t="e">
        <f>(#REF!+#REF!)/2</f>
        <v>#REF!</v>
      </c>
      <c r="C6" s="26" t="e">
        <f>(#REF!+#REF!)/2</f>
        <v>#REF!</v>
      </c>
      <c r="D6" s="26" t="e">
        <f>(#REF!+#REF!)/2</f>
        <v>#REF!</v>
      </c>
      <c r="E6" s="26"/>
      <c r="F6" s="26"/>
      <c r="G6" s="26" t="e">
        <f>(#REF!+#REF!)/2</f>
        <v>#REF!</v>
      </c>
      <c r="H6" s="26">
        <v>0</v>
      </c>
      <c r="I6" s="26"/>
    </row>
    <row r="7" spans="1:18" hidden="1" x14ac:dyDescent="0.2">
      <c r="A7" s="4">
        <v>2003</v>
      </c>
      <c r="B7" s="26" t="e">
        <f>(#REF!+#REF!)/2</f>
        <v>#REF!</v>
      </c>
      <c r="C7" s="26" t="e">
        <f>(#REF!+#REF!)/2</f>
        <v>#REF!</v>
      </c>
      <c r="D7" s="26" t="e">
        <f>(#REF!+#REF!)/2</f>
        <v>#REF!</v>
      </c>
      <c r="E7" s="26"/>
      <c r="F7" s="26"/>
      <c r="G7" s="26" t="e">
        <f>(#REF!+#REF!)/2</f>
        <v>#REF!</v>
      </c>
      <c r="H7" s="26" t="e">
        <f>(#REF!+#REF!)/2</f>
        <v>#REF!</v>
      </c>
      <c r="I7" s="26"/>
    </row>
    <row r="8" spans="1:18" hidden="1" x14ac:dyDescent="0.2">
      <c r="A8" s="4">
        <v>2004</v>
      </c>
      <c r="B8" s="26" t="e">
        <f>(#REF!+#REF!)/2</f>
        <v>#REF!</v>
      </c>
      <c r="C8" s="26" t="e">
        <f>(#REF!+#REF!)/2</f>
        <v>#REF!</v>
      </c>
      <c r="D8" s="26" t="e">
        <f>(#REF!+#REF!)/2</f>
        <v>#REF!</v>
      </c>
      <c r="E8" s="26"/>
      <c r="F8" s="26"/>
      <c r="G8" s="26" t="e">
        <f>(#REF!+#REF!)/2</f>
        <v>#REF!</v>
      </c>
      <c r="H8" s="26" t="e">
        <f>(#REF!+#REF!)/2</f>
        <v>#REF!</v>
      </c>
      <c r="I8" s="26"/>
    </row>
    <row r="9" spans="1:18" hidden="1" x14ac:dyDescent="0.2">
      <c r="A9" s="4">
        <v>2005</v>
      </c>
      <c r="B9" s="26" t="e">
        <f>(#REF!+#REF!)/2</f>
        <v>#REF!</v>
      </c>
      <c r="C9" s="26" t="e">
        <f>(#REF!+#REF!)/2</f>
        <v>#REF!</v>
      </c>
      <c r="D9" s="26" t="e">
        <f>(#REF!+#REF!)/2</f>
        <v>#REF!</v>
      </c>
      <c r="E9" s="26"/>
      <c r="F9" s="26"/>
      <c r="G9" s="26" t="e">
        <f>(#REF!+#REF!)/2</f>
        <v>#REF!</v>
      </c>
      <c r="H9" s="26" t="e">
        <f>(#REF!+#REF!)/2</f>
        <v>#REF!</v>
      </c>
      <c r="I9" s="26"/>
    </row>
    <row r="10" spans="1:18" hidden="1" x14ac:dyDescent="0.2">
      <c r="A10" s="4">
        <v>2006</v>
      </c>
      <c r="B10" s="26" t="e">
        <f>(#REF!+#REF!)/2</f>
        <v>#REF!</v>
      </c>
      <c r="C10" s="26" t="e">
        <f>(#REF!+#REF!)/2</f>
        <v>#REF!</v>
      </c>
      <c r="D10" s="26" t="e">
        <f>(#REF!+#REF!)/2</f>
        <v>#REF!</v>
      </c>
      <c r="E10" s="26"/>
      <c r="F10" s="26"/>
      <c r="G10" s="26">
        <v>1</v>
      </c>
      <c r="H10" s="26" t="e">
        <f>(#REF!+#REF!)/2</f>
        <v>#REF!</v>
      </c>
      <c r="I10" s="26"/>
    </row>
    <row r="11" spans="1:18" x14ac:dyDescent="0.2">
      <c r="A11" s="4">
        <v>2016</v>
      </c>
      <c r="B11" s="39">
        <f>Inputs!B8</f>
        <v>6293.916666666667</v>
      </c>
      <c r="C11" s="39">
        <f>Inputs!C8</f>
        <v>637.25</v>
      </c>
      <c r="D11" s="39">
        <f>Inputs!D8</f>
        <v>79.916666666666671</v>
      </c>
      <c r="E11" s="39">
        <f>Inputs!E8</f>
        <v>10</v>
      </c>
      <c r="F11" s="39">
        <f>Inputs!F8</f>
        <v>2</v>
      </c>
      <c r="G11" s="39">
        <f>Inputs!G8</f>
        <v>59.583333333333336</v>
      </c>
      <c r="H11" s="39">
        <f>Inputs!H8</f>
        <v>118.5</v>
      </c>
      <c r="I11" s="39">
        <f>Inputs!I8</f>
        <v>1</v>
      </c>
      <c r="J11" s="49">
        <f t="shared" ref="J11:J19" si="0">SUM(B11:I11)</f>
        <v>7202.166666666667</v>
      </c>
      <c r="L11" s="6">
        <f t="shared" ref="L11:L19" si="1">B11+C11+D11+E11+F11+I11</f>
        <v>7024.0833333333339</v>
      </c>
      <c r="M11" s="6"/>
      <c r="O11" s="143">
        <f>'Power Purchased Model'!L86</f>
        <v>8315</v>
      </c>
      <c r="Q11" s="109">
        <v>8.4845883184652728E-4</v>
      </c>
      <c r="R11" s="109">
        <v>1.4788448725427136E-3</v>
      </c>
    </row>
    <row r="12" spans="1:18" x14ac:dyDescent="0.2">
      <c r="A12" s="4">
        <v>2017</v>
      </c>
      <c r="B12" s="39">
        <f>Inputs!B9</f>
        <v>6408.583333333333</v>
      </c>
      <c r="C12" s="39">
        <f>Inputs!C9</f>
        <v>642.08333333333337</v>
      </c>
      <c r="D12" s="39">
        <f>Inputs!D9</f>
        <v>80.083333333333329</v>
      </c>
      <c r="E12" s="39">
        <f>Inputs!E9</f>
        <v>10.416666666666666</v>
      </c>
      <c r="F12" s="39">
        <f>Inputs!F9</f>
        <v>2</v>
      </c>
      <c r="G12" s="39">
        <f>Inputs!G9</f>
        <v>58.5</v>
      </c>
      <c r="H12" s="39">
        <f>Inputs!H9</f>
        <v>113</v>
      </c>
      <c r="I12" s="39">
        <f>Inputs!I9</f>
        <v>1</v>
      </c>
      <c r="J12" s="49">
        <f t="shared" si="0"/>
        <v>7315.6666666666661</v>
      </c>
      <c r="L12" s="6">
        <f t="shared" si="1"/>
        <v>7144.1666666666661</v>
      </c>
      <c r="M12" s="6"/>
      <c r="P12" s="108" t="s">
        <v>91</v>
      </c>
      <c r="Q12" s="106">
        <f>O11*(1+$Q$11)</f>
        <v>8322.054935186803</v>
      </c>
      <c r="R12" s="106">
        <f>Inputs!G156+Inputs!I156+Inputs!L156+Inputs!O156+Inputs!R156+Inputs!AA156</f>
        <v>8436</v>
      </c>
    </row>
    <row r="13" spans="1:18" x14ac:dyDescent="0.2">
      <c r="A13" s="4">
        <v>2018</v>
      </c>
      <c r="B13" s="39">
        <f>Inputs!B10</f>
        <v>6516.333333333333</v>
      </c>
      <c r="C13" s="39">
        <f>Inputs!C10</f>
        <v>648</v>
      </c>
      <c r="D13" s="39">
        <f>Inputs!D10</f>
        <v>79.75</v>
      </c>
      <c r="E13" s="39">
        <f>Inputs!E10</f>
        <v>12.333333333333334</v>
      </c>
      <c r="F13" s="39">
        <f>Inputs!F10</f>
        <v>2</v>
      </c>
      <c r="G13" s="39">
        <f>Inputs!G10</f>
        <v>59.25</v>
      </c>
      <c r="H13" s="39">
        <f>Inputs!H10</f>
        <v>112</v>
      </c>
      <c r="I13" s="39">
        <f>Inputs!I10</f>
        <v>1</v>
      </c>
      <c r="J13" s="49">
        <f t="shared" si="0"/>
        <v>7430.6666666666661</v>
      </c>
      <c r="L13" s="6">
        <f t="shared" si="1"/>
        <v>7259.4166666666661</v>
      </c>
      <c r="M13" s="6"/>
      <c r="P13" s="108" t="s">
        <v>92</v>
      </c>
      <c r="Q13" s="106">
        <f>Q12*(1+$Q$11)</f>
        <v>8329.1158561956745</v>
      </c>
      <c r="R13" s="106">
        <f>Inputs!G157+Inputs!I157+Inputs!L157+Inputs!O157+Inputs!R157+Inputs!AA157</f>
        <v>8440</v>
      </c>
    </row>
    <row r="14" spans="1:18" x14ac:dyDescent="0.2">
      <c r="A14" s="4">
        <v>2019</v>
      </c>
      <c r="B14" s="39">
        <f>Inputs!B11</f>
        <v>6652</v>
      </c>
      <c r="C14" s="39">
        <f>Inputs!C11</f>
        <v>654.83333333333337</v>
      </c>
      <c r="D14" s="39">
        <f>Inputs!D11</f>
        <v>78.083333333333329</v>
      </c>
      <c r="E14" s="39">
        <f>Inputs!E11</f>
        <v>11.583333333333334</v>
      </c>
      <c r="F14" s="39">
        <f>Inputs!F11</f>
        <v>2</v>
      </c>
      <c r="G14" s="39">
        <f>Inputs!G11</f>
        <v>56.666666666666664</v>
      </c>
      <c r="H14" s="39">
        <f>Inputs!H11</f>
        <v>112</v>
      </c>
      <c r="I14" s="39">
        <f>Inputs!I11</f>
        <v>1</v>
      </c>
      <c r="J14" s="49">
        <f t="shared" si="0"/>
        <v>7568.1666666666661</v>
      </c>
      <c r="L14" s="6">
        <f t="shared" si="1"/>
        <v>7399.4999999999991</v>
      </c>
      <c r="M14" s="6"/>
      <c r="P14" s="108" t="s">
        <v>93</v>
      </c>
      <c r="Q14" s="106">
        <f t="shared" ref="Q14:Q22" si="2">Q13*(1+$Q$11)</f>
        <v>8336.1827681053364</v>
      </c>
      <c r="R14" s="106">
        <f>Inputs!G158+Inputs!I158+Inputs!L158+Inputs!O158+Inputs!R158+Inputs!AA158</f>
        <v>8442</v>
      </c>
    </row>
    <row r="15" spans="1:18" x14ac:dyDescent="0.2">
      <c r="A15" s="4">
        <v>2020</v>
      </c>
      <c r="B15" s="39">
        <f>Inputs!B12</f>
        <v>6823.416666666667</v>
      </c>
      <c r="C15" s="39">
        <f>Inputs!C12</f>
        <v>664.91666666666663</v>
      </c>
      <c r="D15" s="39">
        <f>Inputs!D12</f>
        <v>81</v>
      </c>
      <c r="E15" s="39">
        <f>Inputs!E12</f>
        <v>8</v>
      </c>
      <c r="F15" s="39">
        <f>Inputs!F12</f>
        <v>2</v>
      </c>
      <c r="G15" s="39">
        <f>Inputs!G12</f>
        <v>56.833333333333336</v>
      </c>
      <c r="H15" s="39">
        <f>Inputs!H12</f>
        <v>112.08333333333333</v>
      </c>
      <c r="I15" s="39">
        <f>Inputs!I12</f>
        <v>1</v>
      </c>
      <c r="J15" s="49">
        <f t="shared" si="0"/>
        <v>7749.25</v>
      </c>
      <c r="L15" s="6">
        <f>B15+C15+D15+E15+F15+I15</f>
        <v>7580.3333333333339</v>
      </c>
      <c r="M15" s="6"/>
      <c r="P15" s="108" t="s">
        <v>94</v>
      </c>
      <c r="Q15" s="106">
        <f t="shared" si="2"/>
        <v>8343.255675998822</v>
      </c>
      <c r="R15" s="106">
        <f>Inputs!G159+Inputs!I159+Inputs!L159+Inputs!O159+Inputs!R159+Inputs!AA159</f>
        <v>8446</v>
      </c>
    </row>
    <row r="16" spans="1:18" x14ac:dyDescent="0.2">
      <c r="A16" s="4">
        <v>2021</v>
      </c>
      <c r="B16" s="39">
        <f>Inputs!B13</f>
        <v>7107.416666666667</v>
      </c>
      <c r="C16" s="39">
        <f>Inputs!C13</f>
        <v>672.33333333333337</v>
      </c>
      <c r="D16" s="39">
        <f>Inputs!D13</f>
        <v>77.333333333333329</v>
      </c>
      <c r="E16" s="39">
        <f>Inputs!E13</f>
        <v>8.5</v>
      </c>
      <c r="F16" s="39">
        <f>Inputs!F13</f>
        <v>2</v>
      </c>
      <c r="G16" s="39">
        <f>Inputs!G13</f>
        <v>56.833333333333336</v>
      </c>
      <c r="H16" s="39">
        <f>Inputs!H13</f>
        <v>112</v>
      </c>
      <c r="I16" s="39">
        <f>Inputs!I13</f>
        <v>1</v>
      </c>
      <c r="J16" s="49">
        <f t="shared" si="0"/>
        <v>8037.4166666666661</v>
      </c>
      <c r="L16" s="6">
        <f t="shared" si="1"/>
        <v>7868.583333333333</v>
      </c>
      <c r="M16" s="6"/>
      <c r="P16" s="108" t="s">
        <v>52</v>
      </c>
      <c r="Q16" s="106">
        <f t="shared" si="2"/>
        <v>8350.334584963477</v>
      </c>
      <c r="R16" s="106">
        <f>Inputs!G160+Inputs!I160+Inputs!L160+Inputs!O160+Inputs!R160+Inputs!AA160</f>
        <v>8456</v>
      </c>
    </row>
    <row r="17" spans="1:18" x14ac:dyDescent="0.2">
      <c r="A17" s="4">
        <v>2022</v>
      </c>
      <c r="B17" s="39">
        <f>Inputs!B14</f>
        <v>7417.333333333333</v>
      </c>
      <c r="C17" s="39">
        <f>Inputs!C14</f>
        <v>682.25</v>
      </c>
      <c r="D17" s="39">
        <f>Inputs!D14</f>
        <v>74.166666666666671</v>
      </c>
      <c r="E17" s="39">
        <f>Inputs!E14</f>
        <v>6</v>
      </c>
      <c r="F17" s="39">
        <f>Inputs!F14</f>
        <v>2</v>
      </c>
      <c r="G17" s="39">
        <f>Inputs!G14</f>
        <v>55.916666666666664</v>
      </c>
      <c r="H17" s="39">
        <v>112</v>
      </c>
      <c r="I17" s="39">
        <f>Inputs!I14</f>
        <v>1</v>
      </c>
      <c r="J17" s="49">
        <f t="shared" si="0"/>
        <v>8350.6666666666661</v>
      </c>
      <c r="L17" s="6">
        <f t="shared" si="1"/>
        <v>8182.75</v>
      </c>
      <c r="M17" s="6"/>
      <c r="P17" s="108" t="s">
        <v>95</v>
      </c>
      <c r="Q17" s="106">
        <f t="shared" si="2"/>
        <v>8357.4195000909622</v>
      </c>
      <c r="R17" s="106">
        <f>Inputs!G161+Inputs!I161+Inputs!L161+Inputs!O161+Inputs!R161+Inputs!AA161</f>
        <v>8480</v>
      </c>
    </row>
    <row r="18" spans="1:18" x14ac:dyDescent="0.2">
      <c r="A18" s="4">
        <v>2023</v>
      </c>
      <c r="B18" s="159">
        <f>(Inputs!G155+Inputs!G143)/2</f>
        <v>7589</v>
      </c>
      <c r="C18" s="159">
        <f>(Inputs!I155+Inputs!I143)/2</f>
        <v>686</v>
      </c>
      <c r="D18" s="159">
        <f>(Inputs!L155+Inputs!L143)/2</f>
        <v>76</v>
      </c>
      <c r="E18" s="159">
        <v>7</v>
      </c>
      <c r="F18" s="159">
        <v>2</v>
      </c>
      <c r="G18" s="39">
        <v>54</v>
      </c>
      <c r="H18" s="159">
        <v>112</v>
      </c>
      <c r="I18" s="159">
        <f t="shared" ref="I18" si="3">I17*I34</f>
        <v>1</v>
      </c>
      <c r="J18" s="49">
        <f t="shared" si="0"/>
        <v>8527</v>
      </c>
      <c r="L18" s="6">
        <f t="shared" si="1"/>
        <v>8361</v>
      </c>
      <c r="M18" s="6"/>
      <c r="P18" s="108" t="s">
        <v>96</v>
      </c>
      <c r="Q18" s="106">
        <f t="shared" si="2"/>
        <v>8364.5104264772599</v>
      </c>
      <c r="R18" s="106">
        <f t="shared" ref="R18:R23" si="4">R17*(1+$R$11)</f>
        <v>8492.5406045191612</v>
      </c>
    </row>
    <row r="19" spans="1:18" x14ac:dyDescent="0.2">
      <c r="A19" s="4">
        <v>2024</v>
      </c>
      <c r="B19" s="54">
        <f>B70</f>
        <v>7690.3840670080453</v>
      </c>
      <c r="C19" s="54">
        <f t="shared" ref="C19:I19" si="5">C70</f>
        <v>709.14547207466467</v>
      </c>
      <c r="D19" s="54">
        <f t="shared" si="5"/>
        <v>77.294967879557973</v>
      </c>
      <c r="E19" s="54">
        <f t="shared" si="5"/>
        <v>7</v>
      </c>
      <c r="F19" s="54">
        <f t="shared" si="5"/>
        <v>2</v>
      </c>
      <c r="G19" s="54">
        <f t="shared" si="5"/>
        <v>54</v>
      </c>
      <c r="H19" s="54">
        <f>H70</f>
        <v>112</v>
      </c>
      <c r="I19" s="54">
        <f t="shared" si="5"/>
        <v>1</v>
      </c>
      <c r="J19" s="49">
        <f t="shared" si="0"/>
        <v>8652.8245069622681</v>
      </c>
      <c r="L19" s="6">
        <f t="shared" si="1"/>
        <v>8486.8245069622681</v>
      </c>
      <c r="M19" s="59"/>
      <c r="P19" s="108" t="s">
        <v>97</v>
      </c>
      <c r="Q19" s="106">
        <f t="shared" si="2"/>
        <v>8371.6073692226764</v>
      </c>
      <c r="R19" s="106">
        <f t="shared" si="4"/>
        <v>8505.0997546470153</v>
      </c>
    </row>
    <row r="20" spans="1:18" x14ac:dyDescent="0.2">
      <c r="A20" s="14"/>
      <c r="P20" s="108" t="s">
        <v>98</v>
      </c>
      <c r="Q20" s="106">
        <f t="shared" si="2"/>
        <v>8378.7103334318454</v>
      </c>
      <c r="R20" s="106">
        <f t="shared" si="4"/>
        <v>8517.6774778096387</v>
      </c>
    </row>
    <row r="21" spans="1:18" x14ac:dyDescent="0.2">
      <c r="A21" s="14" t="s">
        <v>36</v>
      </c>
      <c r="B21" s="5"/>
      <c r="C21" s="5"/>
      <c r="D21" s="5"/>
      <c r="E21" s="5"/>
      <c r="F21" s="5"/>
      <c r="G21" s="5"/>
      <c r="H21" s="17"/>
      <c r="I21" s="17"/>
      <c r="P21" s="108" t="s">
        <v>99</v>
      </c>
      <c r="Q21" s="106">
        <f t="shared" si="2"/>
        <v>8385.8193242137295</v>
      </c>
      <c r="R21" s="106">
        <f t="shared" si="4"/>
        <v>8530.2738014736697</v>
      </c>
    </row>
    <row r="22" spans="1:18" x14ac:dyDescent="0.2">
      <c r="A22" s="4"/>
      <c r="B22" s="17"/>
      <c r="C22" s="17"/>
      <c r="D22" s="17"/>
      <c r="E22" s="17"/>
      <c r="F22" s="17"/>
      <c r="G22" s="17"/>
      <c r="H22" s="17"/>
      <c r="I22" s="17"/>
      <c r="P22" s="108" t="s">
        <v>100</v>
      </c>
      <c r="Q22" s="106">
        <f t="shared" si="2"/>
        <v>8392.9343466816281</v>
      </c>
      <c r="R22" s="106">
        <f t="shared" si="4"/>
        <v>8542.8887531463643</v>
      </c>
    </row>
    <row r="23" spans="1:18" ht="13.5" thickBot="1" x14ac:dyDescent="0.25">
      <c r="A23" s="4">
        <f t="shared" ref="A23:A30" si="6">+A11</f>
        <v>2016</v>
      </c>
      <c r="B23" s="17"/>
      <c r="C23" s="17"/>
      <c r="D23" s="17"/>
      <c r="E23" s="17"/>
      <c r="F23" s="17"/>
      <c r="G23" s="17"/>
      <c r="H23" s="17"/>
      <c r="I23" s="17"/>
      <c r="P23" s="145" t="s">
        <v>101</v>
      </c>
      <c r="Q23" s="144">
        <f>Inputs!G155+Inputs!I155+Inputs!L155+Inputs!O155+Inputs!R155+Inputs!AA155</f>
        <v>8406</v>
      </c>
      <c r="R23" s="144">
        <f t="shared" si="4"/>
        <v>8555.5223603756567</v>
      </c>
    </row>
    <row r="24" spans="1:18" ht="13.5" thickTop="1" x14ac:dyDescent="0.2">
      <c r="A24" s="4">
        <f t="shared" si="6"/>
        <v>2017</v>
      </c>
      <c r="B24" s="17">
        <f t="shared" ref="B24:I28" si="7">B12/B11</f>
        <v>1.0182186502840043</v>
      </c>
      <c r="C24" s="17">
        <f t="shared" si="7"/>
        <v>1.0075846737282594</v>
      </c>
      <c r="D24" s="17">
        <f t="shared" si="7"/>
        <v>1.0020855057351405</v>
      </c>
      <c r="E24" s="17">
        <f t="shared" si="7"/>
        <v>1.0416666666666665</v>
      </c>
      <c r="F24" s="17">
        <f t="shared" si="7"/>
        <v>1</v>
      </c>
      <c r="G24" s="17">
        <f t="shared" si="7"/>
        <v>0.98181818181818181</v>
      </c>
      <c r="H24" s="17">
        <f t="shared" si="7"/>
        <v>0.95358649789029537</v>
      </c>
      <c r="I24" s="17">
        <f t="shared" si="7"/>
        <v>1</v>
      </c>
      <c r="P24" s="108" t="s">
        <v>9</v>
      </c>
      <c r="Q24" s="106">
        <f>AVERAGE(Q12:Q23)</f>
        <v>8361.4954267140183</v>
      </c>
      <c r="R24" s="106">
        <f>AVERAGE(R12:R23)</f>
        <v>8487.0002293309608</v>
      </c>
    </row>
    <row r="25" spans="1:18" x14ac:dyDescent="0.2">
      <c r="A25" s="4">
        <f t="shared" si="6"/>
        <v>2018</v>
      </c>
      <c r="B25" s="17">
        <f t="shared" si="7"/>
        <v>1.0168133882943449</v>
      </c>
      <c r="C25" s="17">
        <f t="shared" si="7"/>
        <v>1.009214795587281</v>
      </c>
      <c r="D25" s="17">
        <f t="shared" si="7"/>
        <v>0.99583766909469307</v>
      </c>
      <c r="E25" s="17">
        <f t="shared" si="7"/>
        <v>1.1840000000000002</v>
      </c>
      <c r="F25" s="17">
        <f t="shared" si="7"/>
        <v>1</v>
      </c>
      <c r="G25" s="17">
        <f t="shared" si="7"/>
        <v>1.0128205128205128</v>
      </c>
      <c r="H25" s="17">
        <f t="shared" si="7"/>
        <v>0.99115044247787609</v>
      </c>
      <c r="I25" s="17">
        <f t="shared" si="7"/>
        <v>1</v>
      </c>
      <c r="Q25" s="6">
        <f>L18</f>
        <v>8361</v>
      </c>
      <c r="R25" s="6">
        <f>L19</f>
        <v>8486.8245069622681</v>
      </c>
    </row>
    <row r="26" spans="1:18" x14ac:dyDescent="0.2">
      <c r="A26" s="4">
        <f t="shared" si="6"/>
        <v>2019</v>
      </c>
      <c r="B26" s="17">
        <f t="shared" si="7"/>
        <v>1.0208194792572511</v>
      </c>
      <c r="C26" s="17">
        <f t="shared" si="7"/>
        <v>1.010545267489712</v>
      </c>
      <c r="D26" s="17">
        <f t="shared" si="7"/>
        <v>0.9791013584117032</v>
      </c>
      <c r="E26" s="17">
        <f t="shared" si="7"/>
        <v>0.93918918918918914</v>
      </c>
      <c r="F26" s="17">
        <f t="shared" si="7"/>
        <v>1</v>
      </c>
      <c r="G26" s="17">
        <f t="shared" si="7"/>
        <v>0.95639943741209565</v>
      </c>
      <c r="H26" s="17">
        <f t="shared" si="7"/>
        <v>1</v>
      </c>
      <c r="I26" s="17">
        <f t="shared" si="7"/>
        <v>1</v>
      </c>
      <c r="Q26" s="6">
        <f>Q24-Q25</f>
        <v>0.49542671401832195</v>
      </c>
      <c r="R26" s="6">
        <f>R24-R25</f>
        <v>0.17572236869273183</v>
      </c>
    </row>
    <row r="27" spans="1:18" x14ac:dyDescent="0.2">
      <c r="A27" s="4">
        <f t="shared" si="6"/>
        <v>2020</v>
      </c>
      <c r="B27" s="17">
        <f t="shared" si="7"/>
        <v>1.0257691922228904</v>
      </c>
      <c r="C27" s="17">
        <f t="shared" si="7"/>
        <v>1.0153983201832526</v>
      </c>
      <c r="D27" s="17">
        <f t="shared" si="7"/>
        <v>1.0373532550693705</v>
      </c>
      <c r="E27" s="17">
        <f t="shared" si="7"/>
        <v>0.69064748201438841</v>
      </c>
      <c r="F27" s="17">
        <f t="shared" si="7"/>
        <v>1</v>
      </c>
      <c r="G27" s="17">
        <f t="shared" si="7"/>
        <v>1.0029411764705882</v>
      </c>
      <c r="H27" s="17">
        <f t="shared" si="7"/>
        <v>1.0007440476190477</v>
      </c>
      <c r="I27" s="17">
        <f t="shared" si="7"/>
        <v>1</v>
      </c>
    </row>
    <row r="28" spans="1:18" x14ac:dyDescent="0.2">
      <c r="A28" s="4">
        <f t="shared" si="6"/>
        <v>2021</v>
      </c>
      <c r="B28" s="17">
        <f t="shared" si="7"/>
        <v>1.0416213773647123</v>
      </c>
      <c r="C28" s="17">
        <f t="shared" si="7"/>
        <v>1.0111542799849607</v>
      </c>
      <c r="D28" s="17">
        <f t="shared" si="7"/>
        <v>0.95473251028806583</v>
      </c>
      <c r="E28" s="17">
        <f t="shared" si="7"/>
        <v>1.0625</v>
      </c>
      <c r="F28" s="17">
        <f t="shared" si="7"/>
        <v>1</v>
      </c>
      <c r="G28" s="17">
        <f t="shared" si="7"/>
        <v>1</v>
      </c>
      <c r="H28" s="17">
        <f t="shared" si="7"/>
        <v>0.99925650557620826</v>
      </c>
      <c r="I28" s="17">
        <f t="shared" si="7"/>
        <v>1</v>
      </c>
    </row>
    <row r="29" spans="1:18" x14ac:dyDescent="0.2">
      <c r="A29" s="4">
        <f t="shared" si="6"/>
        <v>2022</v>
      </c>
      <c r="B29" s="17">
        <f>B17/B16</f>
        <v>1.0436046852466319</v>
      </c>
      <c r="C29" s="17">
        <f t="shared" ref="C29:I30" si="8">C17/C16</f>
        <v>1.0147496281606345</v>
      </c>
      <c r="D29" s="17">
        <f t="shared" si="8"/>
        <v>0.95905172413793116</v>
      </c>
      <c r="E29" s="17">
        <f t="shared" si="8"/>
        <v>0.70588235294117652</v>
      </c>
      <c r="F29" s="17">
        <f t="shared" si="8"/>
        <v>1</v>
      </c>
      <c r="G29" s="17">
        <f t="shared" si="8"/>
        <v>0.98387096774193539</v>
      </c>
      <c r="H29" s="17">
        <f t="shared" si="8"/>
        <v>1</v>
      </c>
      <c r="I29" s="17">
        <f t="shared" si="8"/>
        <v>1</v>
      </c>
    </row>
    <row r="30" spans="1:18" x14ac:dyDescent="0.2">
      <c r="A30" s="4">
        <f t="shared" si="6"/>
        <v>2023</v>
      </c>
      <c r="B30" s="17">
        <f>B18/B17</f>
        <v>1.0231439870573431</v>
      </c>
      <c r="C30" s="17">
        <f t="shared" si="8"/>
        <v>1.0054965188713814</v>
      </c>
      <c r="D30" s="17">
        <f t="shared" si="8"/>
        <v>1.0247191011235954</v>
      </c>
      <c r="E30" s="17">
        <f t="shared" si="8"/>
        <v>1.1666666666666667</v>
      </c>
      <c r="F30" s="17">
        <f t="shared" si="8"/>
        <v>1</v>
      </c>
      <c r="G30" s="17">
        <f t="shared" si="8"/>
        <v>0.96572280178837555</v>
      </c>
      <c r="H30" s="17">
        <f t="shared" si="8"/>
        <v>1</v>
      </c>
      <c r="I30" s="17">
        <f t="shared" si="8"/>
        <v>1</v>
      </c>
    </row>
    <row r="31" spans="1:18" x14ac:dyDescent="0.2">
      <c r="A31" s="4"/>
      <c r="B31" s="17"/>
      <c r="C31" s="17"/>
      <c r="D31" s="17"/>
      <c r="E31" s="17"/>
      <c r="F31" s="17"/>
      <c r="G31" s="17"/>
      <c r="H31" s="17"/>
      <c r="I31" s="17"/>
    </row>
    <row r="32" spans="1:18" x14ac:dyDescent="0.2">
      <c r="A32" s="4"/>
      <c r="B32" s="17"/>
      <c r="C32" s="17"/>
      <c r="D32" s="17"/>
      <c r="E32" s="17"/>
      <c r="F32" s="17"/>
      <c r="G32" s="17"/>
      <c r="H32" s="17"/>
      <c r="I32" s="17"/>
    </row>
    <row r="34" spans="1:10" x14ac:dyDescent="0.2">
      <c r="A34" t="s">
        <v>50</v>
      </c>
      <c r="B34" s="55">
        <f>B36</f>
        <v>1.0277507475750254</v>
      </c>
      <c r="C34" s="55">
        <f t="shared" ref="C34:I34" si="9">C36</f>
        <v>1.0114372637556073</v>
      </c>
      <c r="D34" s="55">
        <f t="shared" si="9"/>
        <v>0.98763218260764185</v>
      </c>
      <c r="E34" s="55">
        <f t="shared" si="9"/>
        <v>0.91838590216844529</v>
      </c>
      <c r="F34" s="55">
        <f t="shared" si="9"/>
        <v>1</v>
      </c>
      <c r="G34" s="55">
        <f t="shared" si="9"/>
        <v>0.98947026232964364</v>
      </c>
      <c r="H34" s="55">
        <f t="shared" si="9"/>
        <v>0.99064171565320325</v>
      </c>
      <c r="I34" s="55">
        <f t="shared" si="9"/>
        <v>1</v>
      </c>
      <c r="J34" s="43" t="s">
        <v>61</v>
      </c>
    </row>
    <row r="35" spans="1:10" x14ac:dyDescent="0.2">
      <c r="B35" s="18"/>
      <c r="C35" s="18"/>
      <c r="D35" s="18"/>
      <c r="E35" s="18"/>
      <c r="F35" s="18"/>
      <c r="G35" s="18"/>
      <c r="H35" s="18"/>
      <c r="I35" s="18"/>
    </row>
    <row r="36" spans="1:10" x14ac:dyDescent="0.2">
      <c r="A36" t="s">
        <v>10</v>
      </c>
      <c r="B36" s="18">
        <f>IF(B17="",0,GEOMEAN(B23:B29))</f>
        <v>1.0277507475750254</v>
      </c>
      <c r="C36" s="18">
        <f>IF(C17="",0,GEOMEAN(C23:C29))</f>
        <v>1.0114372637556073</v>
      </c>
      <c r="D36" s="18">
        <f>IF(D17="",0,GEOMEAN(D23:D29))</f>
        <v>0.98763218260764185</v>
      </c>
      <c r="E36" s="18">
        <f t="shared" ref="E36:I36" si="10">IF(E17="",0,GEOMEAN(E23:E29))</f>
        <v>0.91838590216844529</v>
      </c>
      <c r="F36" s="18">
        <f t="shared" si="10"/>
        <v>1</v>
      </c>
      <c r="G36" s="18">
        <f>IF(G17="",0,GEOMEAN(G23:G29))</f>
        <v>0.98947026232964364</v>
      </c>
      <c r="H36" s="18">
        <f t="shared" si="10"/>
        <v>0.99064171565320325</v>
      </c>
      <c r="I36" s="18">
        <f t="shared" si="10"/>
        <v>1</v>
      </c>
    </row>
    <row r="37" spans="1:10" x14ac:dyDescent="0.2">
      <c r="A37" s="4"/>
      <c r="B37" s="18"/>
      <c r="C37" s="18"/>
      <c r="D37" s="18"/>
      <c r="E37" s="18"/>
      <c r="F37" s="18"/>
      <c r="G37" s="18"/>
      <c r="H37" s="18"/>
      <c r="I37" s="18"/>
    </row>
    <row r="38" spans="1:10" x14ac:dyDescent="0.2">
      <c r="B38"/>
      <c r="C38"/>
      <c r="D38" s="158"/>
      <c r="E38" s="158"/>
      <c r="F38" s="158"/>
      <c r="G38" s="158"/>
      <c r="H38" s="158"/>
      <c r="I38" s="158"/>
    </row>
    <row r="39" spans="1:10" x14ac:dyDescent="0.2">
      <c r="A39" s="3"/>
      <c r="B39"/>
      <c r="C39"/>
      <c r="D39"/>
      <c r="E39"/>
      <c r="F39"/>
      <c r="G39"/>
      <c r="H39"/>
      <c r="I39"/>
    </row>
    <row r="40" spans="1:10" x14ac:dyDescent="0.2">
      <c r="A40" s="3">
        <v>45261</v>
      </c>
      <c r="B40">
        <f>Inputs!G155</f>
        <v>7631</v>
      </c>
      <c r="C40">
        <f>Inputs!I155</f>
        <v>689</v>
      </c>
      <c r="D40">
        <f>Inputs!L155</f>
        <v>76</v>
      </c>
      <c r="E40">
        <v>7</v>
      </c>
      <c r="F40">
        <v>2</v>
      </c>
      <c r="G40">
        <v>54</v>
      </c>
      <c r="H40">
        <v>112</v>
      </c>
      <c r="I40">
        <v>1</v>
      </c>
    </row>
    <row r="41" spans="1:10" x14ac:dyDescent="0.2">
      <c r="A41" s="160" t="s">
        <v>91</v>
      </c>
      <c r="B41">
        <f>Inputs!G156</f>
        <v>7654</v>
      </c>
      <c r="C41">
        <f>Inputs!I156</f>
        <v>695</v>
      </c>
      <c r="D41">
        <f>Inputs!L156</f>
        <v>77</v>
      </c>
      <c r="E41">
        <f>Inputs!O156</f>
        <v>7</v>
      </c>
      <c r="F41">
        <f>Inputs!R156</f>
        <v>2</v>
      </c>
      <c r="G41">
        <v>54</v>
      </c>
      <c r="H41">
        <v>112</v>
      </c>
      <c r="I41">
        <v>1</v>
      </c>
    </row>
    <row r="42" spans="1:10" x14ac:dyDescent="0.2">
      <c r="A42" s="160" t="s">
        <v>92</v>
      </c>
      <c r="B42">
        <f>Inputs!G157</f>
        <v>7657</v>
      </c>
      <c r="C42">
        <f>Inputs!I157</f>
        <v>696</v>
      </c>
      <c r="D42">
        <f>Inputs!L157</f>
        <v>77</v>
      </c>
      <c r="E42">
        <f>Inputs!O157</f>
        <v>7</v>
      </c>
      <c r="F42">
        <f>Inputs!R157</f>
        <v>2</v>
      </c>
      <c r="G42">
        <v>54</v>
      </c>
      <c r="H42">
        <v>112</v>
      </c>
      <c r="I42">
        <v>1</v>
      </c>
    </row>
    <row r="43" spans="1:10" x14ac:dyDescent="0.2">
      <c r="A43" s="160" t="s">
        <v>93</v>
      </c>
      <c r="B43">
        <f>Inputs!G158</f>
        <v>7660</v>
      </c>
      <c r="C43">
        <f>Inputs!I158</f>
        <v>695</v>
      </c>
      <c r="D43">
        <f>Inputs!L158</f>
        <v>77</v>
      </c>
      <c r="E43">
        <f>Inputs!O158</f>
        <v>7</v>
      </c>
      <c r="F43">
        <f>Inputs!R158</f>
        <v>2</v>
      </c>
      <c r="G43">
        <v>54</v>
      </c>
      <c r="H43">
        <v>112</v>
      </c>
      <c r="I43">
        <v>1</v>
      </c>
    </row>
    <row r="44" spans="1:10" x14ac:dyDescent="0.2">
      <c r="A44" s="160" t="s">
        <v>94</v>
      </c>
      <c r="B44">
        <f>Inputs!G159</f>
        <v>7664</v>
      </c>
      <c r="C44">
        <f>Inputs!I159</f>
        <v>695</v>
      </c>
      <c r="D44">
        <f>Inputs!L159</f>
        <v>77</v>
      </c>
      <c r="E44">
        <f>Inputs!O159</f>
        <v>7</v>
      </c>
      <c r="F44">
        <f>Inputs!R159</f>
        <v>2</v>
      </c>
      <c r="G44">
        <v>54</v>
      </c>
      <c r="H44">
        <v>112</v>
      </c>
      <c r="I44">
        <v>1</v>
      </c>
    </row>
    <row r="45" spans="1:10" x14ac:dyDescent="0.2">
      <c r="A45" s="160" t="s">
        <v>52</v>
      </c>
      <c r="B45">
        <f>Inputs!G160</f>
        <v>7675</v>
      </c>
      <c r="C45">
        <f>Inputs!I160</f>
        <v>694</v>
      </c>
      <c r="D45">
        <f>Inputs!L160</f>
        <v>77</v>
      </c>
      <c r="E45">
        <f>Inputs!O160</f>
        <v>7</v>
      </c>
      <c r="F45">
        <f>Inputs!R160</f>
        <v>2</v>
      </c>
      <c r="G45">
        <v>54</v>
      </c>
      <c r="H45">
        <v>112</v>
      </c>
      <c r="I45">
        <v>1</v>
      </c>
    </row>
    <row r="46" spans="1:10" x14ac:dyDescent="0.2">
      <c r="A46" s="160" t="s">
        <v>95</v>
      </c>
      <c r="B46">
        <f>Inputs!G161</f>
        <v>7684</v>
      </c>
      <c r="C46">
        <f>Inputs!I161</f>
        <v>709</v>
      </c>
      <c r="D46">
        <f>Inputs!L161</f>
        <v>77</v>
      </c>
      <c r="E46">
        <f>Inputs!O161</f>
        <v>7</v>
      </c>
      <c r="F46">
        <f>Inputs!R161</f>
        <v>2</v>
      </c>
      <c r="G46">
        <v>54</v>
      </c>
      <c r="H46">
        <v>112</v>
      </c>
      <c r="I46">
        <v>1</v>
      </c>
    </row>
    <row r="47" spans="1:10" x14ac:dyDescent="0.2">
      <c r="A47" s="3"/>
      <c r="B47"/>
      <c r="C47"/>
      <c r="D47"/>
      <c r="E47"/>
      <c r="F47"/>
      <c r="G47"/>
      <c r="H47"/>
      <c r="I47"/>
    </row>
    <row r="48" spans="1:10" x14ac:dyDescent="0.2">
      <c r="A48" s="160" t="s">
        <v>91</v>
      </c>
      <c r="B48" s="156">
        <f>B41/B40</f>
        <v>1.0030140217533743</v>
      </c>
      <c r="C48" s="156">
        <f t="shared" ref="C48:I48" si="11">C41/C40</f>
        <v>1.0087082728592163</v>
      </c>
      <c r="D48" s="156">
        <f t="shared" si="11"/>
        <v>1.013157894736842</v>
      </c>
      <c r="E48" s="156">
        <f t="shared" si="11"/>
        <v>1</v>
      </c>
      <c r="F48" s="156">
        <f t="shared" si="11"/>
        <v>1</v>
      </c>
      <c r="G48" s="156">
        <f t="shared" si="11"/>
        <v>1</v>
      </c>
      <c r="H48" s="156">
        <f t="shared" si="11"/>
        <v>1</v>
      </c>
      <c r="I48" s="156">
        <f t="shared" si="11"/>
        <v>1</v>
      </c>
    </row>
    <row r="49" spans="1:9" x14ac:dyDescent="0.2">
      <c r="A49" s="160" t="s">
        <v>92</v>
      </c>
      <c r="B49" s="156">
        <f t="shared" ref="B49:I53" si="12">B42/B41</f>
        <v>1.0003919519205644</v>
      </c>
      <c r="C49" s="156">
        <f t="shared" si="12"/>
        <v>1.0014388489208632</v>
      </c>
      <c r="D49" s="156">
        <f t="shared" si="12"/>
        <v>1</v>
      </c>
      <c r="E49" s="156">
        <f t="shared" si="12"/>
        <v>1</v>
      </c>
      <c r="F49" s="156">
        <f t="shared" si="12"/>
        <v>1</v>
      </c>
      <c r="G49" s="156">
        <f t="shared" si="12"/>
        <v>1</v>
      </c>
      <c r="H49" s="156">
        <f t="shared" si="12"/>
        <v>1</v>
      </c>
      <c r="I49" s="156">
        <f t="shared" si="12"/>
        <v>1</v>
      </c>
    </row>
    <row r="50" spans="1:9" x14ac:dyDescent="0.2">
      <c r="A50" s="160" t="s">
        <v>93</v>
      </c>
      <c r="B50" s="156">
        <f t="shared" si="12"/>
        <v>1.0003917983544468</v>
      </c>
      <c r="C50" s="156">
        <f t="shared" si="12"/>
        <v>0.99856321839080464</v>
      </c>
      <c r="D50" s="156">
        <f t="shared" si="12"/>
        <v>1</v>
      </c>
      <c r="E50" s="156">
        <f t="shared" si="12"/>
        <v>1</v>
      </c>
      <c r="F50" s="156">
        <f t="shared" si="12"/>
        <v>1</v>
      </c>
      <c r="G50" s="156">
        <f t="shared" si="12"/>
        <v>1</v>
      </c>
      <c r="H50" s="156">
        <f t="shared" si="12"/>
        <v>1</v>
      </c>
      <c r="I50" s="156">
        <f t="shared" si="12"/>
        <v>1</v>
      </c>
    </row>
    <row r="51" spans="1:9" x14ac:dyDescent="0.2">
      <c r="A51" s="160" t="s">
        <v>94</v>
      </c>
      <c r="B51" s="156">
        <f t="shared" si="12"/>
        <v>1.0005221932114883</v>
      </c>
      <c r="C51" s="156">
        <f t="shared" si="12"/>
        <v>1</v>
      </c>
      <c r="D51" s="156">
        <f t="shared" si="12"/>
        <v>1</v>
      </c>
      <c r="E51" s="156">
        <f t="shared" si="12"/>
        <v>1</v>
      </c>
      <c r="F51" s="156">
        <f t="shared" si="12"/>
        <v>1</v>
      </c>
      <c r="G51" s="156">
        <f t="shared" si="12"/>
        <v>1</v>
      </c>
      <c r="H51" s="156">
        <f t="shared" si="12"/>
        <v>1</v>
      </c>
      <c r="I51" s="156">
        <f t="shared" si="12"/>
        <v>1</v>
      </c>
    </row>
    <row r="52" spans="1:9" x14ac:dyDescent="0.2">
      <c r="A52" s="160" t="s">
        <v>52</v>
      </c>
      <c r="B52" s="156">
        <f t="shared" si="12"/>
        <v>1.0014352818371608</v>
      </c>
      <c r="C52" s="156">
        <f t="shared" si="12"/>
        <v>0.99856115107913668</v>
      </c>
      <c r="D52" s="156">
        <f t="shared" si="12"/>
        <v>1</v>
      </c>
      <c r="E52" s="156">
        <f t="shared" si="12"/>
        <v>1</v>
      </c>
      <c r="F52" s="156">
        <f t="shared" si="12"/>
        <v>1</v>
      </c>
      <c r="G52" s="156">
        <f t="shared" si="12"/>
        <v>1</v>
      </c>
      <c r="H52" s="156">
        <f t="shared" si="12"/>
        <v>1</v>
      </c>
      <c r="I52" s="156">
        <f t="shared" si="12"/>
        <v>1</v>
      </c>
    </row>
    <row r="53" spans="1:9" x14ac:dyDescent="0.2">
      <c r="A53" s="160" t="s">
        <v>95</v>
      </c>
      <c r="B53" s="156">
        <f t="shared" si="12"/>
        <v>1.0011726384364821</v>
      </c>
      <c r="C53" s="156">
        <f t="shared" si="12"/>
        <v>1.021613832853026</v>
      </c>
      <c r="D53" s="156">
        <f t="shared" si="12"/>
        <v>1</v>
      </c>
      <c r="E53" s="156">
        <f t="shared" si="12"/>
        <v>1</v>
      </c>
      <c r="F53" s="156">
        <f t="shared" si="12"/>
        <v>1</v>
      </c>
      <c r="G53" s="156">
        <f t="shared" si="12"/>
        <v>1</v>
      </c>
      <c r="H53" s="156">
        <f t="shared" si="12"/>
        <v>1</v>
      </c>
      <c r="I53" s="156">
        <f t="shared" si="12"/>
        <v>1</v>
      </c>
    </row>
    <row r="54" spans="1:9" x14ac:dyDescent="0.2">
      <c r="A54" s="3"/>
      <c r="B54"/>
      <c r="C54"/>
      <c r="D54"/>
      <c r="E54"/>
      <c r="F54"/>
      <c r="G54"/>
      <c r="H54"/>
      <c r="I54"/>
    </row>
    <row r="55" spans="1:9" x14ac:dyDescent="0.2">
      <c r="A55" s="3" t="s">
        <v>143</v>
      </c>
      <c r="B55" s="156">
        <f>GEOMEAN(B48:B53)</f>
        <v>1.001154223370142</v>
      </c>
      <c r="C55" s="156">
        <f t="shared" ref="C55:I55" si="13">GEOMEAN(C48:C53)</f>
        <v>1.0047804325692467</v>
      </c>
      <c r="D55" s="156">
        <f t="shared" si="13"/>
        <v>1.0021810553095762</v>
      </c>
      <c r="E55" s="156">
        <f t="shared" si="13"/>
        <v>1</v>
      </c>
      <c r="F55" s="156">
        <f t="shared" si="13"/>
        <v>1</v>
      </c>
      <c r="G55" s="156">
        <f t="shared" si="13"/>
        <v>1</v>
      </c>
      <c r="H55" s="156">
        <f t="shared" si="13"/>
        <v>1</v>
      </c>
      <c r="I55" s="156">
        <f t="shared" si="13"/>
        <v>1</v>
      </c>
    </row>
    <row r="56" spans="1:9" x14ac:dyDescent="0.2">
      <c r="A56" s="3"/>
      <c r="B56"/>
      <c r="C56"/>
      <c r="D56"/>
      <c r="E56"/>
      <c r="F56"/>
      <c r="G56"/>
      <c r="H56"/>
      <c r="I56"/>
    </row>
    <row r="57" spans="1:9" x14ac:dyDescent="0.2">
      <c r="A57" s="160" t="s">
        <v>91</v>
      </c>
      <c r="B57" s="161">
        <f>B41</f>
        <v>7654</v>
      </c>
      <c r="C57" s="161">
        <f t="shared" ref="C57:I57" si="14">C41</f>
        <v>695</v>
      </c>
      <c r="D57" s="161">
        <f t="shared" si="14"/>
        <v>77</v>
      </c>
      <c r="E57" s="161">
        <f t="shared" si="14"/>
        <v>7</v>
      </c>
      <c r="F57" s="161">
        <f t="shared" si="14"/>
        <v>2</v>
      </c>
      <c r="G57" s="161">
        <f t="shared" si="14"/>
        <v>54</v>
      </c>
      <c r="H57" s="161">
        <f t="shared" si="14"/>
        <v>112</v>
      </c>
      <c r="I57" s="161">
        <f t="shared" si="14"/>
        <v>1</v>
      </c>
    </row>
    <row r="58" spans="1:9" x14ac:dyDescent="0.2">
      <c r="A58" s="160" t="s">
        <v>92</v>
      </c>
      <c r="B58" s="161">
        <f t="shared" ref="B58:I58" si="15">B42</f>
        <v>7657</v>
      </c>
      <c r="C58" s="161">
        <f t="shared" si="15"/>
        <v>696</v>
      </c>
      <c r="D58" s="161">
        <f t="shared" si="15"/>
        <v>77</v>
      </c>
      <c r="E58" s="161">
        <f t="shared" si="15"/>
        <v>7</v>
      </c>
      <c r="F58" s="161">
        <f t="shared" si="15"/>
        <v>2</v>
      </c>
      <c r="G58" s="161">
        <f t="shared" si="15"/>
        <v>54</v>
      </c>
      <c r="H58" s="161">
        <f t="shared" si="15"/>
        <v>112</v>
      </c>
      <c r="I58" s="161">
        <f t="shared" si="15"/>
        <v>1</v>
      </c>
    </row>
    <row r="59" spans="1:9" x14ac:dyDescent="0.2">
      <c r="A59" s="160" t="s">
        <v>93</v>
      </c>
      <c r="B59" s="161">
        <f t="shared" ref="B59:I59" si="16">B43</f>
        <v>7660</v>
      </c>
      <c r="C59" s="161">
        <f t="shared" si="16"/>
        <v>695</v>
      </c>
      <c r="D59" s="161">
        <f t="shared" si="16"/>
        <v>77</v>
      </c>
      <c r="E59" s="161">
        <f t="shared" si="16"/>
        <v>7</v>
      </c>
      <c r="F59" s="161">
        <f t="shared" si="16"/>
        <v>2</v>
      </c>
      <c r="G59" s="161">
        <f t="shared" si="16"/>
        <v>54</v>
      </c>
      <c r="H59" s="161">
        <f t="shared" si="16"/>
        <v>112</v>
      </c>
      <c r="I59" s="161">
        <f t="shared" si="16"/>
        <v>1</v>
      </c>
    </row>
    <row r="60" spans="1:9" x14ac:dyDescent="0.2">
      <c r="A60" s="160" t="s">
        <v>94</v>
      </c>
      <c r="B60" s="161">
        <f t="shared" ref="B60:I60" si="17">B44</f>
        <v>7664</v>
      </c>
      <c r="C60" s="161">
        <f t="shared" si="17"/>
        <v>695</v>
      </c>
      <c r="D60" s="161">
        <f t="shared" si="17"/>
        <v>77</v>
      </c>
      <c r="E60" s="161">
        <f t="shared" si="17"/>
        <v>7</v>
      </c>
      <c r="F60" s="161">
        <f t="shared" si="17"/>
        <v>2</v>
      </c>
      <c r="G60" s="161">
        <f t="shared" si="17"/>
        <v>54</v>
      </c>
      <c r="H60" s="161">
        <f t="shared" si="17"/>
        <v>112</v>
      </c>
      <c r="I60" s="161">
        <f t="shared" si="17"/>
        <v>1</v>
      </c>
    </row>
    <row r="61" spans="1:9" x14ac:dyDescent="0.2">
      <c r="A61" s="160" t="s">
        <v>52</v>
      </c>
      <c r="B61" s="161">
        <f t="shared" ref="B61:I61" si="18">B45</f>
        <v>7675</v>
      </c>
      <c r="C61" s="161">
        <f t="shared" si="18"/>
        <v>694</v>
      </c>
      <c r="D61" s="161">
        <f t="shared" si="18"/>
        <v>77</v>
      </c>
      <c r="E61" s="161">
        <f t="shared" si="18"/>
        <v>7</v>
      </c>
      <c r="F61" s="161">
        <f t="shared" si="18"/>
        <v>2</v>
      </c>
      <c r="G61" s="161">
        <f t="shared" si="18"/>
        <v>54</v>
      </c>
      <c r="H61" s="161">
        <f t="shared" si="18"/>
        <v>112</v>
      </c>
      <c r="I61" s="161">
        <f t="shared" si="18"/>
        <v>1</v>
      </c>
    </row>
    <row r="62" spans="1:9" x14ac:dyDescent="0.2">
      <c r="A62" s="160" t="s">
        <v>95</v>
      </c>
      <c r="B62" s="161">
        <f t="shared" ref="B62:I62" si="19">B46</f>
        <v>7684</v>
      </c>
      <c r="C62" s="161">
        <f t="shared" si="19"/>
        <v>709</v>
      </c>
      <c r="D62" s="161">
        <f t="shared" si="19"/>
        <v>77</v>
      </c>
      <c r="E62" s="161">
        <f t="shared" si="19"/>
        <v>7</v>
      </c>
      <c r="F62" s="161">
        <f t="shared" si="19"/>
        <v>2</v>
      </c>
      <c r="G62" s="161">
        <f t="shared" si="19"/>
        <v>54</v>
      </c>
      <c r="H62" s="161">
        <f t="shared" si="19"/>
        <v>112</v>
      </c>
      <c r="I62" s="161">
        <f t="shared" si="19"/>
        <v>1</v>
      </c>
    </row>
    <row r="63" spans="1:9" x14ac:dyDescent="0.2">
      <c r="A63" s="160" t="s">
        <v>96</v>
      </c>
      <c r="B63" s="45">
        <f>B62*B$55</f>
        <v>7692.8690523761716</v>
      </c>
      <c r="C63" s="45">
        <f t="shared" ref="C63:I68" si="20">C62*C$55</f>
        <v>712.3893266915959</v>
      </c>
      <c r="D63" s="45">
        <f t="shared" si="20"/>
        <v>77.167941258837374</v>
      </c>
      <c r="E63" s="45">
        <f t="shared" si="20"/>
        <v>7</v>
      </c>
      <c r="F63" s="45">
        <f t="shared" si="20"/>
        <v>2</v>
      </c>
      <c r="G63" s="45">
        <f t="shared" si="20"/>
        <v>54</v>
      </c>
      <c r="H63" s="45">
        <f t="shared" si="20"/>
        <v>112</v>
      </c>
      <c r="I63" s="45">
        <f t="shared" si="20"/>
        <v>1</v>
      </c>
    </row>
    <row r="64" spans="1:9" x14ac:dyDescent="0.2">
      <c r="A64" s="160" t="s">
        <v>97</v>
      </c>
      <c r="B64" s="45">
        <f t="shared" ref="B64:B68" si="21">B63*B$55</f>
        <v>7701.7483416198666</v>
      </c>
      <c r="C64" s="45">
        <f t="shared" si="20"/>
        <v>715.79485583089604</v>
      </c>
      <c r="D64" s="45">
        <f t="shared" si="20"/>
        <v>77.336248806849028</v>
      </c>
      <c r="E64" s="45">
        <f t="shared" si="20"/>
        <v>7</v>
      </c>
      <c r="F64" s="45">
        <f t="shared" si="20"/>
        <v>2</v>
      </c>
      <c r="G64" s="45">
        <f t="shared" si="20"/>
        <v>54</v>
      </c>
      <c r="H64" s="45">
        <f t="shared" si="20"/>
        <v>112</v>
      </c>
      <c r="I64" s="45">
        <f t="shared" si="20"/>
        <v>1</v>
      </c>
    </row>
    <row r="65" spans="1:9" x14ac:dyDescent="0.2">
      <c r="A65" s="160" t="s">
        <v>98</v>
      </c>
      <c r="B65" s="45">
        <f t="shared" si="21"/>
        <v>7710.6378795467172</v>
      </c>
      <c r="C65" s="45">
        <f t="shared" si="20"/>
        <v>719.21666487260927</v>
      </c>
      <c r="D65" s="45">
        <f t="shared" si="20"/>
        <v>77.504923442931911</v>
      </c>
      <c r="E65" s="45">
        <f t="shared" si="20"/>
        <v>7</v>
      </c>
      <c r="F65" s="45">
        <f t="shared" si="20"/>
        <v>2</v>
      </c>
      <c r="G65" s="45">
        <f t="shared" si="20"/>
        <v>54</v>
      </c>
      <c r="H65" s="45">
        <f t="shared" si="20"/>
        <v>112</v>
      </c>
      <c r="I65" s="45">
        <f t="shared" si="20"/>
        <v>1</v>
      </c>
    </row>
    <row r="66" spans="1:9" x14ac:dyDescent="0.2">
      <c r="A66" s="160" t="s">
        <v>99</v>
      </c>
      <c r="B66" s="45">
        <f t="shared" si="21"/>
        <v>7719.5376779859926</v>
      </c>
      <c r="C66" s="45">
        <f t="shared" si="20"/>
        <v>722.65483164171121</v>
      </c>
      <c r="D66" s="45">
        <f t="shared" si="20"/>
        <v>77.673965967725422</v>
      </c>
      <c r="E66" s="45">
        <f t="shared" si="20"/>
        <v>7</v>
      </c>
      <c r="F66" s="45">
        <f t="shared" si="20"/>
        <v>2</v>
      </c>
      <c r="G66" s="45">
        <f t="shared" si="20"/>
        <v>54</v>
      </c>
      <c r="H66" s="45">
        <f t="shared" si="20"/>
        <v>112</v>
      </c>
      <c r="I66" s="45">
        <f t="shared" si="20"/>
        <v>1</v>
      </c>
    </row>
    <row r="67" spans="1:9" x14ac:dyDescent="0.2">
      <c r="A67" s="160" t="s">
        <v>100</v>
      </c>
      <c r="B67" s="45">
        <f t="shared" si="21"/>
        <v>7728.4477487806162</v>
      </c>
      <c r="C67" s="45">
        <f t="shared" si="20"/>
        <v>726.1094343352147</v>
      </c>
      <c r="D67" s="45">
        <f t="shared" si="20"/>
        <v>77.843377183615175</v>
      </c>
      <c r="E67" s="45">
        <f t="shared" si="20"/>
        <v>7</v>
      </c>
      <c r="F67" s="45">
        <f t="shared" si="20"/>
        <v>2</v>
      </c>
      <c r="G67" s="45">
        <f t="shared" si="20"/>
        <v>54</v>
      </c>
      <c r="H67" s="45">
        <f t="shared" si="20"/>
        <v>112</v>
      </c>
      <c r="I67" s="45">
        <f t="shared" si="20"/>
        <v>1</v>
      </c>
    </row>
    <row r="68" spans="1:9" x14ac:dyDescent="0.2">
      <c r="A68" s="160" t="s">
        <v>101</v>
      </c>
      <c r="B68" s="45">
        <f t="shared" si="21"/>
        <v>7737.3681037871802</v>
      </c>
      <c r="C68" s="45">
        <f t="shared" si="20"/>
        <v>729.58055152394797</v>
      </c>
      <c r="D68" s="45">
        <f t="shared" si="20"/>
        <v>78.01315789473685</v>
      </c>
      <c r="E68" s="45">
        <f t="shared" si="20"/>
        <v>7</v>
      </c>
      <c r="F68" s="45">
        <f t="shared" si="20"/>
        <v>2</v>
      </c>
      <c r="G68" s="45">
        <f t="shared" si="20"/>
        <v>54</v>
      </c>
      <c r="H68" s="45">
        <f t="shared" si="20"/>
        <v>112</v>
      </c>
      <c r="I68" s="45">
        <f t="shared" si="20"/>
        <v>1</v>
      </c>
    </row>
    <row r="69" spans="1:9" x14ac:dyDescent="0.2">
      <c r="B69"/>
      <c r="C69"/>
      <c r="D69"/>
      <c r="E69"/>
      <c r="F69"/>
      <c r="G69"/>
      <c r="H69"/>
      <c r="I69"/>
    </row>
    <row r="70" spans="1:9" x14ac:dyDescent="0.2">
      <c r="A70" s="160" t="s">
        <v>144</v>
      </c>
      <c r="B70" s="45">
        <f>AVERAGE(B57:B68)</f>
        <v>7690.3840670080453</v>
      </c>
      <c r="C70" s="45">
        <f t="shared" ref="C70:I70" si="22">AVERAGE(C57:C68)</f>
        <v>709.14547207466467</v>
      </c>
      <c r="D70" s="45">
        <f t="shared" si="22"/>
        <v>77.294967879557973</v>
      </c>
      <c r="E70" s="45">
        <f t="shared" si="22"/>
        <v>7</v>
      </c>
      <c r="F70" s="45">
        <f t="shared" si="22"/>
        <v>2</v>
      </c>
      <c r="G70" s="45">
        <f t="shared" si="22"/>
        <v>54</v>
      </c>
      <c r="H70" s="45">
        <f t="shared" si="22"/>
        <v>112</v>
      </c>
      <c r="I70" s="45">
        <f t="shared" si="22"/>
        <v>1</v>
      </c>
    </row>
    <row r="71" spans="1:9" x14ac:dyDescent="0.2">
      <c r="B71"/>
      <c r="C71"/>
      <c r="D71"/>
      <c r="E71"/>
      <c r="F71"/>
      <c r="G71"/>
      <c r="H71"/>
      <c r="I71"/>
    </row>
    <row r="72" spans="1:9" x14ac:dyDescent="0.2">
      <c r="B72"/>
      <c r="C72"/>
      <c r="D72"/>
      <c r="E72"/>
      <c r="F72"/>
      <c r="G72"/>
      <c r="H72"/>
      <c r="I72"/>
    </row>
    <row r="73" spans="1:9" x14ac:dyDescent="0.2">
      <c r="B73"/>
      <c r="C73"/>
      <c r="D73"/>
      <c r="E73"/>
      <c r="F73"/>
      <c r="G73"/>
      <c r="H73"/>
      <c r="I73"/>
    </row>
    <row r="74" spans="1:9" x14ac:dyDescent="0.2">
      <c r="B74"/>
      <c r="C74"/>
      <c r="D74"/>
      <c r="E74"/>
      <c r="F74"/>
      <c r="G74"/>
      <c r="H74"/>
      <c r="I74"/>
    </row>
    <row r="75" spans="1:9" x14ac:dyDescent="0.2">
      <c r="B75"/>
      <c r="C75"/>
      <c r="D75"/>
      <c r="E75"/>
      <c r="F75"/>
      <c r="G75"/>
      <c r="H75"/>
      <c r="I75"/>
    </row>
    <row r="76" spans="1:9" x14ac:dyDescent="0.2">
      <c r="B76"/>
      <c r="C76"/>
      <c r="D76"/>
      <c r="E76"/>
      <c r="F76"/>
      <c r="G76"/>
      <c r="H76"/>
      <c r="I76"/>
    </row>
    <row r="77" spans="1:9" x14ac:dyDescent="0.2">
      <c r="B77"/>
      <c r="C77"/>
      <c r="D77"/>
      <c r="E77"/>
      <c r="F77"/>
      <c r="G77"/>
      <c r="H77"/>
      <c r="I77"/>
    </row>
    <row r="78" spans="1:9" x14ac:dyDescent="0.2">
      <c r="B78"/>
      <c r="C78"/>
      <c r="D78"/>
      <c r="E78"/>
      <c r="F78"/>
      <c r="G78"/>
      <c r="H78"/>
      <c r="I78"/>
    </row>
    <row r="79" spans="1:9" x14ac:dyDescent="0.2">
      <c r="B79"/>
      <c r="C79"/>
      <c r="D79"/>
      <c r="E79"/>
      <c r="F79"/>
      <c r="G79"/>
      <c r="H79"/>
      <c r="I79"/>
    </row>
    <row r="80" spans="1:9" x14ac:dyDescent="0.2">
      <c r="B80"/>
      <c r="C80"/>
      <c r="D80"/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mergeCells count="1">
    <mergeCell ref="B1:I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O50"/>
  <sheetViews>
    <sheetView workbookViewId="0">
      <selection activeCell="H14" sqref="H14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2.5703125" style="6" customWidth="1"/>
    <col min="7" max="7" width="13.42578125" customWidth="1"/>
    <col min="8" max="8" width="13" customWidth="1"/>
    <col min="9" max="9" width="13.42578125" customWidth="1"/>
    <col min="10" max="10" width="15.85546875" customWidth="1"/>
    <col min="11" max="11" width="17.28515625" customWidth="1"/>
    <col min="12" max="12" width="12.42578125" style="6" bestFit="1" customWidth="1"/>
    <col min="13" max="13" width="13.42578125" bestFit="1" customWidth="1"/>
    <col min="14" max="15" width="9.140625" style="6" customWidth="1"/>
  </cols>
  <sheetData>
    <row r="1" spans="1:12" ht="38.25" x14ac:dyDescent="0.2">
      <c r="B1" s="8" t="str">
        <f>'Rate Class Customer Model'!D2</f>
        <v>General Service 50 to 499 kW</v>
      </c>
      <c r="C1" s="8" t="str">
        <f>'Rate Class Customer Model'!E2</f>
        <v>General Service 500 to 1499 kW</v>
      </c>
      <c r="D1" s="8" t="str">
        <f>'Rate Class Customer Model'!F2</f>
        <v>General Service 1500-4999 kW</v>
      </c>
      <c r="E1" s="8" t="str">
        <f>'Rate Class Energy Model'!N2</f>
        <v>Sentinel Lighting</v>
      </c>
      <c r="F1" s="8" t="str">
        <f>'Rate Class Energy Model'!O2</f>
        <v xml:space="preserve">Street Lighting </v>
      </c>
      <c r="G1" s="52" t="s">
        <v>7</v>
      </c>
      <c r="L1" s="8"/>
    </row>
    <row r="2" spans="1:12" x14ac:dyDescent="0.2">
      <c r="A2" s="22">
        <f>+'Rate Class Customer Model'!A11</f>
        <v>2016</v>
      </c>
      <c r="B2" s="39">
        <f>SUMIF(Inputs!$A$24:$A$143,'Rate Class Load Model'!$A$2,Inputs!$K$24:$K$143)</f>
        <v>143222.89000000001</v>
      </c>
      <c r="C2" s="39">
        <f>SUMIF(Inputs!$A$24:$A$143,'Rate Class Load Model'!$A$2,Inputs!$N$24:$N$143)</f>
        <v>103435.35</v>
      </c>
      <c r="D2" s="39">
        <f>SUMIF(Inputs!$A$24:$A$143,'Rate Class Load Model'!$A$2,Inputs!$Q$24:$Q$143)</f>
        <v>72106.679999999993</v>
      </c>
      <c r="E2" s="39">
        <f>SUMIF(Inputs!A$24:A$143,'Rate Class Load Model'!A2,Inputs!W$24:W$143)</f>
        <v>282.01</v>
      </c>
      <c r="F2" s="39">
        <f>SUMIF(Inputs!$A$24:$A$143,'Rate Class Load Model'!$A$2,Inputs!$Z$24:$Z$143)</f>
        <v>3831.24</v>
      </c>
      <c r="G2" s="49">
        <f t="shared" ref="G2:G10" si="0">SUM(B2:F2)</f>
        <v>322878.17000000004</v>
      </c>
      <c r="L2" s="40"/>
    </row>
    <row r="3" spans="1:12" x14ac:dyDescent="0.2">
      <c r="A3" s="22">
        <f>+'Rate Class Customer Model'!A12</f>
        <v>2017</v>
      </c>
      <c r="B3" s="39">
        <f>SUMIF(Inputs!$A$24:$A$143,'Rate Class Load Model'!$A$3,Inputs!$K$24:$K$143)</f>
        <v>137627.43000000002</v>
      </c>
      <c r="C3" s="39">
        <f>SUMIF(Inputs!$A$24:$A$143,'Rate Class Load Model'!$A$3,Inputs!$N$24:$N$143)</f>
        <v>106160.91</v>
      </c>
      <c r="D3" s="39">
        <f>SUMIF(Inputs!$A$24:$A$143,'Rate Class Load Model'!$A$3,Inputs!$Q$24:$Q$143)</f>
        <v>68624.840000000011</v>
      </c>
      <c r="E3" s="39">
        <f>SUMIF(Inputs!A$24:A$143,'Rate Class Load Model'!A3,Inputs!W$24:W$143)</f>
        <v>262.84999999999997</v>
      </c>
      <c r="F3" s="39">
        <f>SUMIF(Inputs!$A$24:$A$143,'Rate Class Load Model'!$A$3,Inputs!$Z$24:$Z$143)</f>
        <v>3831.24</v>
      </c>
      <c r="G3" s="49">
        <f t="shared" si="0"/>
        <v>316507.27</v>
      </c>
      <c r="L3" s="40"/>
    </row>
    <row r="4" spans="1:12" x14ac:dyDescent="0.2">
      <c r="A4" s="22">
        <f>+'Rate Class Customer Model'!A13</f>
        <v>2018</v>
      </c>
      <c r="B4" s="39">
        <f>SUMIF(Inputs!$A$24:$A$143,'Rate Class Load Model'!$A$4,Inputs!$K$24:$K$143)</f>
        <v>131465.72999999998</v>
      </c>
      <c r="C4" s="39">
        <f>SUMIF(Inputs!$A$24:$A$143,'Rate Class Load Model'!$A$4,Inputs!$N$24:$N$143)</f>
        <v>113440.98000000003</v>
      </c>
      <c r="D4" s="39">
        <f>SUMIF(Inputs!$A$24:$A$143,'Rate Class Load Model'!$A$4,Inputs!$Q$24:$Q$143)</f>
        <v>66586</v>
      </c>
      <c r="E4" s="39">
        <f>SUMIF(Inputs!A$24:A$143,'Rate Class Load Model'!A4,Inputs!W$24:W$143)</f>
        <v>256.44</v>
      </c>
      <c r="F4" s="39">
        <f>SUMIF(Inputs!$A$24:$A$143,'Rate Class Load Model'!$A$4,Inputs!$Z$24:$Z$143)</f>
        <v>3043.83</v>
      </c>
      <c r="G4" s="49">
        <f t="shared" si="0"/>
        <v>314792.98000000004</v>
      </c>
      <c r="L4" s="40"/>
    </row>
    <row r="5" spans="1:12" x14ac:dyDescent="0.2">
      <c r="A5" s="22">
        <f>+'Rate Class Customer Model'!A14</f>
        <v>2019</v>
      </c>
      <c r="B5" s="39">
        <f>SUMIF(Inputs!$A$24:$A$143,'Rate Class Load Model'!$A$5,Inputs!$K$24:$K$143)</f>
        <v>131386.22</v>
      </c>
      <c r="C5" s="39">
        <f>SUMIF(Inputs!$A$24:$A$143,'Rate Class Load Model'!$A$5,Inputs!$N$24:$N$143)</f>
        <v>91315.26</v>
      </c>
      <c r="D5" s="39">
        <f>SUMIF(Inputs!$A$24:$A$143,'Rate Class Load Model'!$A$5,Inputs!$Q$24:$Q$143)</f>
        <v>60559.709999999992</v>
      </c>
      <c r="E5" s="39">
        <f>SUMIF(Inputs!A$24:A$143,'Rate Class Load Model'!A5,Inputs!W$24:W$143)</f>
        <v>216.62</v>
      </c>
      <c r="F5" s="39">
        <f>SUMIF(Inputs!$A$24:$A$143,'Rate Class Load Model'!$A$5,Inputs!$Z$24:$Z$143)</f>
        <v>1498</v>
      </c>
      <c r="G5" s="49">
        <f t="shared" si="0"/>
        <v>284975.80999999994</v>
      </c>
      <c r="L5" s="40"/>
    </row>
    <row r="6" spans="1:12" x14ac:dyDescent="0.2">
      <c r="A6" s="22">
        <f>+'Rate Class Customer Model'!A15</f>
        <v>2020</v>
      </c>
      <c r="B6" s="39">
        <f>SUMIF(Inputs!$A$24:$A$143,'Rate Class Load Model'!$A$6,Inputs!$K$24:$K$143)</f>
        <v>137702.44</v>
      </c>
      <c r="C6" s="39">
        <f>SUMIF(Inputs!$A$24:$A$143,'Rate Class Load Model'!$A$6,Inputs!$N$24:$N$143)</f>
        <v>76762.569999999992</v>
      </c>
      <c r="D6" s="39">
        <f>SUMIF(Inputs!$A$24:$A$143,'Rate Class Load Model'!$A$6,Inputs!$Q$24:$Q$143)</f>
        <v>53164.5</v>
      </c>
      <c r="E6" s="39">
        <f>SUMIF(Inputs!A$24:A$143,'Rate Class Load Model'!A6,Inputs!W$24:W$143)</f>
        <v>202.49</v>
      </c>
      <c r="F6" s="39">
        <f>SUMIF(Inputs!$A$24:$A$143,'Rate Class Load Model'!$A$6,Inputs!$Z$24:$Z$143)</f>
        <v>1416</v>
      </c>
      <c r="G6" s="49">
        <f t="shared" si="0"/>
        <v>269248</v>
      </c>
    </row>
    <row r="7" spans="1:12" x14ac:dyDescent="0.2">
      <c r="A7" s="22">
        <f>+'Rate Class Customer Model'!A16</f>
        <v>2021</v>
      </c>
      <c r="B7" s="39">
        <f>SUMIF(Inputs!$A$24:$A$143,'Rate Class Load Model'!$A$7,Inputs!$K$24:$K$143)</f>
        <v>146508.41</v>
      </c>
      <c r="C7" s="39">
        <f>SUMIF(Inputs!$A$24:$A$143,'Rate Class Load Model'!$A$7,Inputs!$N$24:$N$143)</f>
        <v>82836.580000000016</v>
      </c>
      <c r="D7" s="39">
        <f>SUMIF(Inputs!$A$24:$A$143,'Rate Class Load Model'!$A$7,Inputs!$Q$24:$Q$143)</f>
        <v>50923.430000000008</v>
      </c>
      <c r="E7" s="39">
        <f>SUMIF(Inputs!A$24:A$143,'Rate Class Load Model'!A7,Inputs!W$24:W$143)</f>
        <v>201.60999999999996</v>
      </c>
      <c r="F7" s="39">
        <f>SUMIF(Inputs!$A$24:$A$143,'Rate Class Load Model'!$A$7,Inputs!$Z$24:$Z$143)</f>
        <v>1646.5600000000004</v>
      </c>
      <c r="G7" s="49">
        <f t="shared" si="0"/>
        <v>282116.59000000003</v>
      </c>
    </row>
    <row r="8" spans="1:12" x14ac:dyDescent="0.2">
      <c r="A8" s="22">
        <f>+'Rate Class Customer Model'!A17</f>
        <v>2022</v>
      </c>
      <c r="B8" s="39">
        <f>SUMIF(Inputs!$A$24:$A$143,'Rate Class Load Model'!$A$8,Inputs!$K$24:$K$143)</f>
        <v>160486.38999999998</v>
      </c>
      <c r="C8" s="39">
        <f>SUMIF(Inputs!$A$24:$A$143,'Rate Class Load Model'!$A$8,Inputs!$N$24:$N$143)</f>
        <v>73360.160000000003</v>
      </c>
      <c r="D8" s="39">
        <f>SUMIF(Inputs!$A$24:$A$143,'Rate Class Load Model'!$A$8,Inputs!$Q$24:$Q$143)</f>
        <v>48074.27</v>
      </c>
      <c r="E8" s="39">
        <f>SUMIF(Inputs!A$24:A$143,'Rate Class Load Model'!A8,Inputs!W$24:W$143)</f>
        <v>201.57</v>
      </c>
      <c r="F8" s="39">
        <f>SUMIF(Inputs!$A$24:$A$143,'Rate Class Load Model'!$A$8,Inputs!$Z$24:$Z$143)</f>
        <v>1667.5200000000002</v>
      </c>
      <c r="G8" s="49">
        <f t="shared" si="0"/>
        <v>283789.91000000003</v>
      </c>
    </row>
    <row r="9" spans="1:12" x14ac:dyDescent="0.2">
      <c r="A9" s="22">
        <f>+'Rate Class Customer Model'!A18</f>
        <v>2023</v>
      </c>
      <c r="B9" s="39">
        <v>155346</v>
      </c>
      <c r="C9" s="39">
        <v>63195</v>
      </c>
      <c r="D9" s="39">
        <v>42690</v>
      </c>
      <c r="E9" s="39">
        <v>197.32265503190328</v>
      </c>
      <c r="F9" s="39">
        <v>1677</v>
      </c>
      <c r="G9" s="49">
        <f t="shared" si="0"/>
        <v>263105.32265503192</v>
      </c>
    </row>
    <row r="10" spans="1:12" x14ac:dyDescent="0.2">
      <c r="A10" s="22">
        <f>+'Rate Class Customer Model'!A19</f>
        <v>2024</v>
      </c>
      <c r="B10" s="23">
        <f>B22*'Rate Class Energy Model'!J26</f>
        <v>179250.6870836262</v>
      </c>
      <c r="C10" s="23">
        <f>C22*'Rate Class Energy Model'!K26</f>
        <v>63786.866468403583</v>
      </c>
      <c r="D10" s="23">
        <f>D22*'Rate Class Energy Model'!L26</f>
        <v>41252.349143734158</v>
      </c>
      <c r="E10" s="23">
        <f>E22*'Rate Class Energy Model'!N26</f>
        <v>197.32265503190328</v>
      </c>
      <c r="F10" s="23">
        <f>F22*'Rate Class Energy Model'!O26</f>
        <v>1735.4400770751936</v>
      </c>
      <c r="G10" s="49">
        <f t="shared" si="0"/>
        <v>286222.66542787105</v>
      </c>
      <c r="J10" s="36"/>
    </row>
    <row r="11" spans="1:12" x14ac:dyDescent="0.2">
      <c r="A11" s="14"/>
      <c r="J11" s="175" t="str">
        <f>Inputs!AE21</f>
        <v>General Service 50-499 kW _Shut Down</v>
      </c>
      <c r="K11" s="175"/>
    </row>
    <row r="12" spans="1:12" x14ac:dyDescent="0.2">
      <c r="A12" s="14" t="s">
        <v>51</v>
      </c>
      <c r="B12" s="5"/>
      <c r="C12" s="5"/>
      <c r="D12" s="5"/>
      <c r="E12" s="5"/>
      <c r="F12" s="5"/>
      <c r="J12" s="1" t="s">
        <v>53</v>
      </c>
      <c r="K12" s="1" t="s">
        <v>54</v>
      </c>
    </row>
    <row r="13" spans="1:12" x14ac:dyDescent="0.2">
      <c r="A13" s="22">
        <f t="shared" ref="A13:A20" si="1">+A2</f>
        <v>2016</v>
      </c>
      <c r="B13" s="53">
        <f>(B2-K13)/('Rate Class Energy Model'!J3-J13)</f>
        <v>3.206306594800755E-3</v>
      </c>
      <c r="C13" s="53">
        <f>C2/'Rate Class Energy Model'!K3</f>
        <v>2.4555351538325986E-3</v>
      </c>
      <c r="D13" s="53">
        <f>D2/'Rate Class Energy Model'!L3</f>
        <v>2.0287710526284424E-3</v>
      </c>
      <c r="E13" s="53">
        <f>E2/'Rate Class Energy Model'!N3</f>
        <v>2.7475388721558015E-3</v>
      </c>
      <c r="F13" s="53">
        <f>F2/'Rate Class Energy Model'!O3</f>
        <v>2.683662175765919E-3</v>
      </c>
      <c r="I13">
        <v>2016</v>
      </c>
      <c r="J13" s="6">
        <f>'Power Purchased Model'!O116</f>
        <v>0</v>
      </c>
      <c r="K13" s="6">
        <f>SUM(Inputs!AF60:AF71)</f>
        <v>0</v>
      </c>
      <c r="L13" s="20"/>
    </row>
    <row r="14" spans="1:12" x14ac:dyDescent="0.2">
      <c r="A14" s="22">
        <f t="shared" si="1"/>
        <v>2017</v>
      </c>
      <c r="B14" s="53">
        <f>(B3-K14)/('Rate Class Energy Model'!J4-J14)</f>
        <v>3.2311752756104054E-3</v>
      </c>
      <c r="C14" s="53">
        <f>C3/'Rate Class Energy Model'!K4</f>
        <v>2.7018189471110475E-3</v>
      </c>
      <c r="D14" s="53">
        <f>D3/'Rate Class Energy Model'!L4</f>
        <v>2.2298276257246719E-3</v>
      </c>
      <c r="E14" s="53">
        <f>E3/'Rate Class Energy Model'!N4</f>
        <v>2.6713174793495009E-3</v>
      </c>
      <c r="F14" s="53">
        <f>F3/'Rate Class Energy Model'!O4</f>
        <v>2.6926926838282284E-3</v>
      </c>
      <c r="I14">
        <v>2017</v>
      </c>
      <c r="J14" s="6">
        <f>'Power Purchased Model'!O117</f>
        <v>0</v>
      </c>
      <c r="K14" s="6">
        <f>SUM(Inputs!AF72:AF83)</f>
        <v>0</v>
      </c>
      <c r="L14" s="20"/>
    </row>
    <row r="15" spans="1:12" x14ac:dyDescent="0.2">
      <c r="A15" s="22">
        <f t="shared" si="1"/>
        <v>2018</v>
      </c>
      <c r="B15" s="53">
        <f>(B4-K15)/('Rate Class Energy Model'!J5-J15)</f>
        <v>3.1009850127899597E-3</v>
      </c>
      <c r="C15" s="53">
        <f>C4/'Rate Class Energy Model'!K5</f>
        <v>3.0721814589578247E-3</v>
      </c>
      <c r="D15" s="53">
        <f>D4/'Rate Class Energy Model'!L5</f>
        <v>2.3210786293680228E-3</v>
      </c>
      <c r="E15" s="53">
        <f>E4/'Rate Class Energy Model'!N5</f>
        <v>2.6764196718724511E-3</v>
      </c>
      <c r="F15" s="53">
        <f>F4/'Rate Class Energy Model'!O5</f>
        <v>2.7246840514798549E-3</v>
      </c>
      <c r="I15">
        <v>2018</v>
      </c>
      <c r="J15" s="6">
        <f>'Power Purchased Model'!O118</f>
        <v>0</v>
      </c>
      <c r="K15" s="6">
        <f>SUM(Inputs!AF84:AF95)</f>
        <v>0</v>
      </c>
      <c r="L15" s="20"/>
    </row>
    <row r="16" spans="1:12" x14ac:dyDescent="0.2">
      <c r="A16" s="22">
        <f t="shared" si="1"/>
        <v>2019</v>
      </c>
      <c r="B16" s="53">
        <f>(B5-K16)/('Rate Class Energy Model'!J6-J16)</f>
        <v>3.0751306159811187E-3</v>
      </c>
      <c r="C16" s="53">
        <f>C5/'Rate Class Energy Model'!K6</f>
        <v>3.2428293138747413E-3</v>
      </c>
      <c r="D16" s="53">
        <f>D5/'Rate Class Energy Model'!L6</f>
        <v>2.2664217412501626E-3</v>
      </c>
      <c r="E16" s="53">
        <f>E5/'Rate Class Energy Model'!N6</f>
        <v>2.7198427608952857E-3</v>
      </c>
      <c r="F16" s="53">
        <f>F5/'Rate Class Energy Model'!O6</f>
        <v>2.7453395204269388E-3</v>
      </c>
      <c r="I16">
        <v>2019</v>
      </c>
      <c r="J16" s="6">
        <f>'Power Purchased Model'!O119</f>
        <v>0</v>
      </c>
      <c r="K16" s="6">
        <f>SUM(Inputs!AF96:AF107)</f>
        <v>0</v>
      </c>
      <c r="L16" s="20"/>
    </row>
    <row r="17" spans="1:12" x14ac:dyDescent="0.2">
      <c r="A17" s="22">
        <f t="shared" si="1"/>
        <v>2020</v>
      </c>
      <c r="B17" s="53">
        <f>(B6-K17)/('Rate Class Energy Model'!J7-J17)</f>
        <v>3.1447105729990525E-3</v>
      </c>
      <c r="C17" s="53">
        <f>C6/'Rate Class Energy Model'!K7</f>
        <v>3.0531496572583955E-3</v>
      </c>
      <c r="D17" s="53">
        <f>D6/'Rate Class Energy Model'!L7</f>
        <v>2.5852195880349048E-3</v>
      </c>
      <c r="E17" s="53">
        <f>E6/'Rate Class Energy Model'!N7</f>
        <v>2.6995722333217529E-3</v>
      </c>
      <c r="F17" s="53">
        <f>F6/'Rate Class Energy Model'!O7</f>
        <v>2.6836632002683663E-3</v>
      </c>
      <c r="I17">
        <v>2020</v>
      </c>
      <c r="J17" s="6">
        <f>'Power Purchased Model'!O120</f>
        <v>0</v>
      </c>
      <c r="K17" s="6">
        <f>SUM(Inputs!AF108:AF119)</f>
        <v>0</v>
      </c>
      <c r="L17" s="20"/>
    </row>
    <row r="18" spans="1:12" x14ac:dyDescent="0.2">
      <c r="A18" s="22">
        <f t="shared" si="1"/>
        <v>2021</v>
      </c>
      <c r="B18" s="53">
        <f>(B7-K18)/('Rate Class Energy Model'!J8-J18)</f>
        <v>3.1338536463987265E-3</v>
      </c>
      <c r="C18" s="53">
        <f>C7/'Rate Class Energy Model'!K8</f>
        <v>3.0616729212468072E-3</v>
      </c>
      <c r="D18" s="53">
        <f>D7/'Rate Class Energy Model'!L8</f>
        <v>2.7527314586887493E-3</v>
      </c>
      <c r="E18" s="53">
        <f>E7/'Rate Class Energy Model'!N8</f>
        <v>2.7832077086611994E-3</v>
      </c>
      <c r="F18" s="53">
        <f>F7/'Rate Class Energy Model'!O8</f>
        <v>2.7110069490133919E-3</v>
      </c>
      <c r="I18">
        <v>2021</v>
      </c>
      <c r="J18" s="6">
        <f>'Power Purchased Model'!O121</f>
        <v>0</v>
      </c>
      <c r="K18" s="6">
        <f>SUM(Inputs!AF120:AF131)</f>
        <v>0</v>
      </c>
      <c r="L18" s="20"/>
    </row>
    <row r="19" spans="1:12" x14ac:dyDescent="0.2">
      <c r="A19" s="22">
        <f t="shared" si="1"/>
        <v>2022</v>
      </c>
      <c r="B19" s="53">
        <f>(B8-K19)/('Rate Class Energy Model'!J9-J19)</f>
        <v>2.9676005324387497E-3</v>
      </c>
      <c r="C19" s="53">
        <f>C8/'Rate Class Energy Model'!K9</f>
        <v>3.1729516791273839E-3</v>
      </c>
      <c r="D19" s="53">
        <f>D8/'Rate Class Energy Model'!L9</f>
        <v>2.7007784329047841E-3</v>
      </c>
      <c r="E19" s="53">
        <f>E8/'Rate Class Energy Model'!N9</f>
        <v>2.7960366385250479E-3</v>
      </c>
      <c r="F19" s="53">
        <f>F8/'Rate Class Energy Model'!O9</f>
        <v>2.691186364655753E-3</v>
      </c>
      <c r="I19">
        <v>2022</v>
      </c>
      <c r="J19" s="6">
        <f>'Power Purchased Model'!O122</f>
        <v>0</v>
      </c>
      <c r="K19" s="6">
        <f>SUM(Inputs!AF132:AF143)</f>
        <v>0</v>
      </c>
      <c r="L19" s="20"/>
    </row>
    <row r="20" spans="1:12" x14ac:dyDescent="0.2">
      <c r="A20" s="22">
        <f t="shared" si="1"/>
        <v>2023</v>
      </c>
      <c r="B20" s="53">
        <f>(B9-K20)/('Rate Class Energy Model'!J10-J20)</f>
        <v>2.7161930731988558E-3</v>
      </c>
      <c r="C20" s="53">
        <f>C9/'Rate Class Energy Model'!K10</f>
        <v>2.9410086577673017E-3</v>
      </c>
      <c r="D20" s="53">
        <f>D9/'Rate Class Energy Model'!L10</f>
        <v>2.511107045864026E-3</v>
      </c>
      <c r="E20" s="53">
        <f>E9/'Rate Class Energy Model'!N10</f>
        <v>2.7277050521115767E-3</v>
      </c>
      <c r="F20" s="53">
        <f>F9/'Rate Class Energy Model'!O10</f>
        <v>2.6010162109847568E-3</v>
      </c>
      <c r="I20">
        <v>2023</v>
      </c>
      <c r="J20" s="106">
        <v>0</v>
      </c>
      <c r="K20" s="106">
        <v>0</v>
      </c>
    </row>
    <row r="21" spans="1:12" x14ac:dyDescent="0.2">
      <c r="J21" s="36"/>
      <c r="K21" s="36"/>
    </row>
    <row r="22" spans="1:12" x14ac:dyDescent="0.2">
      <c r="A22" s="43" t="s">
        <v>50</v>
      </c>
      <c r="B22" s="20">
        <f>B24</f>
        <v>3.0719944155272027E-3</v>
      </c>
      <c r="C22" s="20">
        <f t="shared" ref="C22:D22" si="2">C24</f>
        <v>2.9626434736470123E-3</v>
      </c>
      <c r="D22" s="20">
        <f t="shared" si="2"/>
        <v>2.4244919468079705E-3</v>
      </c>
      <c r="E22" s="20">
        <f t="shared" ref="E22:F22" si="3">E24</f>
        <v>2.7277050521115767E-3</v>
      </c>
      <c r="F22" s="20">
        <f t="shared" si="3"/>
        <v>2.6916563945529005E-3</v>
      </c>
    </row>
    <row r="23" spans="1:12" x14ac:dyDescent="0.2">
      <c r="J23" s="36"/>
      <c r="K23" s="36"/>
    </row>
    <row r="24" spans="1:12" x14ac:dyDescent="0.2">
      <c r="A24" t="s">
        <v>9</v>
      </c>
      <c r="B24" s="20">
        <f>AVERAGE(B13:B20)</f>
        <v>3.0719944155272027E-3</v>
      </c>
      <c r="C24" s="20">
        <f t="shared" ref="C24:F24" si="4">AVERAGE(C13:C20)</f>
        <v>2.9626434736470123E-3</v>
      </c>
      <c r="D24" s="20">
        <f t="shared" si="4"/>
        <v>2.4244919468079705E-3</v>
      </c>
      <c r="E24" s="20">
        <f>AVERAGE(E13:E20)</f>
        <v>2.7277050521115767E-3</v>
      </c>
      <c r="F24" s="20">
        <f t="shared" si="4"/>
        <v>2.6916563945529005E-3</v>
      </c>
      <c r="K24" s="20"/>
      <c r="L24" s="20"/>
    </row>
    <row r="27" spans="1:12" x14ac:dyDescent="0.2">
      <c r="B27" s="60"/>
      <c r="C27" s="60"/>
      <c r="D27" s="60"/>
      <c r="E27" s="60"/>
      <c r="F27" s="60"/>
    </row>
    <row r="29" spans="1:12" x14ac:dyDescent="0.2">
      <c r="B29" s="19"/>
      <c r="C29" s="19"/>
      <c r="D29" s="19"/>
      <c r="E29" s="19"/>
      <c r="F29" s="19"/>
    </row>
    <row r="30" spans="1:12" x14ac:dyDescent="0.2">
      <c r="B30" s="19"/>
      <c r="C30" s="19"/>
      <c r="D30" s="19"/>
      <c r="E30" s="19"/>
      <c r="F30" s="19"/>
    </row>
    <row r="49" spans="2:6" x14ac:dyDescent="0.2">
      <c r="B49" s="13"/>
      <c r="C49" s="13"/>
      <c r="D49" s="13"/>
      <c r="E49" s="13"/>
      <c r="F49" s="13"/>
    </row>
    <row r="50" spans="2:6" x14ac:dyDescent="0.2">
      <c r="B50" s="13"/>
      <c r="C50" s="13"/>
      <c r="D50" s="13"/>
      <c r="E50" s="13"/>
      <c r="F50" s="13"/>
    </row>
  </sheetData>
  <mergeCells count="1">
    <mergeCell ref="J11:K11"/>
  </mergeCells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3"/>
  <sheetViews>
    <sheetView topLeftCell="A19" workbookViewId="0">
      <selection activeCell="P1" sqref="P1:Q1048576"/>
    </sheetView>
  </sheetViews>
  <sheetFormatPr defaultRowHeight="12.75" x14ac:dyDescent="0.2"/>
  <cols>
    <col min="13" max="14" width="9.85546875" bestFit="1" customWidth="1"/>
    <col min="16" max="16" width="8.85546875" customWidth="1"/>
  </cols>
  <sheetData>
    <row r="1" spans="1:14" x14ac:dyDescent="0.2">
      <c r="A1" s="14" t="s">
        <v>128</v>
      </c>
    </row>
    <row r="2" spans="1:14" x14ac:dyDescent="0.2">
      <c r="A2" s="146"/>
    </row>
    <row r="3" spans="1:14" x14ac:dyDescent="0.2">
      <c r="A3" s="147" t="s">
        <v>129</v>
      </c>
    </row>
    <row r="4" spans="1:14" x14ac:dyDescent="0.2">
      <c r="A4" s="148"/>
    </row>
    <row r="5" spans="1:14" x14ac:dyDescent="0.2">
      <c r="A5" s="149" t="s">
        <v>103</v>
      </c>
      <c r="B5" s="149">
        <f t="shared" ref="B5:L5" si="0">B24</f>
        <v>2013</v>
      </c>
      <c r="C5" s="149">
        <f t="shared" si="0"/>
        <v>2014</v>
      </c>
      <c r="D5" s="149">
        <f t="shared" si="0"/>
        <v>2015</v>
      </c>
      <c r="E5" s="149">
        <f t="shared" si="0"/>
        <v>2016</v>
      </c>
      <c r="F5" s="149">
        <f t="shared" si="0"/>
        <v>2017</v>
      </c>
      <c r="G5" s="149">
        <f t="shared" si="0"/>
        <v>2018</v>
      </c>
      <c r="H5" s="149">
        <f t="shared" si="0"/>
        <v>2019</v>
      </c>
      <c r="I5" s="149">
        <f t="shared" si="0"/>
        <v>2020</v>
      </c>
      <c r="J5" s="149">
        <f t="shared" si="0"/>
        <v>2021</v>
      </c>
      <c r="K5" s="149">
        <f t="shared" si="0"/>
        <v>2022</v>
      </c>
      <c r="L5" s="149">
        <f t="shared" si="0"/>
        <v>2023</v>
      </c>
      <c r="M5" s="150" t="s">
        <v>132</v>
      </c>
      <c r="N5" s="150" t="s">
        <v>130</v>
      </c>
    </row>
    <row r="6" spans="1:14" x14ac:dyDescent="0.2">
      <c r="A6" s="148"/>
    </row>
    <row r="7" spans="1:14" x14ac:dyDescent="0.2">
      <c r="A7" s="151"/>
    </row>
    <row r="8" spans="1:14" x14ac:dyDescent="0.2">
      <c r="A8" s="151" t="s">
        <v>78</v>
      </c>
      <c r="B8" s="152">
        <v>620.79999999999995</v>
      </c>
      <c r="C8" s="152">
        <v>852.0999999999998</v>
      </c>
      <c r="D8" s="152">
        <v>829.49999999999989</v>
      </c>
      <c r="E8" s="152">
        <v>699.50000000000023</v>
      </c>
      <c r="F8" s="152">
        <v>605.4</v>
      </c>
      <c r="G8" s="152">
        <v>764.80000000000007</v>
      </c>
      <c r="H8" s="152">
        <v>778.9</v>
      </c>
      <c r="I8" s="152">
        <v>602.6</v>
      </c>
      <c r="J8" s="152">
        <v>615.30000000000007</v>
      </c>
      <c r="K8" s="152">
        <v>824.49999999999989</v>
      </c>
      <c r="L8" s="152">
        <v>545.69999999999993</v>
      </c>
      <c r="M8" s="153">
        <f>AVERAGE(E8:K8)</f>
        <v>698.71428571428567</v>
      </c>
      <c r="N8" s="153">
        <f>AVERAGE(B8:K8)</f>
        <v>719.33999999999992</v>
      </c>
    </row>
    <row r="9" spans="1:14" x14ac:dyDescent="0.2">
      <c r="A9" s="151" t="s">
        <v>79</v>
      </c>
      <c r="B9" s="152">
        <v>651.29999999999995</v>
      </c>
      <c r="C9" s="152">
        <v>800.7</v>
      </c>
      <c r="D9" s="152">
        <v>884.09999999999991</v>
      </c>
      <c r="E9" s="152">
        <v>603.99999999999989</v>
      </c>
      <c r="F9" s="152">
        <v>507.69999999999993</v>
      </c>
      <c r="G9" s="152">
        <v>585</v>
      </c>
      <c r="H9" s="152">
        <v>636.20000000000005</v>
      </c>
      <c r="I9" s="152">
        <v>602.69999999999993</v>
      </c>
      <c r="J9" s="152">
        <v>692.7</v>
      </c>
      <c r="K9" s="152">
        <v>635.30000000000018</v>
      </c>
      <c r="L9" s="152">
        <v>534.49999999999989</v>
      </c>
      <c r="M9" s="153">
        <f t="shared" ref="M9:M19" si="1">AVERAGE(E9:K9)</f>
        <v>609.08571428571418</v>
      </c>
      <c r="N9" s="153">
        <f t="shared" ref="N9:N19" si="2">AVERAGE(B9:K9)</f>
        <v>659.97</v>
      </c>
    </row>
    <row r="10" spans="1:14" x14ac:dyDescent="0.2">
      <c r="A10" s="151" t="s">
        <v>80</v>
      </c>
      <c r="B10" s="152">
        <v>593.4</v>
      </c>
      <c r="C10" s="152">
        <v>726</v>
      </c>
      <c r="D10" s="152">
        <v>651.70000000000005</v>
      </c>
      <c r="E10" s="152">
        <v>466.50000000000006</v>
      </c>
      <c r="F10" s="152">
        <v>568.4</v>
      </c>
      <c r="G10" s="152">
        <v>591.50000000000011</v>
      </c>
      <c r="H10" s="152">
        <v>617</v>
      </c>
      <c r="I10" s="152">
        <v>463.4</v>
      </c>
      <c r="J10" s="152">
        <v>456</v>
      </c>
      <c r="K10" s="152">
        <v>499.2</v>
      </c>
      <c r="L10" s="152">
        <v>556.09999999999991</v>
      </c>
      <c r="M10" s="153">
        <f t="shared" si="1"/>
        <v>523.14285714285711</v>
      </c>
      <c r="N10" s="153">
        <f t="shared" si="2"/>
        <v>563.30999999999995</v>
      </c>
    </row>
    <row r="11" spans="1:14" x14ac:dyDescent="0.2">
      <c r="A11" s="151" t="s">
        <v>81</v>
      </c>
      <c r="B11" s="152">
        <v>347.5</v>
      </c>
      <c r="C11" s="152">
        <v>359.59999999999997</v>
      </c>
      <c r="D11" s="152">
        <v>340.09999999999997</v>
      </c>
      <c r="E11" s="152">
        <v>391.09999999999997</v>
      </c>
      <c r="F11" s="152">
        <v>255.80000000000004</v>
      </c>
      <c r="G11" s="152">
        <v>454.2000000000001</v>
      </c>
      <c r="H11" s="152">
        <v>346.60000000000014</v>
      </c>
      <c r="I11" s="152">
        <v>381.59999999999997</v>
      </c>
      <c r="J11" s="152">
        <v>302.70000000000005</v>
      </c>
      <c r="K11" s="152">
        <v>371.9</v>
      </c>
      <c r="L11" s="152">
        <v>290.59999999999997</v>
      </c>
      <c r="M11" s="153">
        <f t="shared" si="1"/>
        <v>357.7</v>
      </c>
      <c r="N11" s="153">
        <f t="shared" si="2"/>
        <v>355.11</v>
      </c>
    </row>
    <row r="12" spans="1:14" x14ac:dyDescent="0.2">
      <c r="A12" s="151" t="s">
        <v>52</v>
      </c>
      <c r="B12" s="152">
        <v>117.60000000000002</v>
      </c>
      <c r="C12" s="152">
        <v>147.69999999999996</v>
      </c>
      <c r="D12" s="152">
        <v>106.7</v>
      </c>
      <c r="E12" s="152">
        <v>148.19999999999996</v>
      </c>
      <c r="F12" s="152">
        <v>194.60000000000002</v>
      </c>
      <c r="G12" s="152">
        <v>83.5</v>
      </c>
      <c r="H12" s="152">
        <v>184.20000000000002</v>
      </c>
      <c r="I12" s="152">
        <v>213.39999999999995</v>
      </c>
      <c r="J12" s="152">
        <v>175.60000000000005</v>
      </c>
      <c r="K12" s="152">
        <v>120.5</v>
      </c>
      <c r="L12" s="152">
        <v>153</v>
      </c>
      <c r="M12" s="153">
        <f t="shared" si="1"/>
        <v>160</v>
      </c>
      <c r="N12" s="153">
        <f t="shared" si="2"/>
        <v>149.19999999999999</v>
      </c>
    </row>
    <row r="13" spans="1:14" x14ac:dyDescent="0.2">
      <c r="A13" s="151" t="s">
        <v>82</v>
      </c>
      <c r="B13" s="152">
        <v>47</v>
      </c>
      <c r="C13" s="152">
        <v>21</v>
      </c>
      <c r="D13" s="152">
        <v>33.300000000000004</v>
      </c>
      <c r="E13" s="152">
        <v>42.5</v>
      </c>
      <c r="F13" s="152">
        <v>37.400000000000006</v>
      </c>
      <c r="G13" s="152">
        <v>22.600000000000005</v>
      </c>
      <c r="H13" s="152">
        <v>37.800000000000004</v>
      </c>
      <c r="I13" s="152">
        <v>33.9</v>
      </c>
      <c r="J13" s="152">
        <v>20.799999999999997</v>
      </c>
      <c r="K13" s="152">
        <v>36.700000000000003</v>
      </c>
      <c r="L13" s="152">
        <v>34.9</v>
      </c>
      <c r="M13" s="153">
        <f t="shared" si="1"/>
        <v>33.1</v>
      </c>
      <c r="N13" s="153">
        <f t="shared" si="2"/>
        <v>33.299999999999997</v>
      </c>
    </row>
    <row r="14" spans="1:14" x14ac:dyDescent="0.2">
      <c r="A14" s="151" t="s">
        <v>83</v>
      </c>
      <c r="B14" s="152">
        <v>8.3000000000000007</v>
      </c>
      <c r="C14" s="152">
        <v>26.799999999999997</v>
      </c>
      <c r="D14" s="152">
        <v>10.499999999999998</v>
      </c>
      <c r="E14" s="152">
        <v>4.4000000000000004</v>
      </c>
      <c r="F14" s="152">
        <v>0.8</v>
      </c>
      <c r="G14" s="152">
        <v>3.6</v>
      </c>
      <c r="H14" s="152">
        <v>0</v>
      </c>
      <c r="I14" s="152">
        <v>0</v>
      </c>
      <c r="J14" s="152">
        <v>6</v>
      </c>
      <c r="K14" s="152">
        <v>0.9</v>
      </c>
      <c r="L14" s="152">
        <v>2.4</v>
      </c>
      <c r="M14" s="153">
        <f t="shared" si="1"/>
        <v>2.2428571428571429</v>
      </c>
      <c r="N14" s="153">
        <f t="shared" si="2"/>
        <v>6.129999999999999</v>
      </c>
    </row>
    <row r="15" spans="1:14" x14ac:dyDescent="0.2">
      <c r="A15" s="151" t="s">
        <v>84</v>
      </c>
      <c r="B15" s="152">
        <v>23.3</v>
      </c>
      <c r="C15" s="152">
        <v>19.3</v>
      </c>
      <c r="D15" s="152">
        <v>19.600000000000001</v>
      </c>
      <c r="E15" s="152">
        <v>0.7</v>
      </c>
      <c r="F15" s="152">
        <v>23.500000000000004</v>
      </c>
      <c r="G15" s="152">
        <v>3.5999999999999996</v>
      </c>
      <c r="H15" s="152">
        <v>11.099999999999998</v>
      </c>
      <c r="I15" s="152">
        <v>5.6</v>
      </c>
      <c r="J15" s="152">
        <v>2.2999999999999998</v>
      </c>
      <c r="K15" s="152">
        <v>2.2000000000000002</v>
      </c>
      <c r="L15" s="152">
        <v>19.8</v>
      </c>
      <c r="M15" s="153">
        <f t="shared" si="1"/>
        <v>7.0000000000000009</v>
      </c>
      <c r="N15" s="153">
        <f t="shared" si="2"/>
        <v>11.12</v>
      </c>
    </row>
    <row r="16" spans="1:14" x14ac:dyDescent="0.2">
      <c r="A16" s="151" t="s">
        <v>85</v>
      </c>
      <c r="B16" s="152">
        <v>103.4</v>
      </c>
      <c r="C16" s="152">
        <v>92.799999999999983</v>
      </c>
      <c r="D16" s="152">
        <v>36.099999999999994</v>
      </c>
      <c r="E16" s="152">
        <v>40.9</v>
      </c>
      <c r="F16" s="152">
        <v>71.399999999999991</v>
      </c>
      <c r="G16" s="152">
        <v>68.699999999999989</v>
      </c>
      <c r="H16" s="152">
        <v>47.999999999999986</v>
      </c>
      <c r="I16" s="152">
        <v>91.6</v>
      </c>
      <c r="J16" s="152">
        <v>58.4</v>
      </c>
      <c r="K16" s="152">
        <v>69.899999999999991</v>
      </c>
      <c r="L16" s="152">
        <v>52.500000000000007</v>
      </c>
      <c r="M16" s="153">
        <f t="shared" si="1"/>
        <v>64.128571428571405</v>
      </c>
      <c r="N16" s="153">
        <f t="shared" si="2"/>
        <v>68.11999999999999</v>
      </c>
    </row>
    <row r="17" spans="1:19" x14ac:dyDescent="0.2">
      <c r="A17" s="151" t="s">
        <v>86</v>
      </c>
      <c r="B17" s="152">
        <v>217.6</v>
      </c>
      <c r="C17" s="152">
        <v>253.09999999999997</v>
      </c>
      <c r="D17" s="152">
        <v>261.09999999999997</v>
      </c>
      <c r="E17" s="152">
        <v>212.90000000000003</v>
      </c>
      <c r="F17" s="152">
        <v>184.39999999999998</v>
      </c>
      <c r="G17" s="152">
        <v>293.89999999999998</v>
      </c>
      <c r="H17" s="152">
        <v>248.3</v>
      </c>
      <c r="I17" s="152">
        <v>273.00000000000006</v>
      </c>
      <c r="J17" s="152">
        <v>157.30000000000001</v>
      </c>
      <c r="K17" s="152">
        <v>254</v>
      </c>
      <c r="L17" s="152">
        <v>210.69999999999996</v>
      </c>
      <c r="M17" s="153">
        <f t="shared" si="1"/>
        <v>231.97142857142856</v>
      </c>
      <c r="N17" s="153">
        <f t="shared" si="2"/>
        <v>235.56</v>
      </c>
    </row>
    <row r="18" spans="1:19" x14ac:dyDescent="0.2">
      <c r="A18" s="151" t="s">
        <v>87</v>
      </c>
      <c r="B18" s="152">
        <v>499.59999999999997</v>
      </c>
      <c r="C18" s="152">
        <v>509.80000000000013</v>
      </c>
      <c r="D18" s="152">
        <v>358.5</v>
      </c>
      <c r="E18" s="152">
        <v>364.5</v>
      </c>
      <c r="F18" s="152">
        <v>447.5</v>
      </c>
      <c r="G18" s="152">
        <v>526.9</v>
      </c>
      <c r="H18" s="152">
        <v>527.1</v>
      </c>
      <c r="I18" s="152">
        <v>354.3</v>
      </c>
      <c r="J18" s="152">
        <v>447.7000000000001</v>
      </c>
      <c r="K18" s="152">
        <v>401.29999999999995</v>
      </c>
      <c r="L18" s="152">
        <v>448.1</v>
      </c>
      <c r="M18" s="153">
        <f t="shared" si="1"/>
        <v>438.47142857142859</v>
      </c>
      <c r="N18" s="153">
        <f t="shared" si="2"/>
        <v>443.72000000000008</v>
      </c>
    </row>
    <row r="19" spans="1:19" x14ac:dyDescent="0.2">
      <c r="A19" s="151" t="s">
        <v>88</v>
      </c>
      <c r="B19" s="152">
        <v>694.6</v>
      </c>
      <c r="C19" s="152">
        <v>573.49999999999989</v>
      </c>
      <c r="D19" s="152">
        <v>452.59999999999997</v>
      </c>
      <c r="E19" s="152">
        <v>645.10000000000014</v>
      </c>
      <c r="F19" s="152">
        <v>730</v>
      </c>
      <c r="G19" s="152">
        <v>573.5</v>
      </c>
      <c r="H19" s="152">
        <v>535.89999999999986</v>
      </c>
      <c r="I19" s="152">
        <v>567.59999999999991</v>
      </c>
      <c r="J19" s="152">
        <v>515.4</v>
      </c>
      <c r="K19" s="152">
        <v>557.30000000000007</v>
      </c>
      <c r="L19" s="152">
        <v>462.29999999999995</v>
      </c>
      <c r="M19" s="153">
        <f t="shared" si="1"/>
        <v>589.25714285714287</v>
      </c>
      <c r="N19" s="153">
        <f t="shared" si="2"/>
        <v>584.54999999999995</v>
      </c>
    </row>
    <row r="20" spans="1:19" x14ac:dyDescent="0.2">
      <c r="A20" s="151" t="s">
        <v>7</v>
      </c>
      <c r="B20" s="152">
        <f t="shared" ref="B20:L20" si="3">SUM(B8:B19)</f>
        <v>3924.4</v>
      </c>
      <c r="C20" s="152">
        <f t="shared" si="3"/>
        <v>4382.3999999999996</v>
      </c>
      <c r="D20" s="152">
        <f t="shared" si="3"/>
        <v>3983.7999999999997</v>
      </c>
      <c r="E20" s="152">
        <f t="shared" si="3"/>
        <v>3620.3</v>
      </c>
      <c r="F20" s="152">
        <f t="shared" si="3"/>
        <v>3626.9000000000005</v>
      </c>
      <c r="G20" s="152">
        <f t="shared" si="3"/>
        <v>3971.8</v>
      </c>
      <c r="H20" s="152">
        <f t="shared" si="3"/>
        <v>3971.0999999999995</v>
      </c>
      <c r="I20" s="152">
        <f t="shared" si="3"/>
        <v>3589.7</v>
      </c>
      <c r="J20" s="152">
        <f t="shared" si="3"/>
        <v>3450.2000000000007</v>
      </c>
      <c r="K20" s="152">
        <f t="shared" si="3"/>
        <v>3773.7</v>
      </c>
      <c r="L20" s="152">
        <f t="shared" si="3"/>
        <v>3310.5999999999995</v>
      </c>
    </row>
    <row r="22" spans="1:19" x14ac:dyDescent="0.2">
      <c r="A22" s="147" t="s">
        <v>131</v>
      </c>
    </row>
    <row r="23" spans="1:19" x14ac:dyDescent="0.2">
      <c r="A23" s="148"/>
    </row>
    <row r="24" spans="1:19" x14ac:dyDescent="0.2">
      <c r="A24" s="149" t="s">
        <v>103</v>
      </c>
      <c r="B24" s="149">
        <v>2013</v>
      </c>
      <c r="C24" s="149">
        <v>2014</v>
      </c>
      <c r="D24" s="149">
        <v>2015</v>
      </c>
      <c r="E24" s="149">
        <v>2016</v>
      </c>
      <c r="F24" s="149">
        <v>2017</v>
      </c>
      <c r="G24" s="149">
        <v>2018</v>
      </c>
      <c r="H24" s="149">
        <v>2019</v>
      </c>
      <c r="I24" s="149">
        <v>2020</v>
      </c>
      <c r="J24" s="149">
        <v>2021</v>
      </c>
      <c r="K24" s="149">
        <v>2022</v>
      </c>
      <c r="L24" s="149">
        <v>2023</v>
      </c>
      <c r="M24" s="150" t="s">
        <v>132</v>
      </c>
      <c r="N24" s="150" t="s">
        <v>130</v>
      </c>
    </row>
    <row r="25" spans="1:19" x14ac:dyDescent="0.2">
      <c r="A25" s="148"/>
      <c r="M25" s="154"/>
      <c r="N25" s="154"/>
    </row>
    <row r="26" spans="1:19" x14ac:dyDescent="0.2">
      <c r="M26" s="154"/>
      <c r="N26" s="154"/>
    </row>
    <row r="27" spans="1:19" x14ac:dyDescent="0.2">
      <c r="A27" s="151" t="s">
        <v>78</v>
      </c>
      <c r="B27" s="152">
        <v>0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3">
        <f>AVERAGE(E27:K27)</f>
        <v>0</v>
      </c>
      <c r="N27" s="153">
        <f>AVERAGE(B27:K27)</f>
        <v>0</v>
      </c>
      <c r="R27" s="152"/>
      <c r="S27" s="152"/>
    </row>
    <row r="28" spans="1:19" x14ac:dyDescent="0.2">
      <c r="A28" s="151" t="s">
        <v>79</v>
      </c>
      <c r="B28" s="152">
        <v>0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3">
        <f t="shared" ref="M28:M38" si="4">AVERAGE(E28:K28)</f>
        <v>0</v>
      </c>
      <c r="N28" s="153">
        <f t="shared" ref="N28:N38" si="5">AVERAGE(B28:K28)</f>
        <v>0</v>
      </c>
      <c r="R28" s="152"/>
      <c r="S28" s="152"/>
    </row>
    <row r="29" spans="1:19" x14ac:dyDescent="0.2">
      <c r="A29" s="151" t="s">
        <v>80</v>
      </c>
      <c r="B29" s="152">
        <v>0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3">
        <f t="shared" si="4"/>
        <v>0</v>
      </c>
      <c r="N29" s="153">
        <f t="shared" si="5"/>
        <v>0</v>
      </c>
      <c r="R29" s="152"/>
      <c r="S29" s="152"/>
    </row>
    <row r="30" spans="1:19" x14ac:dyDescent="0.2">
      <c r="A30" s="151" t="s">
        <v>81</v>
      </c>
      <c r="B30" s="152">
        <v>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2.6</v>
      </c>
      <c r="M30" s="153">
        <f t="shared" si="4"/>
        <v>0</v>
      </c>
      <c r="N30" s="153">
        <f t="shared" si="5"/>
        <v>0</v>
      </c>
      <c r="R30" s="152"/>
      <c r="S30" s="152"/>
    </row>
    <row r="31" spans="1:19" x14ac:dyDescent="0.2">
      <c r="A31" s="151" t="s">
        <v>52</v>
      </c>
      <c r="B31" s="152">
        <v>20.799999999999997</v>
      </c>
      <c r="C31" s="152">
        <v>10.199999999999999</v>
      </c>
      <c r="D31" s="152">
        <v>35.4</v>
      </c>
      <c r="E31" s="152">
        <v>25.8</v>
      </c>
      <c r="F31" s="152">
        <v>7.3</v>
      </c>
      <c r="G31" s="152">
        <v>36.900000000000006</v>
      </c>
      <c r="H31" s="152">
        <v>2.2000000000000002</v>
      </c>
      <c r="I31" s="152">
        <v>22.699999999999996</v>
      </c>
      <c r="J31" s="152">
        <v>19.8</v>
      </c>
      <c r="K31" s="152">
        <v>23.699999999999996</v>
      </c>
      <c r="L31" s="152">
        <v>8.9</v>
      </c>
      <c r="M31" s="153">
        <f t="shared" si="4"/>
        <v>19.771428571428572</v>
      </c>
      <c r="N31" s="153">
        <f t="shared" si="5"/>
        <v>20.479999999999997</v>
      </c>
      <c r="R31" s="152"/>
      <c r="S31" s="152"/>
    </row>
    <row r="32" spans="1:19" x14ac:dyDescent="0.2">
      <c r="A32" s="151" t="s">
        <v>82</v>
      </c>
      <c r="B32" s="152">
        <v>47.699999999999996</v>
      </c>
      <c r="C32" s="152">
        <v>66.500000000000014</v>
      </c>
      <c r="D32" s="152">
        <v>24.900000000000002</v>
      </c>
      <c r="E32" s="152">
        <v>43.8</v>
      </c>
      <c r="F32" s="152">
        <v>59.6</v>
      </c>
      <c r="G32" s="152">
        <v>45.9</v>
      </c>
      <c r="H32" s="152">
        <v>30.2</v>
      </c>
      <c r="I32" s="152">
        <v>59.9</v>
      </c>
      <c r="J32" s="152">
        <v>88.100000000000009</v>
      </c>
      <c r="K32" s="152">
        <v>45.5</v>
      </c>
      <c r="L32" s="152">
        <v>31.9</v>
      </c>
      <c r="M32" s="153">
        <f t="shared" si="4"/>
        <v>53.285714285714285</v>
      </c>
      <c r="N32" s="153">
        <f t="shared" si="5"/>
        <v>51.21</v>
      </c>
      <c r="R32" s="152"/>
      <c r="S32" s="152"/>
    </row>
    <row r="33" spans="1:19" x14ac:dyDescent="0.2">
      <c r="A33" s="151" t="s">
        <v>83</v>
      </c>
      <c r="B33" s="152">
        <v>104.00000000000001</v>
      </c>
      <c r="C33" s="152">
        <v>45.099999999999994</v>
      </c>
      <c r="D33" s="152">
        <v>70.7</v>
      </c>
      <c r="E33" s="152">
        <v>109.1</v>
      </c>
      <c r="F33" s="152">
        <v>78.300000000000011</v>
      </c>
      <c r="G33" s="152">
        <v>91.499999999999986</v>
      </c>
      <c r="H33" s="152">
        <v>127.19999999999999</v>
      </c>
      <c r="I33" s="152">
        <v>159.19999999999993</v>
      </c>
      <c r="J33" s="152">
        <v>76.5</v>
      </c>
      <c r="K33" s="152">
        <v>80</v>
      </c>
      <c r="L33" s="152">
        <v>80.3</v>
      </c>
      <c r="M33" s="153">
        <f t="shared" si="4"/>
        <v>103.11428571428571</v>
      </c>
      <c r="N33" s="153">
        <f t="shared" si="5"/>
        <v>94.16</v>
      </c>
      <c r="R33" s="152"/>
      <c r="S33" s="152"/>
    </row>
    <row r="34" spans="1:19" x14ac:dyDescent="0.2">
      <c r="A34" s="151" t="s">
        <v>84</v>
      </c>
      <c r="B34" s="152">
        <v>54.4</v>
      </c>
      <c r="C34" s="152">
        <v>50.400000000000006</v>
      </c>
      <c r="D34" s="152">
        <v>55.7</v>
      </c>
      <c r="E34" s="152">
        <v>124.20000000000002</v>
      </c>
      <c r="F34" s="152">
        <v>43.300000000000004</v>
      </c>
      <c r="G34" s="152">
        <v>107.3</v>
      </c>
      <c r="H34" s="152">
        <v>66.5</v>
      </c>
      <c r="I34" s="152">
        <v>75.699999999999989</v>
      </c>
      <c r="J34" s="152">
        <v>112.89999999999999</v>
      </c>
      <c r="K34" s="152">
        <v>71.5</v>
      </c>
      <c r="L34" s="152">
        <v>35.299999999999997</v>
      </c>
      <c r="M34" s="153">
        <f t="shared" si="4"/>
        <v>85.914285714285711</v>
      </c>
      <c r="N34" s="153">
        <f t="shared" si="5"/>
        <v>76.19</v>
      </c>
      <c r="R34" s="152"/>
      <c r="S34" s="152"/>
    </row>
    <row r="35" spans="1:19" x14ac:dyDescent="0.2">
      <c r="A35" s="151" t="s">
        <v>85</v>
      </c>
      <c r="B35" s="152">
        <v>24</v>
      </c>
      <c r="C35" s="152">
        <v>16.2</v>
      </c>
      <c r="D35" s="152">
        <v>50.199999999999989</v>
      </c>
      <c r="E35" s="152">
        <v>40.000000000000007</v>
      </c>
      <c r="F35" s="152">
        <v>52.9</v>
      </c>
      <c r="G35" s="152">
        <v>58.699999999999996</v>
      </c>
      <c r="H35" s="152">
        <v>23.6</v>
      </c>
      <c r="I35" s="152">
        <v>10.600000000000001</v>
      </c>
      <c r="J35" s="152">
        <v>11.700000000000001</v>
      </c>
      <c r="K35" s="152">
        <v>26.900000000000006</v>
      </c>
      <c r="L35" s="152">
        <v>29.200000000000003</v>
      </c>
      <c r="M35" s="153">
        <f t="shared" si="4"/>
        <v>32.057142857142857</v>
      </c>
      <c r="N35" s="153">
        <f t="shared" si="5"/>
        <v>31.480000000000008</v>
      </c>
      <c r="R35" s="152"/>
      <c r="S35" s="152"/>
    </row>
    <row r="36" spans="1:19" x14ac:dyDescent="0.2">
      <c r="A36" s="151" t="s">
        <v>86</v>
      </c>
      <c r="B36" s="152">
        <v>2.7</v>
      </c>
      <c r="C36" s="152">
        <v>0</v>
      </c>
      <c r="D36" s="152">
        <v>0</v>
      </c>
      <c r="E36" s="152">
        <v>3.3</v>
      </c>
      <c r="F36" s="152">
        <v>4.6000000000000005</v>
      </c>
      <c r="G36" s="152">
        <v>8.9</v>
      </c>
      <c r="H36" s="152">
        <v>4.4000000000000004</v>
      </c>
      <c r="I36" s="152">
        <v>0</v>
      </c>
      <c r="J36" s="152">
        <v>10.3</v>
      </c>
      <c r="K36" s="152">
        <v>0</v>
      </c>
      <c r="L36" s="152">
        <v>9.4</v>
      </c>
      <c r="M36" s="153">
        <f t="shared" si="4"/>
        <v>4.5000000000000009</v>
      </c>
      <c r="N36" s="153">
        <f t="shared" si="5"/>
        <v>3.4200000000000004</v>
      </c>
      <c r="R36" s="152"/>
      <c r="S36" s="152"/>
    </row>
    <row r="37" spans="1:19" x14ac:dyDescent="0.2">
      <c r="A37" s="151" t="s">
        <v>87</v>
      </c>
      <c r="B37" s="152">
        <v>0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0.4</v>
      </c>
      <c r="L37" s="152">
        <v>0</v>
      </c>
      <c r="M37" s="153">
        <f t="shared" si="4"/>
        <v>5.7142857142857148E-2</v>
      </c>
      <c r="N37" s="153">
        <f t="shared" si="5"/>
        <v>0.04</v>
      </c>
      <c r="R37" s="152"/>
      <c r="S37" s="152"/>
    </row>
    <row r="38" spans="1:19" x14ac:dyDescent="0.2">
      <c r="A38" s="151" t="s">
        <v>88</v>
      </c>
      <c r="B38" s="152">
        <v>0</v>
      </c>
      <c r="C38" s="152">
        <v>0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3">
        <f t="shared" si="4"/>
        <v>0</v>
      </c>
      <c r="N38" s="153">
        <f t="shared" si="5"/>
        <v>0</v>
      </c>
      <c r="R38" s="152"/>
      <c r="S38" s="152"/>
    </row>
    <row r="39" spans="1:19" x14ac:dyDescent="0.2">
      <c r="A39" s="151" t="s">
        <v>7</v>
      </c>
      <c r="B39" s="152">
        <f t="shared" ref="B39:L39" si="6">SUM(B27:B38)</f>
        <v>253.6</v>
      </c>
      <c r="C39" s="152">
        <f t="shared" si="6"/>
        <v>188.4</v>
      </c>
      <c r="D39" s="152">
        <f t="shared" si="6"/>
        <v>236.89999999999998</v>
      </c>
      <c r="E39" s="152">
        <f t="shared" si="6"/>
        <v>346.2</v>
      </c>
      <c r="F39" s="152">
        <f t="shared" si="6"/>
        <v>246.00000000000003</v>
      </c>
      <c r="G39" s="152">
        <f t="shared" si="6"/>
        <v>349.2</v>
      </c>
      <c r="H39" s="152">
        <f t="shared" si="6"/>
        <v>254.1</v>
      </c>
      <c r="I39" s="152">
        <f t="shared" si="6"/>
        <v>328.09999999999991</v>
      </c>
      <c r="J39" s="152">
        <f t="shared" si="6"/>
        <v>319.3</v>
      </c>
      <c r="K39" s="152">
        <f t="shared" si="6"/>
        <v>248</v>
      </c>
      <c r="L39" s="152">
        <f t="shared" si="6"/>
        <v>197.6</v>
      </c>
    </row>
    <row r="41" spans="1:19" x14ac:dyDescent="0.2">
      <c r="A41" s="151"/>
    </row>
    <row r="42" spans="1:19" x14ac:dyDescent="0.2">
      <c r="A42" s="151"/>
    </row>
    <row r="43" spans="1:19" x14ac:dyDescent="0.2">
      <c r="A43" s="147"/>
    </row>
  </sheetData>
  <pageMargins left="0.5" right="0.5" top="0.75" bottom="0.75" header="0.5" footer="0.5"/>
  <pageSetup paperSize="5" scale="10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6EC31-AC87-44E0-8C96-B9051C88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5926EC-6E72-428A-995F-813DD7AB274E}">
  <ds:schemaRefs>
    <ds:schemaRef ds:uri="http://purl.org/dc/terms/"/>
    <ds:schemaRef ds:uri="http://schemas.microsoft.com/office/2006/metadata/properties"/>
    <ds:schemaRef ds:uri="838d8a70-55d5-4828-a1cb-39c7a4ea1aa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febf44e-3847-4d5f-9a78-07f3492fbf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B312C9-DDB8-4480-B29B-3C829F7593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Inputs</vt:lpstr>
      <vt:lpstr>Load Forecast Summary</vt:lpstr>
      <vt:lpstr>Power Purchased Model</vt:lpstr>
      <vt:lpstr>Power Purchased Model WN-OLD</vt:lpstr>
      <vt:lpstr>Power Purchased Model - WN</vt:lpstr>
      <vt:lpstr>Rate Class Energy Model</vt:lpstr>
      <vt:lpstr>Rate Class Customer Model</vt:lpstr>
      <vt:lpstr>Rate Class Load Model</vt:lpstr>
      <vt:lpstr>Weather Analysis</vt:lpstr>
      <vt:lpstr>'Load Forecast Summary'!Print_Area</vt:lpstr>
      <vt:lpstr>'Power Purchased Model'!Print_Area</vt:lpstr>
      <vt:lpstr>'Power Purchased Model - WN'!Print_Area</vt:lpstr>
      <vt:lpstr>'Power Purchased Model WN-OLD'!Print_Area</vt:lpstr>
      <vt:lpstr>'Rate Class Customer Model'!Print_Area</vt:lpstr>
      <vt:lpstr>'Rate Class Load Model'!Print_Area</vt:lpstr>
      <vt:lpstr>'Power Purchased Model'!Print_Titles</vt:lpstr>
      <vt:lpstr>'Power Purchased Model - WN'!Print_Titles</vt:lpstr>
      <vt:lpstr>'Power Purchased Model WN-OLD'!Print_Titles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2024-09-17T19:12:38Z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