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codeName="ThisWorkbook"/>
  <xr:revisionPtr revIDLastSave="0" documentId="13_ncr:1_{8B03FB0E-9096-4F1E-B08E-F16ED8B28FB9}" xr6:coauthVersionLast="47" xr6:coauthVersionMax="47" xr10:uidLastSave="{00000000-0000-0000-0000-000000000000}"/>
  <bookViews>
    <workbookView xWindow="-120" yWindow="-120" windowWidth="29040" windowHeight="15840" xr2:uid="{19BE70F0-0345-494F-B593-EFDBC1EB06A9}"/>
  </bookViews>
  <sheets>
    <sheet name="Load Forecast Summary" sheetId="11" r:id="rId1"/>
    <sheet name="Power Purchased Model" sheetId="80" r:id="rId2"/>
    <sheet name="Rate Class Energy Model" sheetId="9" r:id="rId3"/>
    <sheet name="Rate Class Customer Model" sheetId="17" r:id="rId4"/>
    <sheet name="Rate Class Load Model" sheetId="18" r:id="rId5"/>
  </sheets>
  <definedNames>
    <definedName name="__CAP1000" localSheetId="1">#REF!</definedName>
    <definedName name="__CAP1000">#REF!</definedName>
    <definedName name="__OP1000" localSheetId="1">#REF!</definedName>
    <definedName name="__OP1000">#REF!</definedName>
    <definedName name="_110" localSheetId="1">#REF!</definedName>
    <definedName name="_110">#REF!</definedName>
    <definedName name="_110INPT" localSheetId="1">#REF!</definedName>
    <definedName name="_110INPT">#REF!</definedName>
    <definedName name="_115" localSheetId="1">#REF!</definedName>
    <definedName name="_115">#REF!</definedName>
    <definedName name="_115INPT" localSheetId="1">#REF!</definedName>
    <definedName name="_115INPT">#REF!</definedName>
    <definedName name="_120" localSheetId="1">#REF!</definedName>
    <definedName name="_120">#REF!</definedName>
    <definedName name="_140" localSheetId="1">#REF!</definedName>
    <definedName name="_140">#REF!</definedName>
    <definedName name="_140INPT" localSheetId="1">#REF!</definedName>
    <definedName name="_140INPT">#REF!</definedName>
    <definedName name="_CAP1000" localSheetId="1">#REF!</definedName>
    <definedName name="_CAP1000">#REF!</definedName>
    <definedName name="_Fill" hidden="1">#REF!</definedName>
    <definedName name="_OP1000" localSheetId="1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1">#REF!</definedName>
    <definedName name="ALL">#REF!</definedName>
    <definedName name="ApprovedYr">#REF!</definedName>
    <definedName name="CAfile">#REF!</definedName>
    <definedName name="CAPCOSTS" localSheetId="1">#REF!</definedName>
    <definedName name="CAPCOSTS">#REF!</definedName>
    <definedName name="CAPITAL" localSheetId="1">#REF!</definedName>
    <definedName name="CAPITAL">#REF!</definedName>
    <definedName name="CapitalExpListing" localSheetId="1">#REF!</definedName>
    <definedName name="CapitalExpListing">#REF!</definedName>
    <definedName name="CArevReq">#REF!</definedName>
    <definedName name="CASENUMBER">#REF!</definedName>
    <definedName name="CASHFLOW" localSheetId="1">#REF!</definedName>
    <definedName name="CASHFLOW">#REF!</definedName>
    <definedName name="cc" localSheetId="1">#REF!</definedName>
    <definedName name="cc">#REF!</definedName>
    <definedName name="ClassRange1">#REF!</definedName>
    <definedName name="ClassRange2">#REF!</definedName>
    <definedName name="contactf" localSheetId="1">#REF!</definedName>
    <definedName name="contactf">#REF!</definedName>
    <definedName name="_xlnm.Criteria" localSheetId="1">#REF!</definedName>
    <definedName name="_xlnm.Criteria">#REF!</definedName>
    <definedName name="CRLF">#REF!</definedName>
    <definedName name="_xlnm.Database" localSheetId="1">#REF!</definedName>
    <definedName name="_xlnm.Database">#REF!</definedName>
    <definedName name="DaysInPreviousYear">#REF!</definedName>
    <definedName name="DaysInYear">#REF!</definedName>
    <definedName name="DEBTREPAY" localSheetId="1">#REF!</definedName>
    <definedName name="DEBTREPAY">#REF!</definedName>
    <definedName name="DeptDiv" localSheetId="1">#REF!</definedName>
    <definedName name="DeptDiv">#REF!</definedName>
    <definedName name="EBNUMBER">#REF!</definedName>
    <definedName name="ExpenseAccountListing" localSheetId="1">#REF!</definedName>
    <definedName name="ExpenseAccountListing">#REF!</definedName>
    <definedName name="_xlnm.Extract" localSheetId="1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1">#REF!</definedName>
    <definedName name="Incr2000">#REF!</definedName>
    <definedName name="INTERIM" localSheetId="1">#REF!</definedName>
    <definedName name="INTERIM">#REF!</definedName>
    <definedName name="LIMIT" localSheetId="1">#REF!</definedName>
    <definedName name="LIMIT">#REF!</definedName>
    <definedName name="man_beg_bud" localSheetId="1">#REF!</definedName>
    <definedName name="man_beg_bud">#REF!</definedName>
    <definedName name="man_end_bud" localSheetId="1">#REF!</definedName>
    <definedName name="man_end_bud">#REF!</definedName>
    <definedName name="man12ACT" localSheetId="1">#REF!</definedName>
    <definedName name="man12ACT">#REF!</definedName>
    <definedName name="MANBUD" localSheetId="1">#REF!</definedName>
    <definedName name="MANBUD">#REF!</definedName>
    <definedName name="manCYACT" localSheetId="1">#REF!</definedName>
    <definedName name="manCYACT">#REF!</definedName>
    <definedName name="manCYBUD" localSheetId="1">#REF!</definedName>
    <definedName name="manCYBUD">#REF!</definedName>
    <definedName name="manCYF" localSheetId="1">#REF!</definedName>
    <definedName name="manCYF">#REF!</definedName>
    <definedName name="MANEND" localSheetId="1">#REF!</definedName>
    <definedName name="MANEND">#REF!</definedName>
    <definedName name="manNYbud" localSheetId="1">#REF!</definedName>
    <definedName name="manNYbud">#REF!</definedName>
    <definedName name="manpower_costs" localSheetId="1">#REF!</definedName>
    <definedName name="manpower_costs">#REF!</definedName>
    <definedName name="manPYACT" localSheetId="1">#REF!</definedName>
    <definedName name="manPYACT">#REF!</definedName>
    <definedName name="MANSTART" localSheetId="1">#REF!</definedName>
    <definedName name="MANSTART">#REF!</definedName>
    <definedName name="mat_beg_bud" localSheetId="1">#REF!</definedName>
    <definedName name="mat_beg_bud">#REF!</definedName>
    <definedName name="mat_end_bud" localSheetId="1">#REF!</definedName>
    <definedName name="mat_end_bud">#REF!</definedName>
    <definedName name="mat12ACT" localSheetId="1">#REF!</definedName>
    <definedName name="mat12ACT">#REF!</definedName>
    <definedName name="MATBUD" localSheetId="1">#REF!</definedName>
    <definedName name="MATBUD">#REF!</definedName>
    <definedName name="matCYACT" localSheetId="1">#REF!</definedName>
    <definedName name="matCYACT">#REF!</definedName>
    <definedName name="matCYBUD" localSheetId="1">#REF!</definedName>
    <definedName name="matCYBUD">#REF!</definedName>
    <definedName name="matCYF" localSheetId="1">#REF!</definedName>
    <definedName name="matCYF">#REF!</definedName>
    <definedName name="MATEND" localSheetId="1">#REF!</definedName>
    <definedName name="MATEND">#REF!</definedName>
    <definedName name="material_costs" localSheetId="1">#REF!</definedName>
    <definedName name="material_costs">#REF!</definedName>
    <definedName name="matNYbud" localSheetId="1">#REF!</definedName>
    <definedName name="matNYbud">#REF!</definedName>
    <definedName name="matPYACT" localSheetId="1">#REF!</definedName>
    <definedName name="matPYACT">#REF!</definedName>
    <definedName name="MATSTART" localSheetId="1">#REF!</definedName>
    <definedName name="MATSTART">#REF!</definedName>
    <definedName name="mea" localSheetId="1">#REF!</definedName>
    <definedName name="mea">#REF!</definedName>
    <definedName name="MEABAL" localSheetId="1">#REF!</definedName>
    <definedName name="MEABAL">#REF!</definedName>
    <definedName name="MEACASH" localSheetId="1">#REF!</definedName>
    <definedName name="MEACASH">#REF!</definedName>
    <definedName name="MEAEQITY" localSheetId="1">#REF!</definedName>
    <definedName name="MEAEQITY">#REF!</definedName>
    <definedName name="MEAOP" localSheetId="1">#REF!</definedName>
    <definedName name="MEAOP">#REF!</definedName>
    <definedName name="MofF" localSheetId="1">#REF!</definedName>
    <definedName name="MofF">#REF!</definedName>
    <definedName name="NewRevReq">#REF!</definedName>
    <definedName name="NOTES" localSheetId="1">#REF!</definedName>
    <definedName name="NOTES">#REF!</definedName>
    <definedName name="OPERATING" localSheetId="1">#REF!</definedName>
    <definedName name="OPERATING">#REF!</definedName>
    <definedName name="oth_beg_bud" localSheetId="1">#REF!</definedName>
    <definedName name="oth_beg_bud">#REF!</definedName>
    <definedName name="oth_end_bud" localSheetId="1">#REF!</definedName>
    <definedName name="oth_end_bud">#REF!</definedName>
    <definedName name="oth12ACT" localSheetId="1">#REF!</definedName>
    <definedName name="oth12ACT">#REF!</definedName>
    <definedName name="othCYACT" localSheetId="1">#REF!</definedName>
    <definedName name="othCYACT">#REF!</definedName>
    <definedName name="othCYBUD" localSheetId="1">#REF!</definedName>
    <definedName name="othCYBUD">#REF!</definedName>
    <definedName name="othCYF" localSheetId="1">#REF!</definedName>
    <definedName name="othCYF">#REF!</definedName>
    <definedName name="OTHEND" localSheetId="1">#REF!</definedName>
    <definedName name="OTHEND">#REF!</definedName>
    <definedName name="other_costs" localSheetId="1">#REF!</definedName>
    <definedName name="other_costs">#REF!</definedName>
    <definedName name="OTHERBUD" localSheetId="1">#REF!</definedName>
    <definedName name="OTHERBUD">#REF!</definedName>
    <definedName name="othNYbud" localSheetId="1">#REF!</definedName>
    <definedName name="othNYbud">#REF!</definedName>
    <definedName name="othPYACT" localSheetId="1">#REF!</definedName>
    <definedName name="othPYACT">#REF!</definedName>
    <definedName name="OTHSTART" localSheetId="1">#REF!</definedName>
    <definedName name="OTHSTART">#REF!</definedName>
    <definedName name="PAGE11" localSheetId="1">#REF!</definedName>
    <definedName name="PAGE11">#REF!</definedName>
    <definedName name="PAGE2">#REF!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PageOne" localSheetId="1">#REF!</definedName>
    <definedName name="PageOne">#REF!</definedName>
    <definedName name="PR" localSheetId="1">#REF!</definedName>
    <definedName name="PR">#REF!</definedName>
    <definedName name="_xlnm.Print_Area" localSheetId="0">'Load Forecast Summary'!$A$3:$L$39</definedName>
    <definedName name="_xlnm.Print_Area" localSheetId="1">'Power Purchased Model'!$A$1:$J$169</definedName>
    <definedName name="_xlnm.Print_Area" localSheetId="3">'Rate Class Customer Model'!$A$1:$J$35</definedName>
    <definedName name="_xlnm.Print_Area" localSheetId="2">'Rate Class Energy Model'!#REF!</definedName>
    <definedName name="_xlnm.Print_Area" localSheetId="4">'Rate Class Load Model'!$A$1:$G$29</definedName>
    <definedName name="Print_Area_MI" localSheetId="1">#REF!</definedName>
    <definedName name="Print_Area_MI">#REF!</definedName>
    <definedName name="print_end" localSheetId="1">#REF!</definedName>
    <definedName name="print_end">#REF!</definedName>
    <definedName name="_xlnm.Print_Titles" localSheetId="1">'Power Purchased Model'!$A:$J,'Power Purchased Model'!$1:$2</definedName>
    <definedName name="PRIOR" localSheetId="1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1">#REF!</definedName>
    <definedName name="RVCASHPR">#REF!</definedName>
    <definedName name="SALBENF" localSheetId="1">#REF!</definedName>
    <definedName name="SALBENF">#REF!</definedName>
    <definedName name="salreg" localSheetId="1">#REF!</definedName>
    <definedName name="salreg">#REF!</definedName>
    <definedName name="SALREGF" localSheetId="1">#REF!</definedName>
    <definedName name="SALREGF">#REF!</definedName>
    <definedName name="SOURCEAPP" localSheetId="1">#REF!</definedName>
    <definedName name="SOURCEAPP">#REF!</definedName>
    <definedName name="STATS1" localSheetId="1">#REF!</definedName>
    <definedName name="STATS1">#REF!</definedName>
    <definedName name="STATS2" localSheetId="1">#REF!</definedName>
    <definedName name="STATS2">#REF!</definedName>
    <definedName name="Surtax" localSheetId="1">#REF!</definedName>
    <definedName name="Surtax">#REF!</definedName>
    <definedName name="TEMPA" localSheetId="1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1">#REF!</definedName>
    <definedName name="total_dept">#REF!</definedName>
    <definedName name="total_manpower" localSheetId="1">#REF!</definedName>
    <definedName name="total_manpower">#REF!</definedName>
    <definedName name="total_material" localSheetId="1">#REF!</definedName>
    <definedName name="total_material">#REF!</definedName>
    <definedName name="total_other" localSheetId="1">#REF!</definedName>
    <definedName name="total_other">#REF!</definedName>
    <definedName name="total_transportation" localSheetId="1">#REF!</definedName>
    <definedName name="total_transportation">#REF!</definedName>
    <definedName name="TOTCAPADDITIONS" localSheetId="1">#REF!</definedName>
    <definedName name="TOTCAPADDITIONS">#REF!</definedName>
    <definedName name="TRANBUD" localSheetId="1">#REF!</definedName>
    <definedName name="TRANBUD">#REF!</definedName>
    <definedName name="TRANEND" localSheetId="1">#REF!</definedName>
    <definedName name="TRANEND">#REF!</definedName>
    <definedName name="TRANSCAP" localSheetId="1">#REF!</definedName>
    <definedName name="TRANSCAP">#REF!</definedName>
    <definedName name="TRANSFER" localSheetId="1">#REF!</definedName>
    <definedName name="TRANSFER">#REF!</definedName>
    <definedName name="transportation_costs" localSheetId="1">#REF!</definedName>
    <definedName name="transportation_costs">#REF!</definedName>
    <definedName name="TRANSTART" localSheetId="1">#REF!</definedName>
    <definedName name="TRANSTART">#REF!</definedName>
    <definedName name="trn_beg_bud" localSheetId="1">#REF!</definedName>
    <definedName name="trn_beg_bud">#REF!</definedName>
    <definedName name="trn_end_bud" localSheetId="1">#REF!</definedName>
    <definedName name="trn_end_bud">#REF!</definedName>
    <definedName name="trn12ACT" localSheetId="1">#REF!</definedName>
    <definedName name="trn12ACT">#REF!</definedName>
    <definedName name="trnCYACT" localSheetId="1">#REF!</definedName>
    <definedName name="trnCYACT">#REF!</definedName>
    <definedName name="trnCYBUD" localSheetId="1">#REF!</definedName>
    <definedName name="trnCYBUD">#REF!</definedName>
    <definedName name="trnCYF" localSheetId="1">#REF!</definedName>
    <definedName name="trnCYF">#REF!</definedName>
    <definedName name="trnNYbud" localSheetId="1">#REF!</definedName>
    <definedName name="trnNYbud">#REF!</definedName>
    <definedName name="trnPYACT" localSheetId="1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1">#REF!</definedName>
    <definedName name="WAGBENF">#REF!</definedName>
    <definedName name="wagdob" localSheetId="1">#REF!</definedName>
    <definedName name="wagdob">#REF!</definedName>
    <definedName name="wagdobf" localSheetId="1">#REF!</definedName>
    <definedName name="wagdobf">#REF!</definedName>
    <definedName name="wagreg" localSheetId="1">#REF!</definedName>
    <definedName name="wagreg">#REF!</definedName>
    <definedName name="wagregf" localSheetId="1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9" l="1"/>
  <c r="I21" i="9"/>
  <c r="J21" i="9"/>
  <c r="K21" i="9"/>
  <c r="L21" i="9"/>
  <c r="R17" i="17"/>
  <c r="N16" i="17"/>
  <c r="S3" i="17"/>
  <c r="G12" i="9" l="1"/>
  <c r="S9" i="17" l="1"/>
  <c r="S10" i="17"/>
  <c r="S11" i="17"/>
  <c r="S12" i="17"/>
  <c r="S13" i="17"/>
  <c r="S14" i="17"/>
  <c r="B61" i="17"/>
  <c r="C61" i="17"/>
  <c r="E61" i="17"/>
  <c r="F69" i="17"/>
  <c r="S8" i="17"/>
  <c r="S4" i="17"/>
  <c r="S5" i="17"/>
  <c r="S6" i="17"/>
  <c r="S7" i="17"/>
  <c r="D69" i="17"/>
  <c r="G68" i="17"/>
  <c r="G67" i="17"/>
  <c r="G66" i="17"/>
  <c r="G65" i="17"/>
  <c r="G64" i="17"/>
  <c r="I15" i="17"/>
  <c r="G63" i="17"/>
  <c r="N14" i="17"/>
  <c r="O3" i="17"/>
  <c r="N3" i="17"/>
  <c r="N4" i="17" s="1"/>
  <c r="N5" i="17" s="1"/>
  <c r="Q17" i="17"/>
  <c r="P17" i="17"/>
  <c r="O17" i="17"/>
  <c r="N17" i="17"/>
  <c r="N6" i="17" l="1"/>
  <c r="N7" i="17" s="1"/>
  <c r="N8" i="17" s="1"/>
  <c r="N9" i="17" s="1"/>
  <c r="N10" i="17" s="1"/>
  <c r="N11" i="17" s="1"/>
  <c r="N12" i="17" s="1"/>
  <c r="N13" i="17" s="1"/>
  <c r="O4" i="17" s="1"/>
  <c r="O5" i="17" s="1"/>
  <c r="O6" i="17" s="1"/>
  <c r="O7" i="17" s="1"/>
  <c r="O8" i="17" s="1"/>
  <c r="O9" i="17" s="1"/>
  <c r="O10" i="17" s="1"/>
  <c r="O11" i="17" s="1"/>
  <c r="O12" i="17" s="1"/>
  <c r="O13" i="17" s="1"/>
  <c r="O14" i="17" s="1"/>
  <c r="P3" i="17" s="1"/>
  <c r="P4" i="17" l="1"/>
  <c r="P5" i="17" s="1"/>
  <c r="P6" i="17" s="1"/>
  <c r="P7" i="17" s="1"/>
  <c r="P8" i="17" s="1"/>
  <c r="P9" i="17" s="1"/>
  <c r="P10" i="17" s="1"/>
  <c r="P11" i="17" s="1"/>
  <c r="P12" i="17" s="1"/>
  <c r="P13" i="17" s="1"/>
  <c r="P14" i="17" s="1"/>
  <c r="Q3" i="17" s="1"/>
  <c r="O16" i="17"/>
  <c r="O18" i="17" s="1"/>
  <c r="N18" i="17"/>
  <c r="F14" i="17"/>
  <c r="D14" i="17"/>
  <c r="F13" i="17"/>
  <c r="D13" i="17"/>
  <c r="B12" i="17"/>
  <c r="G12" i="17" s="1"/>
  <c r="C12" i="17"/>
  <c r="E12" i="17"/>
  <c r="F12" i="17"/>
  <c r="F68" i="17"/>
  <c r="E68" i="17"/>
  <c r="D68" i="17"/>
  <c r="C68" i="17"/>
  <c r="B68" i="17"/>
  <c r="F67" i="17"/>
  <c r="E67" i="17"/>
  <c r="D67" i="17"/>
  <c r="C67" i="17"/>
  <c r="B67" i="17"/>
  <c r="F66" i="17"/>
  <c r="E66" i="17"/>
  <c r="D66" i="17"/>
  <c r="C66" i="17"/>
  <c r="B66" i="17"/>
  <c r="F65" i="17"/>
  <c r="E65" i="17"/>
  <c r="D65" i="17"/>
  <c r="C65" i="17"/>
  <c r="B65" i="17"/>
  <c r="F64" i="17"/>
  <c r="E64" i="17"/>
  <c r="D64" i="17"/>
  <c r="C64" i="17"/>
  <c r="B64" i="17"/>
  <c r="F63" i="17"/>
  <c r="E63" i="17"/>
  <c r="D63" i="17"/>
  <c r="C63" i="17"/>
  <c r="B63" i="17"/>
  <c r="F59" i="17"/>
  <c r="E59" i="17"/>
  <c r="D59" i="17"/>
  <c r="C59" i="17"/>
  <c r="B59" i="17"/>
  <c r="F58" i="17"/>
  <c r="E58" i="17"/>
  <c r="D58" i="17"/>
  <c r="C58" i="17"/>
  <c r="B58" i="17"/>
  <c r="F57" i="17"/>
  <c r="E57" i="17"/>
  <c r="D57" i="17"/>
  <c r="C57" i="17"/>
  <c r="B57" i="17"/>
  <c r="F56" i="17"/>
  <c r="E56" i="17"/>
  <c r="D56" i="17"/>
  <c r="C56" i="17"/>
  <c r="B56" i="17"/>
  <c r="F55" i="17"/>
  <c r="E55" i="17"/>
  <c r="D55" i="17"/>
  <c r="C55" i="17"/>
  <c r="B55" i="17"/>
  <c r="F54" i="17"/>
  <c r="F61" i="17" s="1"/>
  <c r="F46" i="17"/>
  <c r="E46" i="17"/>
  <c r="E54" i="17" s="1"/>
  <c r="E69" i="17" s="1"/>
  <c r="D46" i="17"/>
  <c r="D54" i="17" s="1"/>
  <c r="D61" i="17" s="1"/>
  <c r="C46" i="17"/>
  <c r="C54" i="17" s="1"/>
  <c r="B46" i="17"/>
  <c r="B54" i="17" s="1"/>
  <c r="A39" i="17"/>
  <c r="F38" i="17"/>
  <c r="E38" i="17"/>
  <c r="D38" i="17"/>
  <c r="C38" i="17"/>
  <c r="B38" i="17"/>
  <c r="H15" i="17"/>
  <c r="E70" i="17" l="1"/>
  <c r="P16" i="17"/>
  <c r="P18" i="17" s="1"/>
  <c r="Q4" i="17"/>
  <c r="Q5" i="17" s="1"/>
  <c r="Q6" i="17" s="1"/>
  <c r="Q7" i="17" s="1"/>
  <c r="Q8" i="17" s="1"/>
  <c r="Q9" i="17" s="1"/>
  <c r="Q10" i="17" s="1"/>
  <c r="Q11" i="17" s="1"/>
  <c r="Q12" i="17" s="1"/>
  <c r="Q13" i="17" s="1"/>
  <c r="Q14" i="17" s="1"/>
  <c r="R3" i="17" s="1"/>
  <c r="B69" i="17"/>
  <c r="B70" i="17" s="1"/>
  <c r="B71" i="17" s="1"/>
  <c r="B72" i="17" s="1"/>
  <c r="B73" i="17" s="1"/>
  <c r="B74" i="17" s="1"/>
  <c r="C69" i="17"/>
  <c r="C70" i="17" s="1"/>
  <c r="C71" i="17" s="1"/>
  <c r="C72" i="17" s="1"/>
  <c r="C73" i="17" s="1"/>
  <c r="C74" i="17" s="1"/>
  <c r="B76" i="17"/>
  <c r="B13" i="17" s="1"/>
  <c r="B14" i="17" s="1"/>
  <c r="D70" i="17"/>
  <c r="D71" i="17" s="1"/>
  <c r="D72" i="17" s="1"/>
  <c r="D73" i="17" s="1"/>
  <c r="D74" i="17" s="1"/>
  <c r="F76" i="17"/>
  <c r="F70" i="17"/>
  <c r="F71" i="17" s="1"/>
  <c r="F72" i="17" s="1"/>
  <c r="F73" i="17" s="1"/>
  <c r="F74" i="17" s="1"/>
  <c r="G15" i="17"/>
  <c r="G69" i="17" l="1"/>
  <c r="E71" i="17"/>
  <c r="G70" i="17"/>
  <c r="Q16" i="17"/>
  <c r="Q18" i="17" s="1"/>
  <c r="R4" i="17"/>
  <c r="R5" i="17" s="1"/>
  <c r="R6" i="17" s="1"/>
  <c r="R7" i="17" s="1"/>
  <c r="R8" i="17" s="1"/>
  <c r="R9" i="17" s="1"/>
  <c r="R10" i="17" s="1"/>
  <c r="R11" i="17" s="1"/>
  <c r="R12" i="17" s="1"/>
  <c r="R13" i="17" s="1"/>
  <c r="R14" i="17" s="1"/>
  <c r="D76" i="17"/>
  <c r="C76" i="17"/>
  <c r="C13" i="17" s="1"/>
  <c r="C14" i="17" s="1"/>
  <c r="E72" i="17" l="1"/>
  <c r="G71" i="17"/>
  <c r="R16" i="17"/>
  <c r="T3" i="17"/>
  <c r="T4" i="17" s="1"/>
  <c r="A2" i="18"/>
  <c r="A3" i="18"/>
  <c r="A4" i="18"/>
  <c r="A5" i="18"/>
  <c r="A6" i="18"/>
  <c r="A7" i="18"/>
  <c r="A8" i="18"/>
  <c r="A9" i="18"/>
  <c r="A10" i="18"/>
  <c r="E73" i="17" l="1"/>
  <c r="G72" i="17"/>
  <c r="S16" i="17"/>
  <c r="T5" i="17"/>
  <c r="T6" i="17" s="1"/>
  <c r="T7" i="17" s="1"/>
  <c r="T8" i="17" s="1"/>
  <c r="T9" i="17" s="1"/>
  <c r="T10" i="17" s="1"/>
  <c r="T11" i="17" s="1"/>
  <c r="T12" i="17" s="1"/>
  <c r="T13" i="17" s="1"/>
  <c r="T14" i="17" s="1"/>
  <c r="E74" i="17" l="1"/>
  <c r="G74" i="17" s="1"/>
  <c r="G73" i="17"/>
  <c r="T16" i="17"/>
  <c r="B23" i="11"/>
  <c r="E76" i="17" l="1"/>
  <c r="E13" i="17" s="1"/>
  <c r="E14" i="17" s="1"/>
  <c r="H35" i="9"/>
  <c r="H4" i="17" l="1"/>
  <c r="H5" i="17"/>
  <c r="H6" i="17"/>
  <c r="H7" i="17"/>
  <c r="H3" i="17"/>
  <c r="G63" i="80" l="1"/>
  <c r="H63" i="80" s="1"/>
  <c r="I63" i="80" s="1"/>
  <c r="L63" i="80" l="1"/>
  <c r="J63" i="80"/>
  <c r="K63" i="80" s="1"/>
  <c r="G64" i="80" l="1"/>
  <c r="G75" i="80" l="1"/>
  <c r="H75" i="80" s="1"/>
  <c r="I75" i="80" s="1"/>
  <c r="J75" i="80" l="1"/>
  <c r="K75" i="80" s="1"/>
  <c r="L75" i="80"/>
  <c r="G76" i="80" l="1"/>
  <c r="G77" i="80" l="1"/>
  <c r="G78" i="80" l="1"/>
  <c r="G79" i="80" l="1"/>
  <c r="G80" i="80" l="1"/>
  <c r="G81" i="80" l="1"/>
  <c r="G82" i="80" l="1"/>
  <c r="G83" i="80" l="1"/>
  <c r="G84" i="80" l="1"/>
  <c r="G85" i="80" l="1"/>
  <c r="G86" i="80" l="1"/>
  <c r="G87" i="80" l="1"/>
  <c r="G88" i="80" l="1"/>
  <c r="G89" i="80" l="1"/>
  <c r="G90" i="80" l="1"/>
  <c r="G91" i="80" l="1"/>
  <c r="G92" i="80" l="1"/>
  <c r="G93" i="80" l="1"/>
  <c r="G94" i="80" l="1"/>
  <c r="G95" i="80" l="1"/>
  <c r="G96" i="80" l="1"/>
  <c r="G97" i="80" l="1"/>
  <c r="G98" i="80" l="1"/>
  <c r="G99" i="80"/>
  <c r="H99" i="80" s="1"/>
  <c r="I99" i="80" s="1"/>
  <c r="J99" i="80" l="1"/>
  <c r="K99" i="80" s="1"/>
  <c r="L99" i="80"/>
  <c r="G100" i="80" l="1"/>
  <c r="G101" i="80" l="1"/>
  <c r="G102" i="80" l="1"/>
  <c r="G103" i="80" l="1"/>
  <c r="G104" i="80" l="1"/>
  <c r="G105" i="80" l="1"/>
  <c r="G106" i="80" l="1"/>
  <c r="G107" i="80" l="1"/>
  <c r="G108" i="80" l="1"/>
  <c r="G109" i="80" l="1"/>
  <c r="G110" i="80" l="1"/>
  <c r="G111" i="80"/>
  <c r="H111" i="80" s="1"/>
  <c r="I111" i="80" s="1"/>
  <c r="J111" i="80" l="1"/>
  <c r="K111" i="80" s="1"/>
  <c r="L111" i="80"/>
  <c r="G112" i="80" l="1"/>
  <c r="G113" i="80" l="1"/>
  <c r="G114" i="80" l="1"/>
  <c r="G115" i="80" l="1"/>
  <c r="G116" i="80" l="1"/>
  <c r="G117" i="80" l="1"/>
  <c r="G118" i="80" l="1"/>
  <c r="G119" i="80" l="1"/>
  <c r="H119" i="80" s="1"/>
  <c r="G120" i="80" l="1"/>
  <c r="G121" i="80" l="1"/>
  <c r="G122" i="80" l="1"/>
  <c r="G123" i="80" l="1"/>
  <c r="G124" i="80" l="1"/>
  <c r="G125" i="80" l="1"/>
  <c r="G126" i="80" l="1"/>
  <c r="G127" i="80" l="1"/>
  <c r="G128" i="80" l="1"/>
  <c r="G129" i="80" l="1"/>
  <c r="G130" i="80" l="1"/>
  <c r="G131" i="80" l="1"/>
  <c r="G132" i="80" l="1"/>
  <c r="G133" i="80" l="1"/>
  <c r="K42" i="11"/>
  <c r="K32" i="11"/>
  <c r="K28" i="11"/>
  <c r="K23" i="11"/>
  <c r="K19" i="11"/>
  <c r="K15" i="11"/>
  <c r="K38" i="11" l="1"/>
  <c r="G134" i="80"/>
  <c r="G135" i="80" l="1"/>
  <c r="G136" i="80" l="1"/>
  <c r="B19" i="17"/>
  <c r="K10" i="11"/>
  <c r="B162" i="80"/>
  <c r="K4" i="11" s="1"/>
  <c r="G137" i="80" l="1"/>
  <c r="G138" i="80" l="1"/>
  <c r="G139" i="80" l="1"/>
  <c r="F12" i="9"/>
  <c r="G140" i="80" l="1"/>
  <c r="C25" i="18"/>
  <c r="B25" i="18"/>
  <c r="B24" i="18"/>
  <c r="B11" i="17"/>
  <c r="B27" i="17" l="1"/>
  <c r="H12" i="17"/>
  <c r="G141" i="80"/>
  <c r="I12" i="17"/>
  <c r="C123" i="80"/>
  <c r="D123" i="80"/>
  <c r="C124" i="80"/>
  <c r="D124" i="80"/>
  <c r="C125" i="80"/>
  <c r="D125" i="80"/>
  <c r="C126" i="80"/>
  <c r="D126" i="80"/>
  <c r="C127" i="80"/>
  <c r="D127" i="80"/>
  <c r="C128" i="80"/>
  <c r="D128" i="80"/>
  <c r="C129" i="80"/>
  <c r="D129" i="80"/>
  <c r="C130" i="80"/>
  <c r="D130" i="80"/>
  <c r="C131" i="80"/>
  <c r="D131" i="80"/>
  <c r="C132" i="80"/>
  <c r="D132" i="80"/>
  <c r="C133" i="80"/>
  <c r="D133" i="80"/>
  <c r="C134" i="80"/>
  <c r="D134" i="80"/>
  <c r="H3" i="80"/>
  <c r="H4" i="80"/>
  <c r="I4" i="80" s="1"/>
  <c r="J4" i="80" s="1"/>
  <c r="K4" i="80" s="1"/>
  <c r="H5" i="80"/>
  <c r="I5" i="80" s="1"/>
  <c r="J5" i="80" s="1"/>
  <c r="K5" i="80" s="1"/>
  <c r="H6" i="80"/>
  <c r="I6" i="80" s="1"/>
  <c r="L6" i="80" s="1"/>
  <c r="H7" i="80"/>
  <c r="I7" i="80" s="1"/>
  <c r="H8" i="80"/>
  <c r="I8" i="80" s="1"/>
  <c r="H9" i="80"/>
  <c r="I9" i="80" s="1"/>
  <c r="H10" i="80"/>
  <c r="I10" i="80" s="1"/>
  <c r="H11" i="80"/>
  <c r="I11" i="80" s="1"/>
  <c r="H12" i="80"/>
  <c r="I12" i="80" s="1"/>
  <c r="H13" i="80"/>
  <c r="I13" i="80" s="1"/>
  <c r="H14" i="80"/>
  <c r="I14" i="80" s="1"/>
  <c r="H15" i="80"/>
  <c r="I15" i="80" s="1"/>
  <c r="J15" i="80" s="1"/>
  <c r="K15" i="80" s="1"/>
  <c r="H16" i="80"/>
  <c r="I16" i="80" s="1"/>
  <c r="J16" i="80" s="1"/>
  <c r="K16" i="80" s="1"/>
  <c r="H17" i="80"/>
  <c r="I17" i="80" s="1"/>
  <c r="L17" i="80" s="1"/>
  <c r="H18" i="80"/>
  <c r="I18" i="80" s="1"/>
  <c r="J18" i="80" s="1"/>
  <c r="K18" i="80" s="1"/>
  <c r="H19" i="80"/>
  <c r="I19" i="80" s="1"/>
  <c r="J19" i="80" s="1"/>
  <c r="K19" i="80" s="1"/>
  <c r="H20" i="80"/>
  <c r="I20" i="80" s="1"/>
  <c r="J20" i="80" s="1"/>
  <c r="K20" i="80" s="1"/>
  <c r="H21" i="80"/>
  <c r="I21" i="80" s="1"/>
  <c r="H22" i="80"/>
  <c r="I22" i="80" s="1"/>
  <c r="J22" i="80" s="1"/>
  <c r="K22" i="80" s="1"/>
  <c r="H23" i="80"/>
  <c r="I23" i="80" s="1"/>
  <c r="H24" i="80"/>
  <c r="H25" i="80"/>
  <c r="I25" i="80" s="1"/>
  <c r="H26" i="80"/>
  <c r="I26" i="80" s="1"/>
  <c r="J26" i="80" s="1"/>
  <c r="K26" i="80" s="1"/>
  <c r="H27" i="80"/>
  <c r="I27" i="80" s="1"/>
  <c r="J27" i="80" s="1"/>
  <c r="K27" i="80" s="1"/>
  <c r="H28" i="80"/>
  <c r="I28" i="80" s="1"/>
  <c r="H29" i="80"/>
  <c r="I29" i="80" s="1"/>
  <c r="H30" i="80"/>
  <c r="I30" i="80" s="1"/>
  <c r="H31" i="80"/>
  <c r="I31" i="80" s="1"/>
  <c r="J31" i="80" s="1"/>
  <c r="K31" i="80" s="1"/>
  <c r="H32" i="80"/>
  <c r="I32" i="80" s="1"/>
  <c r="H33" i="80"/>
  <c r="I33" i="80" s="1"/>
  <c r="J33" i="80" s="1"/>
  <c r="K33" i="80" s="1"/>
  <c r="H34" i="80"/>
  <c r="I34" i="80" s="1"/>
  <c r="J34" i="80" s="1"/>
  <c r="K34" i="80" s="1"/>
  <c r="H35" i="80"/>
  <c r="I35" i="80" s="1"/>
  <c r="J35" i="80" s="1"/>
  <c r="K35" i="80" s="1"/>
  <c r="H36" i="80"/>
  <c r="I36" i="80" s="1"/>
  <c r="J36" i="80" s="1"/>
  <c r="K36" i="80" s="1"/>
  <c r="H37" i="80"/>
  <c r="I37" i="80" s="1"/>
  <c r="J37" i="80" s="1"/>
  <c r="K37" i="80" s="1"/>
  <c r="H38" i="80"/>
  <c r="I38" i="80" s="1"/>
  <c r="J38" i="80" s="1"/>
  <c r="K38" i="80" s="1"/>
  <c r="H39" i="80"/>
  <c r="H40" i="80"/>
  <c r="I40" i="80" s="1"/>
  <c r="H41" i="80"/>
  <c r="I41" i="80" s="1"/>
  <c r="J41" i="80" s="1"/>
  <c r="K41" i="80" s="1"/>
  <c r="H42" i="80"/>
  <c r="I42" i="80" s="1"/>
  <c r="H43" i="80"/>
  <c r="I43" i="80" s="1"/>
  <c r="H44" i="80"/>
  <c r="I44" i="80" s="1"/>
  <c r="H45" i="80"/>
  <c r="I45" i="80" s="1"/>
  <c r="H46" i="80"/>
  <c r="I46" i="80" s="1"/>
  <c r="L46" i="80" s="1"/>
  <c r="H47" i="80"/>
  <c r="I47" i="80" s="1"/>
  <c r="H48" i="80"/>
  <c r="I48" i="80" s="1"/>
  <c r="H49" i="80"/>
  <c r="I49" i="80" s="1"/>
  <c r="H50" i="80"/>
  <c r="I50" i="80" s="1"/>
  <c r="H51" i="80"/>
  <c r="H52" i="80"/>
  <c r="I52" i="80" s="1"/>
  <c r="J52" i="80" s="1"/>
  <c r="K52" i="80" s="1"/>
  <c r="H53" i="80"/>
  <c r="I53" i="80" s="1"/>
  <c r="H54" i="80"/>
  <c r="I54" i="80" s="1"/>
  <c r="H55" i="80"/>
  <c r="I55" i="80" s="1"/>
  <c r="H56" i="80"/>
  <c r="I56" i="80" s="1"/>
  <c r="H57" i="80"/>
  <c r="I57" i="80" s="1"/>
  <c r="H58" i="80"/>
  <c r="I58" i="80" s="1"/>
  <c r="H59" i="80"/>
  <c r="I59" i="80" s="1"/>
  <c r="H60" i="80"/>
  <c r="I60" i="80" s="1"/>
  <c r="J60" i="80" s="1"/>
  <c r="K60" i="80" s="1"/>
  <c r="H61" i="80"/>
  <c r="I61" i="80" s="1"/>
  <c r="H62" i="80"/>
  <c r="I62" i="80" s="1"/>
  <c r="M63" i="80" s="1"/>
  <c r="N63" i="80" s="1"/>
  <c r="C136" i="80"/>
  <c r="D138" i="80"/>
  <c r="D139" i="80"/>
  <c r="C140" i="80"/>
  <c r="B153" i="80"/>
  <c r="B154" i="80"/>
  <c r="B155" i="80"/>
  <c r="B5" i="9" s="1"/>
  <c r="B156" i="80"/>
  <c r="B157" i="80"/>
  <c r="B7" i="9" s="1"/>
  <c r="B158" i="80"/>
  <c r="B8" i="9" s="1"/>
  <c r="B159" i="80"/>
  <c r="B160" i="80"/>
  <c r="B161" i="80"/>
  <c r="J22" i="11"/>
  <c r="D19" i="17"/>
  <c r="D20" i="17"/>
  <c r="D21" i="17"/>
  <c r="D22" i="17"/>
  <c r="I3" i="17"/>
  <c r="I4" i="17"/>
  <c r="I5" i="17"/>
  <c r="I6" i="17"/>
  <c r="I7" i="17"/>
  <c r="B8" i="17"/>
  <c r="C8" i="17"/>
  <c r="E8" i="17"/>
  <c r="B9" i="17"/>
  <c r="C9" i="17"/>
  <c r="H18" i="11" s="1"/>
  <c r="H22" i="11"/>
  <c r="E9" i="17"/>
  <c r="B10" i="17"/>
  <c r="C10" i="17"/>
  <c r="I18" i="11" s="1"/>
  <c r="I22" i="11"/>
  <c r="E10" i="17"/>
  <c r="C11" i="17"/>
  <c r="C27" i="17" s="1"/>
  <c r="E11" i="17"/>
  <c r="E27" i="17" s="1"/>
  <c r="B20" i="17"/>
  <c r="B21" i="17"/>
  <c r="B22" i="17"/>
  <c r="C19" i="17"/>
  <c r="C20" i="17"/>
  <c r="C21" i="17"/>
  <c r="C22" i="17"/>
  <c r="E19" i="17"/>
  <c r="E20" i="17"/>
  <c r="E21" i="17"/>
  <c r="E22" i="17"/>
  <c r="F11" i="17"/>
  <c r="F19" i="17"/>
  <c r="F20" i="17"/>
  <c r="F21" i="17"/>
  <c r="F22" i="17"/>
  <c r="F8" i="17"/>
  <c r="C14" i="11"/>
  <c r="C18" i="11"/>
  <c r="C22" i="11"/>
  <c r="C27" i="11"/>
  <c r="C31" i="11"/>
  <c r="D14" i="11"/>
  <c r="D18" i="11"/>
  <c r="D22" i="11"/>
  <c r="D27" i="11"/>
  <c r="D31" i="11"/>
  <c r="E14" i="11"/>
  <c r="E18" i="11"/>
  <c r="E22" i="11"/>
  <c r="E27" i="11"/>
  <c r="E31" i="11"/>
  <c r="F14" i="11"/>
  <c r="F18" i="11"/>
  <c r="F22" i="11"/>
  <c r="F27" i="11"/>
  <c r="F31" i="11"/>
  <c r="C15" i="11"/>
  <c r="C19" i="11"/>
  <c r="C23" i="11"/>
  <c r="C28" i="11"/>
  <c r="C32" i="11"/>
  <c r="D15" i="11"/>
  <c r="D19" i="11"/>
  <c r="D23" i="11"/>
  <c r="D28" i="11"/>
  <c r="D32" i="11"/>
  <c r="E15" i="11"/>
  <c r="E19" i="11"/>
  <c r="E23" i="11"/>
  <c r="E28" i="11"/>
  <c r="E32" i="11"/>
  <c r="C24" i="11"/>
  <c r="C33" i="11"/>
  <c r="D24" i="11"/>
  <c r="D33" i="11"/>
  <c r="E24" i="11"/>
  <c r="E33" i="11"/>
  <c r="D2" i="18"/>
  <c r="B43" i="11" s="1"/>
  <c r="D3" i="18"/>
  <c r="C43" i="11" s="1"/>
  <c r="D4" i="18"/>
  <c r="D43" i="11" s="1"/>
  <c r="D5" i="18"/>
  <c r="E43" i="11" s="1"/>
  <c r="D6" i="18"/>
  <c r="F43" i="11" s="1"/>
  <c r="D7" i="18"/>
  <c r="D8" i="18"/>
  <c r="H43" i="11" s="1"/>
  <c r="B24" i="11"/>
  <c r="B33" i="11"/>
  <c r="B15" i="11"/>
  <c r="B19" i="11"/>
  <c r="B28" i="11"/>
  <c r="B32" i="11"/>
  <c r="B14" i="11"/>
  <c r="B18" i="11"/>
  <c r="B22" i="11"/>
  <c r="B27" i="11"/>
  <c r="B31" i="11"/>
  <c r="J33" i="11"/>
  <c r="I33" i="11"/>
  <c r="H33" i="11"/>
  <c r="F33" i="11"/>
  <c r="C16" i="18"/>
  <c r="C17" i="18"/>
  <c r="C18" i="18"/>
  <c r="C19" i="18"/>
  <c r="C20" i="18"/>
  <c r="C24" i="18"/>
  <c r="G49" i="11"/>
  <c r="A23" i="9"/>
  <c r="A28" i="9" s="1"/>
  <c r="A33" i="9" s="1"/>
  <c r="A37" i="9" s="1"/>
  <c r="A41" i="9" s="1"/>
  <c r="A22" i="9"/>
  <c r="A27" i="9" s="1"/>
  <c r="A32" i="9" s="1"/>
  <c r="A36" i="9" s="1"/>
  <c r="A40" i="9" s="1"/>
  <c r="C22" i="18"/>
  <c r="A13" i="18"/>
  <c r="C23" i="18"/>
  <c r="G33" i="11"/>
  <c r="C1" i="18"/>
  <c r="D10" i="18"/>
  <c r="J43" i="11" s="1"/>
  <c r="D9" i="18"/>
  <c r="I43" i="11" s="1"/>
  <c r="F10" i="17"/>
  <c r="F9" i="17"/>
  <c r="C21" i="18"/>
  <c r="A12" i="18"/>
  <c r="A11" i="18"/>
  <c r="A25" i="18" s="1"/>
  <c r="A24" i="18"/>
  <c r="A23" i="18"/>
  <c r="A22" i="18"/>
  <c r="A21" i="18"/>
  <c r="A20" i="18"/>
  <c r="A19" i="18"/>
  <c r="A18" i="18"/>
  <c r="A17" i="18"/>
  <c r="A16" i="18"/>
  <c r="A26" i="17"/>
  <c r="A25" i="17"/>
  <c r="A24" i="17"/>
  <c r="A23" i="17"/>
  <c r="A22" i="17"/>
  <c r="A21" i="17"/>
  <c r="A20" i="17"/>
  <c r="A19" i="17"/>
  <c r="F2" i="17"/>
  <c r="E2" i="17"/>
  <c r="D2" i="17"/>
  <c r="C2" i="17"/>
  <c r="B2" i="17"/>
  <c r="G10" i="9"/>
  <c r="G9" i="9"/>
  <c r="G8" i="9"/>
  <c r="G42" i="11" s="1"/>
  <c r="G7" i="9"/>
  <c r="F42" i="11" s="1"/>
  <c r="G6" i="9"/>
  <c r="E10" i="11" s="1"/>
  <c r="G5" i="9"/>
  <c r="D10" i="11" s="1"/>
  <c r="G4" i="9"/>
  <c r="C42" i="11" s="1"/>
  <c r="G3" i="9"/>
  <c r="B42" i="11" s="1"/>
  <c r="G48" i="11"/>
  <c r="L47" i="11"/>
  <c r="L51" i="11" s="1"/>
  <c r="K47" i="11"/>
  <c r="K51" i="11" s="1"/>
  <c r="H47" i="11"/>
  <c r="H51" i="11" s="1"/>
  <c r="G47" i="11"/>
  <c r="L46" i="11"/>
  <c r="L50" i="11" s="1"/>
  <c r="K46" i="11"/>
  <c r="K50" i="11" s="1"/>
  <c r="H46" i="11"/>
  <c r="H50" i="11" s="1"/>
  <c r="L45" i="11"/>
  <c r="L49" i="11" s="1"/>
  <c r="K45" i="11"/>
  <c r="K49" i="11" s="1"/>
  <c r="H45" i="11"/>
  <c r="H49" i="11" s="1"/>
  <c r="J32" i="11"/>
  <c r="I32" i="11"/>
  <c r="H32" i="11"/>
  <c r="G32" i="11"/>
  <c r="F32" i="11"/>
  <c r="A30" i="11"/>
  <c r="J28" i="11"/>
  <c r="I28" i="11"/>
  <c r="H28" i="11"/>
  <c r="G28" i="11"/>
  <c r="F28" i="11"/>
  <c r="A26" i="11"/>
  <c r="J23" i="11"/>
  <c r="I23" i="11"/>
  <c r="H23" i="11"/>
  <c r="G23" i="11"/>
  <c r="F23" i="11"/>
  <c r="A21" i="11"/>
  <c r="J19" i="11"/>
  <c r="I19" i="11"/>
  <c r="H19" i="11"/>
  <c r="G19" i="11"/>
  <c r="F19" i="11"/>
  <c r="A17" i="11"/>
  <c r="J15" i="11"/>
  <c r="I15" i="11"/>
  <c r="H15" i="11"/>
  <c r="G15" i="11"/>
  <c r="F15" i="11"/>
  <c r="J14" i="11"/>
  <c r="A13" i="11"/>
  <c r="G11" i="9"/>
  <c r="B23" i="18"/>
  <c r="G24" i="11"/>
  <c r="B20" i="18"/>
  <c r="F24" i="11"/>
  <c r="J24" i="11"/>
  <c r="B18" i="18"/>
  <c r="H24" i="11"/>
  <c r="B22" i="18"/>
  <c r="B17" i="18"/>
  <c r="I24" i="11"/>
  <c r="G4" i="17"/>
  <c r="C41" i="11" s="1"/>
  <c r="G7" i="17"/>
  <c r="F41" i="11" s="1"/>
  <c r="G5" i="17"/>
  <c r="D41" i="11" s="1"/>
  <c r="G6" i="17"/>
  <c r="E41" i="11" s="1"/>
  <c r="G3" i="17"/>
  <c r="B41" i="11" s="1"/>
  <c r="B19" i="18"/>
  <c r="B21" i="18"/>
  <c r="G43" i="11"/>
  <c r="B16" i="18"/>
  <c r="K18" i="11"/>
  <c r="K27" i="11"/>
  <c r="K31" i="11"/>
  <c r="K14" i="11"/>
  <c r="K41" i="11"/>
  <c r="K22" i="11"/>
  <c r="H9" i="17" l="1"/>
  <c r="H10" i="11"/>
  <c r="H42" i="11"/>
  <c r="E35" i="17"/>
  <c r="B166" i="80"/>
  <c r="H8" i="17"/>
  <c r="C139" i="80"/>
  <c r="H11" i="17"/>
  <c r="I10" i="17"/>
  <c r="H10" i="17"/>
  <c r="K22" i="9"/>
  <c r="I3" i="80"/>
  <c r="J3" i="80" s="1"/>
  <c r="K3" i="80" s="1"/>
  <c r="H153" i="80"/>
  <c r="D135" i="80"/>
  <c r="C135" i="80"/>
  <c r="D137" i="80"/>
  <c r="C144" i="80"/>
  <c r="C137" i="80"/>
  <c r="D141" i="80"/>
  <c r="D142" i="80"/>
  <c r="C141" i="80"/>
  <c r="C138" i="80"/>
  <c r="C146" i="80"/>
  <c r="D140" i="80"/>
  <c r="B10" i="11"/>
  <c r="D145" i="80"/>
  <c r="D144" i="80"/>
  <c r="G142" i="80"/>
  <c r="C39" i="11"/>
  <c r="D136" i="80"/>
  <c r="H27" i="11"/>
  <c r="E23" i="17"/>
  <c r="J31" i="11"/>
  <c r="I27" i="11"/>
  <c r="H31" i="11"/>
  <c r="D39" i="11"/>
  <c r="D56" i="11" s="1"/>
  <c r="D38" i="11"/>
  <c r="J42" i="11"/>
  <c r="I35" i="9"/>
  <c r="J10" i="11"/>
  <c r="E38" i="11"/>
  <c r="I10" i="11"/>
  <c r="J38" i="11"/>
  <c r="I39" i="11"/>
  <c r="I56" i="11" s="1"/>
  <c r="F38" i="11"/>
  <c r="F55" i="11" s="1"/>
  <c r="F39" i="11"/>
  <c r="F56" i="11" s="1"/>
  <c r="C29" i="18"/>
  <c r="C38" i="11"/>
  <c r="C55" i="11" s="1"/>
  <c r="H38" i="11"/>
  <c r="B29" i="18"/>
  <c r="B27" i="18" s="1"/>
  <c r="B38" i="11"/>
  <c r="B55" i="11" s="1"/>
  <c r="I42" i="11"/>
  <c r="I38" i="11"/>
  <c r="B39" i="11"/>
  <c r="B56" i="11" s="1"/>
  <c r="J39" i="11"/>
  <c r="J56" i="11" s="1"/>
  <c r="F24" i="17"/>
  <c r="I31" i="11"/>
  <c r="F25" i="17"/>
  <c r="G4" i="11"/>
  <c r="B11" i="9"/>
  <c r="J4" i="11"/>
  <c r="C162" i="80"/>
  <c r="B10" i="9"/>
  <c r="I4" i="11"/>
  <c r="B24" i="17"/>
  <c r="C156" i="80"/>
  <c r="E4" i="11"/>
  <c r="D4" i="11"/>
  <c r="B4" i="9"/>
  <c r="C4" i="11"/>
  <c r="B9" i="9"/>
  <c r="F9" i="9" s="1"/>
  <c r="H4" i="11"/>
  <c r="F4" i="11"/>
  <c r="B3" i="9"/>
  <c r="B4" i="11"/>
  <c r="E39" i="11"/>
  <c r="E56" i="11" s="1"/>
  <c r="I14" i="11"/>
  <c r="I22" i="9"/>
  <c r="G14" i="11"/>
  <c r="C155" i="80"/>
  <c r="D23" i="17"/>
  <c r="D35" i="17" s="1"/>
  <c r="D31" i="17" s="1"/>
  <c r="C154" i="80"/>
  <c r="J18" i="11"/>
  <c r="C23" i="17"/>
  <c r="C35" i="17" s="1"/>
  <c r="G18" i="11"/>
  <c r="F23" i="17"/>
  <c r="F35" i="17" s="1"/>
  <c r="G8" i="17"/>
  <c r="G41" i="11" s="1"/>
  <c r="C158" i="80"/>
  <c r="G9" i="17"/>
  <c r="H41" i="11" s="1"/>
  <c r="J27" i="11"/>
  <c r="H14" i="11"/>
  <c r="G27" i="11"/>
  <c r="C24" i="17"/>
  <c r="G10" i="17"/>
  <c r="I41" i="11" s="1"/>
  <c r="I9" i="17"/>
  <c r="E24" i="17"/>
  <c r="B25" i="17"/>
  <c r="C25" i="17"/>
  <c r="E25" i="17"/>
  <c r="F27" i="17"/>
  <c r="G11" i="17"/>
  <c r="J41" i="11" s="1"/>
  <c r="B26" i="17"/>
  <c r="B23" i="17"/>
  <c r="B33" i="17" s="1"/>
  <c r="I8" i="17"/>
  <c r="D27" i="17"/>
  <c r="D25" i="17"/>
  <c r="C26" i="17"/>
  <c r="D24" i="17"/>
  <c r="E26" i="17"/>
  <c r="C37" i="11"/>
  <c r="C54" i="11" s="1"/>
  <c r="C161" i="80"/>
  <c r="D37" i="11"/>
  <c r="D54" i="11" s="1"/>
  <c r="G22" i="11"/>
  <c r="G31" i="11"/>
  <c r="D26" i="17"/>
  <c r="B1" i="18"/>
  <c r="I11" i="17"/>
  <c r="F26" i="17"/>
  <c r="C157" i="80"/>
  <c r="B6" i="9"/>
  <c r="H22" i="9"/>
  <c r="H23" i="9" s="1"/>
  <c r="G39" i="11"/>
  <c r="G56" i="11" s="1"/>
  <c r="G50" i="11"/>
  <c r="G10" i="11"/>
  <c r="D42" i="11"/>
  <c r="F37" i="11"/>
  <c r="F54" i="11" s="1"/>
  <c r="F10" i="11"/>
  <c r="B37" i="11"/>
  <c r="E37" i="11"/>
  <c r="E42" i="11"/>
  <c r="E55" i="11" s="1"/>
  <c r="C10" i="11"/>
  <c r="G52" i="11"/>
  <c r="G38" i="11"/>
  <c r="G55" i="11" s="1"/>
  <c r="G51" i="11"/>
  <c r="F5" i="9"/>
  <c r="C159" i="80"/>
  <c r="C160" i="80"/>
  <c r="F7" i="9"/>
  <c r="C142" i="80"/>
  <c r="H155" i="80"/>
  <c r="H157" i="80"/>
  <c r="H154" i="80"/>
  <c r="H156" i="80"/>
  <c r="J59" i="80"/>
  <c r="K59" i="80" s="1"/>
  <c r="L59" i="80"/>
  <c r="L34" i="80"/>
  <c r="I39" i="80"/>
  <c r="M39" i="80" s="1"/>
  <c r="N39" i="80" s="1"/>
  <c r="L50" i="80"/>
  <c r="J50" i="80"/>
  <c r="K50" i="80" s="1"/>
  <c r="J32" i="80"/>
  <c r="K32" i="80" s="1"/>
  <c r="L32" i="80"/>
  <c r="M32" i="80"/>
  <c r="N32" i="80" s="1"/>
  <c r="J21" i="80"/>
  <c r="K21" i="80" s="1"/>
  <c r="L21" i="80"/>
  <c r="M21" i="80"/>
  <c r="N21" i="80" s="1"/>
  <c r="M23" i="80"/>
  <c r="N23" i="80" s="1"/>
  <c r="J23" i="80"/>
  <c r="K23" i="80" s="1"/>
  <c r="L23" i="80"/>
  <c r="L25" i="80"/>
  <c r="M38" i="80"/>
  <c r="N38" i="80" s="1"/>
  <c r="L33" i="80"/>
  <c r="L38" i="80"/>
  <c r="L31" i="80"/>
  <c r="M33" i="80"/>
  <c r="N33" i="80" s="1"/>
  <c r="M34" i="80"/>
  <c r="N34" i="80" s="1"/>
  <c r="I24" i="80"/>
  <c r="J24" i="80" s="1"/>
  <c r="K24" i="80" s="1"/>
  <c r="L15" i="80"/>
  <c r="M36" i="80"/>
  <c r="N36" i="80" s="1"/>
  <c r="I51" i="80"/>
  <c r="M52" i="80" s="1"/>
  <c r="N52" i="80" s="1"/>
  <c r="L52" i="80"/>
  <c r="L36" i="80"/>
  <c r="J48" i="80"/>
  <c r="K48" i="80" s="1"/>
  <c r="L48" i="80"/>
  <c r="M48" i="80"/>
  <c r="N48" i="80" s="1"/>
  <c r="L28" i="80"/>
  <c r="J28" i="80"/>
  <c r="K28" i="80" s="1"/>
  <c r="M28" i="80"/>
  <c r="N28" i="80" s="1"/>
  <c r="M13" i="80"/>
  <c r="N13" i="80" s="1"/>
  <c r="J13" i="80"/>
  <c r="K13" i="80" s="1"/>
  <c r="L13" i="80"/>
  <c r="J30" i="80"/>
  <c r="K30" i="80" s="1"/>
  <c r="L30" i="80"/>
  <c r="M31" i="80"/>
  <c r="N31" i="80" s="1"/>
  <c r="M30" i="80"/>
  <c r="N30" i="80" s="1"/>
  <c r="L29" i="80"/>
  <c r="M29" i="80"/>
  <c r="N29" i="80" s="1"/>
  <c r="J29" i="80"/>
  <c r="K29" i="80" s="1"/>
  <c r="M15" i="80"/>
  <c r="N15" i="80" s="1"/>
  <c r="L14" i="80"/>
  <c r="J14" i="80"/>
  <c r="K14" i="80" s="1"/>
  <c r="M14" i="80"/>
  <c r="N14" i="80" s="1"/>
  <c r="J47" i="80"/>
  <c r="K47" i="80" s="1"/>
  <c r="M47" i="80"/>
  <c r="N47" i="80" s="1"/>
  <c r="L47" i="80"/>
  <c r="L12" i="80"/>
  <c r="M12" i="80"/>
  <c r="N12" i="80" s="1"/>
  <c r="J12" i="80"/>
  <c r="K12" i="80" s="1"/>
  <c r="J46" i="80"/>
  <c r="K46" i="80" s="1"/>
  <c r="M46" i="80"/>
  <c r="N46" i="80" s="1"/>
  <c r="J11" i="80"/>
  <c r="K11" i="80" s="1"/>
  <c r="L11" i="80"/>
  <c r="M11" i="80"/>
  <c r="N11" i="80" s="1"/>
  <c r="M45" i="80"/>
  <c r="N45" i="80" s="1"/>
  <c r="J45" i="80"/>
  <c r="K45" i="80" s="1"/>
  <c r="L45" i="80"/>
  <c r="M10" i="80"/>
  <c r="N10" i="80" s="1"/>
  <c r="J10" i="80"/>
  <c r="K10" i="80" s="1"/>
  <c r="L10" i="80"/>
  <c r="J62" i="80"/>
  <c r="K62" i="80" s="1"/>
  <c r="L62" i="80"/>
  <c r="M62" i="80"/>
  <c r="N62" i="80" s="1"/>
  <c r="L40" i="80"/>
  <c r="J40" i="80"/>
  <c r="K40" i="80" s="1"/>
  <c r="J61" i="80"/>
  <c r="K61" i="80" s="1"/>
  <c r="M61" i="80"/>
  <c r="N61" i="80" s="1"/>
  <c r="L61" i="80"/>
  <c r="M59" i="80"/>
  <c r="N59" i="80" s="1"/>
  <c r="J58" i="80"/>
  <c r="K58" i="80" s="1"/>
  <c r="L58" i="80"/>
  <c r="M58" i="80"/>
  <c r="N58" i="80" s="1"/>
  <c r="J9" i="80"/>
  <c r="K9" i="80" s="1"/>
  <c r="M9" i="80"/>
  <c r="N9" i="80" s="1"/>
  <c r="L9" i="80"/>
  <c r="J57" i="80"/>
  <c r="K57" i="80" s="1"/>
  <c r="M57" i="80"/>
  <c r="N57" i="80" s="1"/>
  <c r="L57" i="80"/>
  <c r="J44" i="80"/>
  <c r="K44" i="80" s="1"/>
  <c r="M44" i="80"/>
  <c r="N44" i="80" s="1"/>
  <c r="L44" i="80"/>
  <c r="J43" i="80"/>
  <c r="K43" i="80" s="1"/>
  <c r="M43" i="80"/>
  <c r="N43" i="80" s="1"/>
  <c r="L43" i="80"/>
  <c r="M42" i="80"/>
  <c r="N42" i="80" s="1"/>
  <c r="L42" i="80"/>
  <c r="J42" i="80"/>
  <c r="K42" i="80" s="1"/>
  <c r="J56" i="80"/>
  <c r="K56" i="80" s="1"/>
  <c r="L56" i="80"/>
  <c r="M56" i="80"/>
  <c r="N56" i="80" s="1"/>
  <c r="J7" i="80"/>
  <c r="K7" i="80" s="1"/>
  <c r="L7" i="80"/>
  <c r="M7" i="80"/>
  <c r="N7" i="80" s="1"/>
  <c r="M55" i="80"/>
  <c r="N55" i="80" s="1"/>
  <c r="L55" i="80"/>
  <c r="J55" i="80"/>
  <c r="K55" i="80" s="1"/>
  <c r="M49" i="80"/>
  <c r="N49" i="80" s="1"/>
  <c r="J54" i="80"/>
  <c r="K54" i="80" s="1"/>
  <c r="L54" i="80"/>
  <c r="M54" i="80"/>
  <c r="N54" i="80" s="1"/>
  <c r="L8" i="80"/>
  <c r="J8" i="80"/>
  <c r="K8" i="80" s="1"/>
  <c r="M8" i="80"/>
  <c r="N8" i="80" s="1"/>
  <c r="M41" i="80"/>
  <c r="N41" i="80" s="1"/>
  <c r="J53" i="80"/>
  <c r="K53" i="80" s="1"/>
  <c r="L53" i="80"/>
  <c r="M53" i="80"/>
  <c r="N53" i="80" s="1"/>
  <c r="L3" i="80"/>
  <c r="J25" i="80"/>
  <c r="K25" i="80" s="1"/>
  <c r="J49" i="80"/>
  <c r="K49" i="80" s="1"/>
  <c r="M50" i="80"/>
  <c r="N50" i="80" s="1"/>
  <c r="M17" i="80"/>
  <c r="N17" i="80" s="1"/>
  <c r="L49" i="80"/>
  <c r="J6" i="80"/>
  <c r="K6" i="80" s="1"/>
  <c r="L18" i="80"/>
  <c r="L60" i="80"/>
  <c r="J17" i="80"/>
  <c r="K17" i="80" s="1"/>
  <c r="M6" i="80"/>
  <c r="N6" i="80" s="1"/>
  <c r="M60" i="80"/>
  <c r="N60" i="80" s="1"/>
  <c r="M4" i="80"/>
  <c r="N4" i="80" s="1"/>
  <c r="M27" i="80"/>
  <c r="N27" i="80" s="1"/>
  <c r="M18" i="80"/>
  <c r="N18" i="80" s="1"/>
  <c r="L4" i="80"/>
  <c r="M16" i="80"/>
  <c r="N16" i="80" s="1"/>
  <c r="L27" i="80"/>
  <c r="L20" i="80"/>
  <c r="L22" i="80"/>
  <c r="L5" i="80"/>
  <c r="M5" i="80"/>
  <c r="N5" i="80" s="1"/>
  <c r="L16" i="80"/>
  <c r="M19" i="80"/>
  <c r="N19" i="80" s="1"/>
  <c r="M35" i="80"/>
  <c r="N35" i="80" s="1"/>
  <c r="M37" i="80"/>
  <c r="N37" i="80" s="1"/>
  <c r="M26" i="80"/>
  <c r="N26" i="80" s="1"/>
  <c r="L19" i="80"/>
  <c r="M20" i="80"/>
  <c r="N20" i="80" s="1"/>
  <c r="M22" i="80"/>
  <c r="N22" i="80" s="1"/>
  <c r="L35" i="80"/>
  <c r="L37" i="80"/>
  <c r="L26" i="80"/>
  <c r="L41" i="80"/>
  <c r="F8" i="9"/>
  <c r="C56" i="11"/>
  <c r="H39" i="11"/>
  <c r="H56" i="11" s="1"/>
  <c r="K37" i="11"/>
  <c r="D146" i="80"/>
  <c r="C143" i="80"/>
  <c r="D143" i="80"/>
  <c r="C145" i="80"/>
  <c r="H55" i="11" l="1"/>
  <c r="B35" i="17"/>
  <c r="B31" i="17" s="1"/>
  <c r="E33" i="17"/>
  <c r="D55" i="11"/>
  <c r="E31" i="17"/>
  <c r="J55" i="11"/>
  <c r="I23" i="9"/>
  <c r="C33" i="17"/>
  <c r="G143" i="80"/>
  <c r="G65" i="80"/>
  <c r="F31" i="17"/>
  <c r="F33" i="17"/>
  <c r="C31" i="17"/>
  <c r="I55" i="11"/>
  <c r="C27" i="18"/>
  <c r="J39" i="80"/>
  <c r="K39" i="80" s="1"/>
  <c r="L39" i="80"/>
  <c r="F11" i="9"/>
  <c r="I37" i="11"/>
  <c r="F4" i="9"/>
  <c r="F3" i="9"/>
  <c r="I153" i="80"/>
  <c r="J153" i="80" s="1"/>
  <c r="K153" i="80" s="1"/>
  <c r="B5" i="11"/>
  <c r="B6" i="11" s="1"/>
  <c r="F10" i="9"/>
  <c r="C6" i="9"/>
  <c r="I156" i="80"/>
  <c r="J156" i="80" s="1"/>
  <c r="K156" i="80" s="1"/>
  <c r="E5" i="11"/>
  <c r="C4" i="9"/>
  <c r="D4" i="9" s="1"/>
  <c r="E4" i="9" s="1"/>
  <c r="C5" i="11"/>
  <c r="C6" i="11" s="1"/>
  <c r="I154" i="80"/>
  <c r="J154" i="80" s="1"/>
  <c r="K154" i="80" s="1"/>
  <c r="C7" i="9"/>
  <c r="D7" i="9" s="1"/>
  <c r="E7" i="9" s="1"/>
  <c r="I157" i="80"/>
  <c r="J157" i="80" s="1"/>
  <c r="K157" i="80" s="1"/>
  <c r="F5" i="11"/>
  <c r="D161" i="80"/>
  <c r="D5" i="11"/>
  <c r="D6" i="11" s="1"/>
  <c r="I155" i="80"/>
  <c r="J155" i="80" s="1"/>
  <c r="K155" i="80" s="1"/>
  <c r="D33" i="17"/>
  <c r="H37" i="11"/>
  <c r="H54" i="11" s="1"/>
  <c r="E54" i="11"/>
  <c r="F6" i="9"/>
  <c r="J37" i="11"/>
  <c r="J54" i="11" s="1"/>
  <c r="K23" i="9"/>
  <c r="G37" i="11"/>
  <c r="B54" i="11"/>
  <c r="C5" i="9"/>
  <c r="D5" i="9" s="1"/>
  <c r="E5" i="9" s="1"/>
  <c r="M40" i="80"/>
  <c r="N40" i="80" s="1"/>
  <c r="C3" i="9"/>
  <c r="M24" i="80"/>
  <c r="N24" i="80" s="1"/>
  <c r="M25" i="80"/>
  <c r="N25" i="80" s="1"/>
  <c r="L24" i="80"/>
  <c r="M51" i="80"/>
  <c r="N51" i="80" s="1"/>
  <c r="L51" i="80"/>
  <c r="J51" i="80"/>
  <c r="K51" i="80" s="1"/>
  <c r="K54" i="11"/>
  <c r="L27" i="11" l="1"/>
  <c r="I27" i="9"/>
  <c r="G144" i="80"/>
  <c r="L153" i="80"/>
  <c r="M153" i="80" s="1"/>
  <c r="G66" i="80"/>
  <c r="H64" i="80"/>
  <c r="I64" i="80" s="1"/>
  <c r="M64" i="80" s="1"/>
  <c r="N64" i="80" s="1"/>
  <c r="H65" i="80"/>
  <c r="I65" i="80" s="1"/>
  <c r="J65" i="80" s="1"/>
  <c r="K65" i="80" s="1"/>
  <c r="L18" i="11"/>
  <c r="I54" i="11"/>
  <c r="D6" i="9"/>
  <c r="E6" i="9" s="1"/>
  <c r="E6" i="11"/>
  <c r="F6" i="11"/>
  <c r="J22" i="9"/>
  <c r="I28" i="9"/>
  <c r="I37" i="9" s="1"/>
  <c r="L22" i="9"/>
  <c r="G54" i="11"/>
  <c r="D3" i="9"/>
  <c r="E3" i="9" s="1"/>
  <c r="K27" i="9" l="1"/>
  <c r="K36" i="9" s="1"/>
  <c r="J27" i="9"/>
  <c r="J36" i="9" s="1"/>
  <c r="J23" i="9"/>
  <c r="L31" i="11"/>
  <c r="H13" i="17"/>
  <c r="M27" i="11"/>
  <c r="L22" i="11"/>
  <c r="M18" i="11"/>
  <c r="I36" i="9"/>
  <c r="I13" i="17"/>
  <c r="H27" i="9"/>
  <c r="H36" i="9" s="1"/>
  <c r="L154" i="80"/>
  <c r="G145" i="80"/>
  <c r="G13" i="17"/>
  <c r="L41" i="11" s="1"/>
  <c r="H66" i="80"/>
  <c r="I66" i="80" s="1"/>
  <c r="G67" i="80"/>
  <c r="L14" i="11"/>
  <c r="L65" i="80"/>
  <c r="M65" i="80"/>
  <c r="N65" i="80" s="1"/>
  <c r="J64" i="80"/>
  <c r="K64" i="80" s="1"/>
  <c r="L64" i="80"/>
  <c r="K28" i="9"/>
  <c r="K37" i="9" s="1"/>
  <c r="L23" i="9"/>
  <c r="L27" i="9"/>
  <c r="L36" i="9" s="1"/>
  <c r="S17" i="17" l="1"/>
  <c r="S18" i="17" s="1"/>
  <c r="R18" i="17"/>
  <c r="J28" i="9"/>
  <c r="J37" i="9" s="1"/>
  <c r="M22" i="11"/>
  <c r="M154" i="80"/>
  <c r="M31" i="11"/>
  <c r="M14" i="11"/>
  <c r="H14" i="17"/>
  <c r="I14" i="17"/>
  <c r="T17" i="17" s="1"/>
  <c r="T18" i="17" s="1"/>
  <c r="L37" i="11"/>
  <c r="G146" i="80"/>
  <c r="H28" i="9"/>
  <c r="H37" i="9" s="1"/>
  <c r="L155" i="80"/>
  <c r="H67" i="80"/>
  <c r="I67" i="80" s="1"/>
  <c r="L67" i="80" s="1"/>
  <c r="G68" i="80"/>
  <c r="L28" i="9"/>
  <c r="L37" i="9" s="1"/>
  <c r="G14" i="17"/>
  <c r="M41" i="11" s="1"/>
  <c r="G27" i="9"/>
  <c r="M36" i="9"/>
  <c r="N153" i="80"/>
  <c r="J66" i="80"/>
  <c r="K66" i="80" s="1"/>
  <c r="L66" i="80"/>
  <c r="M66" i="80"/>
  <c r="N66" i="80" s="1"/>
  <c r="M37" i="11" l="1"/>
  <c r="M155" i="80"/>
  <c r="J67" i="80"/>
  <c r="K67" i="80" s="1"/>
  <c r="M37" i="9"/>
  <c r="M67" i="80"/>
  <c r="N67" i="80" s="1"/>
  <c r="L54" i="11"/>
  <c r="L156" i="80"/>
  <c r="G28" i="9"/>
  <c r="H68" i="80"/>
  <c r="I68" i="80" s="1"/>
  <c r="G69" i="80"/>
  <c r="N154" i="80"/>
  <c r="M54" i="11" l="1"/>
  <c r="L157" i="80"/>
  <c r="M156" i="80"/>
  <c r="H69" i="80"/>
  <c r="I69" i="80" s="1"/>
  <c r="L69" i="80" s="1"/>
  <c r="G70" i="80"/>
  <c r="N155" i="80"/>
  <c r="M68" i="80"/>
  <c r="N68" i="80" s="1"/>
  <c r="J68" i="80"/>
  <c r="K68" i="80" s="1"/>
  <c r="L68" i="80"/>
  <c r="M157" i="80" l="1"/>
  <c r="H70" i="80"/>
  <c r="I70" i="80" s="1"/>
  <c r="G71" i="80"/>
  <c r="J69" i="80"/>
  <c r="K69" i="80" s="1"/>
  <c r="M69" i="80"/>
  <c r="N69" i="80" s="1"/>
  <c r="N156" i="80"/>
  <c r="L159" i="80" l="1"/>
  <c r="L158" i="80"/>
  <c r="H71" i="80"/>
  <c r="I71" i="80" s="1"/>
  <c r="M71" i="80" s="1"/>
  <c r="N71" i="80" s="1"/>
  <c r="G72" i="80"/>
  <c r="N157" i="80"/>
  <c r="M70" i="80"/>
  <c r="N70" i="80" s="1"/>
  <c r="L70" i="80"/>
  <c r="J70" i="80"/>
  <c r="K70" i="80" s="1"/>
  <c r="L160" i="80" l="1"/>
  <c r="J71" i="80"/>
  <c r="K71" i="80" s="1"/>
  <c r="L71" i="80"/>
  <c r="H72" i="80"/>
  <c r="I72" i="80" s="1"/>
  <c r="M72" i="80" s="1"/>
  <c r="N72" i="80" s="1"/>
  <c r="G73" i="80"/>
  <c r="G74" i="80"/>
  <c r="L161" i="80" l="1"/>
  <c r="J72" i="80"/>
  <c r="K72" i="80" s="1"/>
  <c r="L72" i="80"/>
  <c r="H73" i="80"/>
  <c r="I73" i="80" s="1"/>
  <c r="M73" i="80" s="1"/>
  <c r="N73" i="80" s="1"/>
  <c r="H74" i="80"/>
  <c r="L73" i="80" l="1"/>
  <c r="L162" i="80"/>
  <c r="J73" i="80"/>
  <c r="K73" i="80" s="1"/>
  <c r="I74" i="80"/>
  <c r="M75" i="80" s="1"/>
  <c r="H158" i="80"/>
  <c r="M158" i="80" l="1"/>
  <c r="L163" i="80"/>
  <c r="L164" i="80"/>
  <c r="N158" i="80"/>
  <c r="I158" i="80"/>
  <c r="J158" i="80" s="1"/>
  <c r="K158" i="80" s="1"/>
  <c r="G5" i="11"/>
  <c r="C8" i="9"/>
  <c r="L74" i="80"/>
  <c r="M74" i="80"/>
  <c r="N74" i="80" s="1"/>
  <c r="J74" i="80"/>
  <c r="K74" i="80" s="1"/>
  <c r="H76" i="80"/>
  <c r="I76" i="80" s="1"/>
  <c r="H77" i="80" l="1"/>
  <c r="I77" i="80" s="1"/>
  <c r="G6" i="11"/>
  <c r="D8" i="9"/>
  <c r="E8" i="9" s="1"/>
  <c r="M76" i="80"/>
  <c r="N76" i="80" s="1"/>
  <c r="L76" i="80"/>
  <c r="J76" i="80"/>
  <c r="K76" i="80" s="1"/>
  <c r="N75" i="80"/>
  <c r="H78" i="80" l="1"/>
  <c r="J77" i="80"/>
  <c r="K77" i="80" s="1"/>
  <c r="L77" i="80"/>
  <c r="M77" i="80"/>
  <c r="N77" i="80" s="1"/>
  <c r="H79" i="80" l="1"/>
  <c r="I79" i="80" s="1"/>
  <c r="I78" i="80"/>
  <c r="H80" i="80" l="1"/>
  <c r="J78" i="80"/>
  <c r="K78" i="80" s="1"/>
  <c r="M78" i="80"/>
  <c r="N78" i="80" s="1"/>
  <c r="L78" i="80"/>
  <c r="L79" i="80"/>
  <c r="J79" i="80"/>
  <c r="K79" i="80" s="1"/>
  <c r="M79" i="80"/>
  <c r="N79" i="80" s="1"/>
  <c r="I80" i="80" l="1"/>
  <c r="H81" i="80"/>
  <c r="I81" i="80" s="1"/>
  <c r="J81" i="80" l="1"/>
  <c r="K81" i="80" s="1"/>
  <c r="L81" i="80"/>
  <c r="M81" i="80"/>
  <c r="N81" i="80" s="1"/>
  <c r="H82" i="80"/>
  <c r="I82" i="80" s="1"/>
  <c r="M80" i="80"/>
  <c r="N80" i="80" s="1"/>
  <c r="J80" i="80"/>
  <c r="K80" i="80" s="1"/>
  <c r="L80" i="80"/>
  <c r="J82" i="80" l="1"/>
  <c r="K82" i="80" s="1"/>
  <c r="M82" i="80"/>
  <c r="N82" i="80" s="1"/>
  <c r="L82" i="80"/>
  <c r="H83" i="80"/>
  <c r="I83" i="80" s="1"/>
  <c r="J83" i="80" l="1"/>
  <c r="K83" i="80" s="1"/>
  <c r="L83" i="80"/>
  <c r="M83" i="80"/>
  <c r="N83" i="80" s="1"/>
  <c r="H84" i="80"/>
  <c r="I84" i="80" s="1"/>
  <c r="J84" i="80" l="1"/>
  <c r="K84" i="80" s="1"/>
  <c r="L84" i="80"/>
  <c r="M84" i="80"/>
  <c r="N84" i="80" s="1"/>
  <c r="H85" i="80"/>
  <c r="I85" i="80" s="1"/>
  <c r="H86" i="80" l="1"/>
  <c r="J85" i="80"/>
  <c r="K85" i="80" s="1"/>
  <c r="L85" i="80"/>
  <c r="M85" i="80"/>
  <c r="N85" i="80" s="1"/>
  <c r="I86" i="80" l="1"/>
  <c r="H159" i="80"/>
  <c r="H87" i="80"/>
  <c r="M159" i="80" l="1"/>
  <c r="N159" i="80" s="1"/>
  <c r="H5" i="11"/>
  <c r="I159" i="80"/>
  <c r="J159" i="80" s="1"/>
  <c r="K159" i="80" s="1"/>
  <c r="H88" i="80"/>
  <c r="I88" i="80" s="1"/>
  <c r="I87" i="80"/>
  <c r="C9" i="9"/>
  <c r="L86" i="80"/>
  <c r="M86" i="80"/>
  <c r="N86" i="80" s="1"/>
  <c r="J86" i="80"/>
  <c r="K86" i="80" s="1"/>
  <c r="H6" i="11" l="1"/>
  <c r="D9" i="9"/>
  <c r="E9" i="9" s="1"/>
  <c r="J87" i="80"/>
  <c r="K87" i="80" s="1"/>
  <c r="L87" i="80"/>
  <c r="M87" i="80"/>
  <c r="N87" i="80" s="1"/>
  <c r="H89" i="80"/>
  <c r="L88" i="80"/>
  <c r="M88" i="80"/>
  <c r="N88" i="80" s="1"/>
  <c r="J88" i="80"/>
  <c r="K88" i="80" s="1"/>
  <c r="H90" i="80" l="1"/>
  <c r="I90" i="80" s="1"/>
  <c r="I89" i="80"/>
  <c r="H91" i="80" l="1"/>
  <c r="J89" i="80"/>
  <c r="K89" i="80" s="1"/>
  <c r="L89" i="80"/>
  <c r="M89" i="80"/>
  <c r="N89" i="80" s="1"/>
  <c r="L90" i="80"/>
  <c r="M90" i="80"/>
  <c r="N90" i="80" s="1"/>
  <c r="J90" i="80"/>
  <c r="K90" i="80" s="1"/>
  <c r="H92" i="80" l="1"/>
  <c r="I92" i="80" s="1"/>
  <c r="I91" i="80"/>
  <c r="H93" i="80" l="1"/>
  <c r="I93" i="80" s="1"/>
  <c r="L91" i="80"/>
  <c r="J91" i="80"/>
  <c r="K91" i="80" s="1"/>
  <c r="M91" i="80"/>
  <c r="N91" i="80" s="1"/>
  <c r="J92" i="80"/>
  <c r="K92" i="80" s="1"/>
  <c r="M92" i="80"/>
  <c r="N92" i="80" s="1"/>
  <c r="L92" i="80"/>
  <c r="J93" i="80" l="1"/>
  <c r="K93" i="80" s="1"/>
  <c r="M93" i="80"/>
  <c r="N93" i="80" s="1"/>
  <c r="L93" i="80"/>
  <c r="H94" i="80"/>
  <c r="I94" i="80" s="1"/>
  <c r="H95" i="80" l="1"/>
  <c r="I95" i="80" s="1"/>
  <c r="L94" i="80"/>
  <c r="M94" i="80"/>
  <c r="N94" i="80" s="1"/>
  <c r="J94" i="80"/>
  <c r="K94" i="80" s="1"/>
  <c r="H96" i="80" l="1"/>
  <c r="I96" i="80" s="1"/>
  <c r="J95" i="80"/>
  <c r="K95" i="80" s="1"/>
  <c r="M95" i="80"/>
  <c r="N95" i="80" s="1"/>
  <c r="L95" i="80"/>
  <c r="H97" i="80" l="1"/>
  <c r="I97" i="80" s="1"/>
  <c r="J96" i="80"/>
  <c r="K96" i="80" s="1"/>
  <c r="M96" i="80"/>
  <c r="N96" i="80" s="1"/>
  <c r="L96" i="80"/>
  <c r="H98" i="80" l="1"/>
  <c r="M97" i="80"/>
  <c r="N97" i="80" s="1"/>
  <c r="L97" i="80"/>
  <c r="J97" i="80"/>
  <c r="K97" i="80" s="1"/>
  <c r="I98" i="80" l="1"/>
  <c r="M99" i="80" s="1"/>
  <c r="H160" i="80"/>
  <c r="M160" i="80" l="1"/>
  <c r="N160" i="80" s="1"/>
  <c r="I5" i="11"/>
  <c r="I160" i="80"/>
  <c r="J160" i="80" s="1"/>
  <c r="K160" i="80" s="1"/>
  <c r="C10" i="9"/>
  <c r="H100" i="80"/>
  <c r="I100" i="80" s="1"/>
  <c r="J98" i="80"/>
  <c r="K98" i="80" s="1"/>
  <c r="L98" i="80"/>
  <c r="M98" i="80"/>
  <c r="N98" i="80" s="1"/>
  <c r="I6" i="11" l="1"/>
  <c r="D10" i="9"/>
  <c r="E10" i="9" s="1"/>
  <c r="H101" i="80"/>
  <c r="I101" i="80" s="1"/>
  <c r="N99" i="80"/>
  <c r="M100" i="80"/>
  <c r="N100" i="80" s="1"/>
  <c r="J100" i="80"/>
  <c r="K100" i="80" s="1"/>
  <c r="L100" i="80"/>
  <c r="J101" i="80" l="1"/>
  <c r="K101" i="80" s="1"/>
  <c r="L101" i="80"/>
  <c r="M101" i="80"/>
  <c r="N101" i="80" s="1"/>
  <c r="H102" i="80"/>
  <c r="H103" i="80" l="1"/>
  <c r="I103" i="80" s="1"/>
  <c r="I102" i="80"/>
  <c r="L103" i="80" l="1"/>
  <c r="J103" i="80"/>
  <c r="K103" i="80" s="1"/>
  <c r="M103" i="80"/>
  <c r="N103" i="80" s="1"/>
  <c r="H104" i="80"/>
  <c r="I104" i="80" s="1"/>
  <c r="M102" i="80"/>
  <c r="N102" i="80" s="1"/>
  <c r="L102" i="80"/>
  <c r="J102" i="80"/>
  <c r="K102" i="80" s="1"/>
  <c r="H105" i="80" l="1"/>
  <c r="I105" i="80" s="1"/>
  <c r="J104" i="80"/>
  <c r="K104" i="80" s="1"/>
  <c r="L104" i="80"/>
  <c r="M104" i="80"/>
  <c r="N104" i="80" s="1"/>
  <c r="H106" i="80" l="1"/>
  <c r="I106" i="80" s="1"/>
  <c r="M105" i="80"/>
  <c r="N105" i="80" s="1"/>
  <c r="J105" i="80"/>
  <c r="K105" i="80" s="1"/>
  <c r="L105" i="80"/>
  <c r="J106" i="80" l="1"/>
  <c r="K106" i="80" s="1"/>
  <c r="L106" i="80"/>
  <c r="M106" i="80"/>
  <c r="N106" i="80" s="1"/>
  <c r="H107" i="80"/>
  <c r="I107" i="80" s="1"/>
  <c r="H108" i="80" l="1"/>
  <c r="I108" i="80" s="1"/>
  <c r="J107" i="80"/>
  <c r="K107" i="80" s="1"/>
  <c r="L107" i="80"/>
  <c r="M107" i="80"/>
  <c r="N107" i="80" s="1"/>
  <c r="J108" i="80" l="1"/>
  <c r="K108" i="80" s="1"/>
  <c r="L108" i="80"/>
  <c r="M108" i="80"/>
  <c r="N108" i="80" s="1"/>
  <c r="H109" i="80"/>
  <c r="I109" i="80" s="1"/>
  <c r="M109" i="80" l="1"/>
  <c r="N109" i="80" s="1"/>
  <c r="J109" i="80"/>
  <c r="K109" i="80" s="1"/>
  <c r="L109" i="80"/>
  <c r="H110" i="80"/>
  <c r="I110" i="80" l="1"/>
  <c r="M111" i="80" s="1"/>
  <c r="H161" i="80"/>
  <c r="M161" i="80" s="1"/>
  <c r="J5" i="11" l="1"/>
  <c r="I161" i="80"/>
  <c r="J161" i="80" s="1"/>
  <c r="K161" i="80" s="1"/>
  <c r="N161" i="80"/>
  <c r="C11" i="9"/>
  <c r="H112" i="80"/>
  <c r="I112" i="80" s="1"/>
  <c r="L110" i="80"/>
  <c r="M110" i="80"/>
  <c r="N110" i="80" s="1"/>
  <c r="J110" i="80"/>
  <c r="K110" i="80" s="1"/>
  <c r="J6" i="11" l="1"/>
  <c r="D11" i="9"/>
  <c r="E11" i="9" s="1"/>
  <c r="H113" i="80"/>
  <c r="I113" i="80" s="1"/>
  <c r="N111" i="80"/>
  <c r="J112" i="80"/>
  <c r="K112" i="80" s="1"/>
  <c r="L112" i="80"/>
  <c r="M112" i="80"/>
  <c r="N112" i="80" s="1"/>
  <c r="H114" i="80" l="1"/>
  <c r="M113" i="80"/>
  <c r="N113" i="80" s="1"/>
  <c r="L113" i="80"/>
  <c r="J113" i="80"/>
  <c r="K113" i="80" s="1"/>
  <c r="H115" i="80" l="1"/>
  <c r="I115" i="80" s="1"/>
  <c r="I114" i="80"/>
  <c r="H116" i="80" l="1"/>
  <c r="L115" i="80"/>
  <c r="J115" i="80"/>
  <c r="K115" i="80" s="1"/>
  <c r="M115" i="80"/>
  <c r="N115" i="80" s="1"/>
  <c r="M114" i="80"/>
  <c r="N114" i="80" s="1"/>
  <c r="J114" i="80"/>
  <c r="K114" i="80" s="1"/>
  <c r="L114" i="80"/>
  <c r="H117" i="80" l="1"/>
  <c r="I117" i="80" s="1"/>
  <c r="I116" i="80"/>
  <c r="H118" i="80" l="1"/>
  <c r="J116" i="80"/>
  <c r="K116" i="80" s="1"/>
  <c r="M116" i="80"/>
  <c r="N116" i="80" s="1"/>
  <c r="L116" i="80"/>
  <c r="J117" i="80"/>
  <c r="K117" i="80" s="1"/>
  <c r="M117" i="80"/>
  <c r="N117" i="80" s="1"/>
  <c r="L117" i="80"/>
  <c r="I118" i="80" l="1"/>
  <c r="I119" i="80"/>
  <c r="H120" i="80" l="1"/>
  <c r="I120" i="80" s="1"/>
  <c r="J119" i="80"/>
  <c r="K119" i="80" s="1"/>
  <c r="L119" i="80"/>
  <c r="M119" i="80"/>
  <c r="N119" i="80" s="1"/>
  <c r="J118" i="80"/>
  <c r="K118" i="80" s="1"/>
  <c r="M118" i="80"/>
  <c r="N118" i="80" s="1"/>
  <c r="L118" i="80"/>
  <c r="L120" i="80" l="1"/>
  <c r="M120" i="80"/>
  <c r="N120" i="80" s="1"/>
  <c r="J120" i="80"/>
  <c r="K120" i="80" s="1"/>
  <c r="H121" i="80"/>
  <c r="I121" i="80" s="1"/>
  <c r="H122" i="80" l="1"/>
  <c r="J121" i="80"/>
  <c r="K121" i="80" s="1"/>
  <c r="L121" i="80"/>
  <c r="M121" i="80"/>
  <c r="N121" i="80" s="1"/>
  <c r="H162" i="80" l="1"/>
  <c r="H166" i="80" s="1"/>
  <c r="I122" i="80"/>
  <c r="H123" i="80"/>
  <c r="M162" i="80" l="1"/>
  <c r="N162" i="80" s="1"/>
  <c r="I162" i="80"/>
  <c r="J162" i="80" s="1"/>
  <c r="K162" i="80" s="1"/>
  <c r="K5" i="11"/>
  <c r="I166" i="80"/>
  <c r="C12" i="9"/>
  <c r="D12" i="9" s="1"/>
  <c r="E12" i="9" s="1"/>
  <c r="J122" i="80"/>
  <c r="K122" i="80" s="1"/>
  <c r="K123" i="80" s="1"/>
  <c r="M122" i="80"/>
  <c r="N122" i="80" s="1"/>
  <c r="N123" i="80" s="1"/>
  <c r="Q27" i="80" s="1"/>
  <c r="L122" i="80"/>
  <c r="H124" i="80"/>
  <c r="L123" i="80" l="1"/>
  <c r="Q28" i="80" s="1"/>
  <c r="Q30" i="80" s="1"/>
  <c r="H125" i="80"/>
  <c r="H126" i="80" l="1"/>
  <c r="H127" i="80" l="1"/>
  <c r="K33" i="11"/>
  <c r="H128" i="80" l="1"/>
  <c r="D11" i="18"/>
  <c r="K24" i="11"/>
  <c r="H129" i="80" l="1"/>
  <c r="K55" i="11"/>
  <c r="K43" i="11"/>
  <c r="G45" i="11"/>
  <c r="K39" i="11"/>
  <c r="H130" i="80" l="1"/>
  <c r="K56" i="11"/>
  <c r="H131" i="80" l="1"/>
  <c r="H132" i="80" l="1"/>
  <c r="H133" i="80" l="1"/>
  <c r="H134" i="80" l="1"/>
  <c r="H163" i="80" s="1"/>
  <c r="C13" i="9" l="1"/>
  <c r="L5" i="11"/>
  <c r="G163" i="80"/>
  <c r="H135" i="80"/>
  <c r="G13" i="9" l="1"/>
  <c r="L10" i="11" s="1"/>
  <c r="H136" i="80"/>
  <c r="G32" i="9" l="1"/>
  <c r="G36" i="9" s="1"/>
  <c r="H40" i="9" s="1"/>
  <c r="H137" i="80"/>
  <c r="J40" i="9" l="1"/>
  <c r="J32" i="9" s="1"/>
  <c r="I40" i="9"/>
  <c r="I32" i="9" s="1"/>
  <c r="L19" i="11" s="1"/>
  <c r="L40" i="9"/>
  <c r="L32" i="9" s="1"/>
  <c r="C12" i="18" s="1"/>
  <c r="K40" i="9"/>
  <c r="H138" i="80"/>
  <c r="H32" i="9"/>
  <c r="L15" i="11" s="1"/>
  <c r="G40" i="9" l="1"/>
  <c r="K32" i="9"/>
  <c r="L28" i="11" s="1"/>
  <c r="L23" i="11"/>
  <c r="B12" i="18"/>
  <c r="L24" i="11" s="1"/>
  <c r="H139" i="80"/>
  <c r="L32" i="11"/>
  <c r="L33" i="11"/>
  <c r="M32" i="9" l="1"/>
  <c r="N32" i="9" s="1"/>
  <c r="L39" i="11"/>
  <c r="H140" i="80"/>
  <c r="D12" i="18"/>
  <c r="L38" i="11"/>
  <c r="L42" i="11" l="1"/>
  <c r="L55" i="11" s="1"/>
  <c r="G46" i="11"/>
  <c r="L43" i="11"/>
  <c r="H141" i="80"/>
  <c r="H142" i="80" l="1"/>
  <c r="L56" i="11"/>
  <c r="H143" i="80" l="1"/>
  <c r="H144" i="80" l="1"/>
  <c r="H145" i="80" l="1"/>
  <c r="H146" i="80" l="1"/>
  <c r="H164" i="80" l="1"/>
  <c r="H168" i="80" s="1"/>
  <c r="H150" i="80"/>
  <c r="C14" i="9" l="1"/>
  <c r="M5" i="11"/>
  <c r="G164" i="80"/>
  <c r="F164" i="80" s="1"/>
  <c r="I168" i="80"/>
  <c r="G14" i="9" l="1"/>
  <c r="G33" i="9" s="1"/>
  <c r="G37" i="9" s="1"/>
  <c r="J41" i="9" l="1"/>
  <c r="J33" i="9" s="1"/>
  <c r="K41" i="9"/>
  <c r="K33" i="9" s="1"/>
  <c r="M28" i="11" s="1"/>
  <c r="H41" i="9"/>
  <c r="I41" i="9"/>
  <c r="I33" i="9" s="1"/>
  <c r="M19" i="11" s="1"/>
  <c r="L41" i="9"/>
  <c r="L33" i="9" s="1"/>
  <c r="C13" i="18" s="1"/>
  <c r="M10" i="11"/>
  <c r="B13" i="18" l="1"/>
  <c r="B14" i="18" s="1"/>
  <c r="M23" i="11"/>
  <c r="G41" i="9"/>
  <c r="H33" i="9"/>
  <c r="M15" i="11" s="1"/>
  <c r="M32" i="11"/>
  <c r="M33" i="11"/>
  <c r="M24" i="11" l="1"/>
  <c r="D13" i="18"/>
  <c r="M43" i="11" s="1"/>
  <c r="M33" i="9"/>
  <c r="N33" i="9" s="1"/>
  <c r="M38" i="11"/>
  <c r="M39" i="11" l="1"/>
  <c r="M42" i="11"/>
  <c r="M56" i="11" l="1"/>
  <c r="M55" i="11"/>
</calcChain>
</file>

<file path=xl/sharedStrings.xml><?xml version="1.0" encoding="utf-8"?>
<sst xmlns="http://schemas.openxmlformats.org/spreadsheetml/2006/main" count="182" uniqueCount="120">
  <si>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</si>
  <si>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</si>
  <si>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</si>
  <si>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</si>
  <si>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</si>
  <si>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</si>
  <si>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</si>
  <si>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</si>
  <si>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</si>
  <si>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</si>
  <si>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</si>
  <si>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</si>
  <si>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</si>
  <si>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</si>
  <si>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</si>
  <si>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</si>
  <si>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</si>
  <si>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</si>
  <si>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</si>
  <si>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</si>
  <si>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</si>
  <si>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</si>
  <si>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</si>
  <si>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</si>
  <si>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</si>
  <si>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</si>
  <si>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</si>
  <si>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</si>
  <si>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</si>
  <si>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</si>
  <si>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</si>
  <si>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</si>
  <si>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</si>
  <si>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</si>
  <si>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</si>
  <si>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</si>
  <si>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</si>
  <si>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</si>
  <si>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</si>
  <si>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</si>
  <si>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</si>
  <si>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</si>
  <si>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</si>
  <si>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</si>
  <si>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</si>
  <si>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</si>
  <si>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</si>
  <si>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</si>
  <si>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</si>
  <si>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</si>
  <si>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</si>
  <si>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</si>
  <si>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Street Lights</t>
  </si>
  <si>
    <t>May</t>
  </si>
  <si>
    <t xml:space="preserve">2015 Actual </t>
  </si>
  <si>
    <t xml:space="preserve">2016 Actual </t>
  </si>
  <si>
    <t xml:space="preserve">2017 Actual </t>
  </si>
  <si>
    <t>Average Number of Customer/Connections</t>
  </si>
  <si>
    <t xml:space="preserve">2018 Actual </t>
  </si>
  <si>
    <t xml:space="preserve">2019 Actual </t>
  </si>
  <si>
    <t xml:space="preserve">Total Billed </t>
  </si>
  <si>
    <t>Check - must be zero</t>
  </si>
  <si>
    <t>2014 Actual</t>
  </si>
  <si>
    <t>2020 Actual</t>
  </si>
  <si>
    <t>2021 Actual</t>
  </si>
  <si>
    <t>2022 Actual</t>
  </si>
  <si>
    <t>10-year average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</si>
  <si>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</si>
  <si>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</si>
  <si>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</si>
  <si>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</si>
  <si>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</si>
  <si>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</si>
  <si>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</si>
  <si>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</si>
  <si>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</si>
  <si>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</si>
  <si>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</si>
  <si>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</si>
  <si>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Number of Customers</t>
  </si>
  <si>
    <t>Total Customers</t>
  </si>
  <si>
    <t>Weather Normal</t>
  </si>
  <si>
    <t>Weather Normal Conversion Factor</t>
  </si>
  <si>
    <t>R1(i) Residential</t>
  </si>
  <si>
    <t>R1(ii) GS &lt; 50 kW</t>
  </si>
  <si>
    <t>R2 GS&gt;50 kW</t>
  </si>
  <si>
    <t>Seasonal</t>
  </si>
  <si>
    <t>Year End</t>
  </si>
  <si>
    <t>Monthly Growth Rate</t>
  </si>
  <si>
    <t>2024 Bridge</t>
  </si>
  <si>
    <t>2025 Test</t>
  </si>
  <si>
    <t>Manual Incremental kWh</t>
  </si>
  <si>
    <t>Manual kW</t>
  </si>
  <si>
    <t>Residual Squared</t>
  </si>
  <si>
    <t>Sum of Squared Residuals</t>
  </si>
  <si>
    <t>Difference of Residuals</t>
  </si>
  <si>
    <t>Difference of Residuals Squared</t>
  </si>
  <si>
    <t>Sum of Squared Difference of Residuals</t>
  </si>
  <si>
    <t>Durbin-Watson Calculation</t>
  </si>
  <si>
    <t>Residual (kWh)</t>
  </si>
  <si>
    <t xml:space="preserve">% Residual </t>
  </si>
  <si>
    <t>% Residual (Abs)</t>
  </si>
  <si>
    <t>2025- excl Manual</t>
  </si>
  <si>
    <t>2023 Actuals</t>
  </si>
  <si>
    <t xml:space="preserve">Average </t>
  </si>
  <si>
    <t xml:space="preserve">Variance </t>
  </si>
  <si>
    <t>% Variance</t>
  </si>
  <si>
    <t>% Variance (Abs)</t>
  </si>
  <si>
    <t xml:space="preserve">Weather Normal </t>
  </si>
  <si>
    <t>Actual Weather Normalized</t>
  </si>
  <si>
    <t>2018 Yr End</t>
  </si>
  <si>
    <t>2015 to 2019</t>
  </si>
  <si>
    <t>Lower 95.0%</t>
  </si>
  <si>
    <t>Upper 95.0%</t>
  </si>
  <si>
    <t>proposed LF per APP 2-R</t>
  </si>
  <si>
    <t>API Weather Normal Load Forecast for 2025 Rate Application</t>
  </si>
  <si>
    <t xml:space="preserve">2024 June YTD </t>
  </si>
  <si>
    <t>Avg. Monthly Growth YTD</t>
  </si>
  <si>
    <t>Average 2024 Customers</t>
  </si>
  <si>
    <t xml:space="preserve">Adjusted Purchases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</si>
</sst>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000000"/>
    <numFmt numFmtId="181" formatCode="0.00000%"/>
    <numFmt numFmtId="182" formatCode="0.000000000"/>
  </numFmts>
  <fonts count="8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Arial"/>
      <family val="2"/>
      <charset val="1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sz val="10"/>
      <color theme="2" tint="-0.249977111117893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49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8" applyNumberFormat="0" applyAlignment="0" applyProtection="0"/>
    <xf numFmtId="0" fontId="30" fillId="11" borderId="11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8" applyNumberFormat="0" applyAlignment="0" applyProtection="0"/>
    <xf numFmtId="0" fontId="29" fillId="0" borderId="10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2" applyNumberFormat="0" applyFont="0" applyAlignment="0" applyProtection="0"/>
    <xf numFmtId="0" fontId="27" fillId="10" borderId="9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4">
      <alignment horizontal="center" vertical="center"/>
    </xf>
    <xf numFmtId="0" fontId="19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6" applyNumberFormat="0" applyFill="0" applyAlignment="0" applyProtection="0"/>
    <xf numFmtId="0" fontId="20" fillId="0" borderId="5" applyNumberFormat="0" applyFill="0" applyAlignment="0" applyProtection="0"/>
    <xf numFmtId="0" fontId="4" fillId="0" borderId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8" applyNumberFormat="0" applyAlignment="0" applyProtection="0"/>
    <xf numFmtId="0" fontId="27" fillId="10" borderId="9" applyNumberFormat="0" applyAlignment="0" applyProtection="0"/>
    <xf numFmtId="0" fontId="28" fillId="10" borderId="8" applyNumberFormat="0" applyAlignment="0" applyProtection="0"/>
    <xf numFmtId="0" fontId="29" fillId="0" borderId="10" applyNumberFormat="0" applyFill="0" applyAlignment="0" applyProtection="0"/>
    <xf numFmtId="0" fontId="30" fillId="11" borderId="11" applyNumberFormat="0" applyAlignment="0" applyProtection="0"/>
    <xf numFmtId="0" fontId="31" fillId="0" borderId="0" applyNumberFormat="0" applyFill="0" applyBorder="0" applyAlignment="0" applyProtection="0"/>
    <xf numFmtId="0" fontId="4" fillId="12" borderId="12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2" applyNumberFormat="0" applyAlignment="0" applyProtection="0"/>
    <xf numFmtId="0" fontId="61" fillId="60" borderId="16" applyNumberFormat="0" applyAlignment="0" applyProtection="0"/>
    <xf numFmtId="0" fontId="67" fillId="46" borderId="15" applyNumberFormat="0" applyAlignment="0" applyProtection="0"/>
    <xf numFmtId="0" fontId="9" fillId="62" borderId="21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19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0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5" applyNumberFormat="0" applyAlignment="0" applyProtection="0"/>
    <xf numFmtId="0" fontId="67" fillId="46" borderId="15" applyNumberFormat="0" applyAlignment="0" applyProtection="0"/>
    <xf numFmtId="0" fontId="67" fillId="46" borderId="1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5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5" fillId="0" borderId="0"/>
    <xf numFmtId="179" fontId="76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9" fillId="0" borderId="0"/>
    <xf numFmtId="0" fontId="2" fillId="0" borderId="0"/>
    <xf numFmtId="0" fontId="9" fillId="0" borderId="0"/>
    <xf numFmtId="0" fontId="9" fillId="0" borderId="0"/>
    <xf numFmtId="0" fontId="72" fillId="0" borderId="35" applyNumberFormat="0" applyFill="0" applyAlignment="0" applyProtection="0"/>
    <xf numFmtId="0" fontId="60" fillId="59" borderId="26" applyNumberFormat="0" applyAlignment="0" applyProtection="0"/>
    <xf numFmtId="0" fontId="70" fillId="59" borderId="34" applyNumberFormat="0" applyAlignment="0" applyProtection="0"/>
    <xf numFmtId="0" fontId="67" fillId="46" borderId="32" applyNumberFormat="0" applyAlignment="0" applyProtection="0"/>
    <xf numFmtId="0" fontId="60" fillId="59" borderId="32" applyNumberFormat="0" applyAlignment="0" applyProtection="0"/>
    <xf numFmtId="0" fontId="67" fillId="46" borderId="26" applyNumberFormat="0" applyAlignment="0" applyProtection="0"/>
    <xf numFmtId="0" fontId="9" fillId="62" borderId="27" applyNumberFormat="0" applyFont="0" applyAlignment="0" applyProtection="0"/>
    <xf numFmtId="0" fontId="70" fillId="59" borderId="28" applyNumberFormat="0" applyAlignment="0" applyProtection="0"/>
    <xf numFmtId="0" fontId="72" fillId="0" borderId="29" applyNumberFormat="0" applyFill="0" applyAlignment="0" applyProtection="0"/>
    <xf numFmtId="0" fontId="9" fillId="0" borderId="0"/>
    <xf numFmtId="0" fontId="1" fillId="0" borderId="0"/>
    <xf numFmtId="0" fontId="67" fillId="46" borderId="32" applyNumberFormat="0" applyAlignment="0" applyProtection="0"/>
    <xf numFmtId="0" fontId="9" fillId="62" borderId="33" applyNumberFormat="0" applyFont="0" applyAlignment="0" applyProtection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32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30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27" applyNumberFormat="0" applyFont="0" applyAlignment="0" applyProtection="0"/>
    <xf numFmtId="0" fontId="9" fillId="0" borderId="0"/>
    <xf numFmtId="0" fontId="1" fillId="0" borderId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32" applyNumberFormat="0" applyAlignment="0" applyProtection="0"/>
    <xf numFmtId="10" fontId="15" fillId="38" borderId="25" applyNumberFormat="0" applyBorder="0" applyAlignment="0" applyProtection="0"/>
    <xf numFmtId="0" fontId="9" fillId="0" borderId="0"/>
    <xf numFmtId="0" fontId="67" fillId="46" borderId="32" applyNumberFormat="0" applyAlignment="0" applyProtection="0"/>
    <xf numFmtId="0" fontId="9" fillId="62" borderId="33" applyNumberFormat="0" applyFont="0" applyAlignment="0" applyProtection="0"/>
    <xf numFmtId="0" fontId="9" fillId="0" borderId="0"/>
  </cellStyleXfs>
  <cellXfs count="122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" fontId="11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 wrapText="1"/>
    </xf>
    <xf numFmtId="3" fontId="11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3" fontId="9" fillId="3" borderId="0" xfId="0" applyNumberFormat="1" applyFont="1" applyFill="1" applyAlignment="1">
      <alignment horizontal="center" wrapText="1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9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9" fillId="0" borderId="24" xfId="0" applyFont="1" applyBorder="1" applyAlignment="1">
      <alignment horizontal="right"/>
    </xf>
    <xf numFmtId="12" fontId="10" fillId="0" borderId="1" xfId="0" applyNumberFormat="1" applyFont="1" applyBorder="1" applyAlignment="1">
      <alignment horizontal="center" vertical="center"/>
    </xf>
    <xf numFmtId="12" fontId="10" fillId="63" borderId="1" xfId="0" applyNumberFormat="1" applyFont="1" applyFill="1" applyBorder="1" applyAlignment="1">
      <alignment horizontal="center" vertical="center"/>
    </xf>
    <xf numFmtId="174" fontId="0" fillId="0" borderId="0" xfId="0" applyNumberForma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4" borderId="30" xfId="0" applyNumberFormat="1" applyFont="1" applyFill="1" applyBorder="1" applyAlignment="1">
      <alignment horizontal="center"/>
    </xf>
    <xf numFmtId="37" fontId="0" fillId="0" borderId="0" xfId="0" applyNumberFormat="1"/>
    <xf numFmtId="3" fontId="9" fillId="64" borderId="0" xfId="0" applyNumberFormat="1" applyFont="1" applyFill="1" applyAlignment="1">
      <alignment horizontal="center"/>
    </xf>
    <xf numFmtId="3" fontId="0" fillId="64" borderId="0" xfId="0" applyNumberFormat="1" applyFill="1" applyAlignment="1">
      <alignment horizontal="center"/>
    </xf>
    <xf numFmtId="3" fontId="9" fillId="64" borderId="3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169" fontId="0" fillId="0" borderId="0" xfId="0" applyNumberFormat="1"/>
    <xf numFmtId="37" fontId="10" fillId="65" borderId="1" xfId="0" applyNumberFormat="1" applyFont="1" applyFill="1" applyBorder="1" applyAlignment="1">
      <alignment horizontal="center"/>
    </xf>
    <xf numFmtId="180" fontId="0" fillId="0" borderId="0" xfId="0" applyNumberFormat="1" applyAlignment="1">
      <alignment horizontal="center"/>
    </xf>
    <xf numFmtId="3" fontId="9" fillId="4" borderId="31" xfId="0" applyNumberFormat="1" applyFont="1" applyFill="1" applyBorder="1" applyAlignment="1">
      <alignment horizontal="center"/>
    </xf>
    <xf numFmtId="181" fontId="0" fillId="0" borderId="0" xfId="0" applyNumberFormat="1"/>
    <xf numFmtId="9" fontId="0" fillId="0" borderId="0" xfId="0" applyNumberFormat="1"/>
    <xf numFmtId="182" fontId="0" fillId="0" borderId="0" xfId="0" applyNumberFormat="1"/>
    <xf numFmtId="10" fontId="0" fillId="0" borderId="0" xfId="0" applyNumberFormat="1"/>
    <xf numFmtId="166" fontId="0" fillId="0" borderId="0" xfId="1" applyFont="1" applyFill="1" applyBorder="1" applyAlignment="1"/>
    <xf numFmtId="3" fontId="0" fillId="66" borderId="0" xfId="0" applyNumberFormat="1" applyFill="1" applyAlignment="1">
      <alignment horizontal="center" wrapText="1"/>
    </xf>
    <xf numFmtId="166" fontId="0" fillId="0" borderId="2" xfId="1" applyFont="1" applyFill="1" applyBorder="1" applyAlignment="1"/>
    <xf numFmtId="166" fontId="0" fillId="0" borderId="0" xfId="1" applyFont="1"/>
    <xf numFmtId="172" fontId="0" fillId="0" borderId="0" xfId="1" applyNumberFormat="1" applyFont="1"/>
    <xf numFmtId="172" fontId="0" fillId="67" borderId="0" xfId="1" applyNumberFormat="1" applyFont="1" applyFill="1"/>
    <xf numFmtId="43" fontId="0" fillId="0" borderId="0" xfId="0" applyNumberFormat="1"/>
    <xf numFmtId="3" fontId="0" fillId="64" borderId="1" xfId="0" applyNumberFormat="1" applyFill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78" fillId="0" borderId="0" xfId="0" applyFont="1"/>
    <xf numFmtId="3" fontId="9" fillId="4" borderId="30" xfId="0" applyNumberFormat="1" applyFont="1" applyFill="1" applyBorder="1" applyAlignment="1">
      <alignment horizontal="center"/>
    </xf>
    <xf numFmtId="17" fontId="0" fillId="0" borderId="0" xfId="0" applyNumberFormat="1" applyAlignment="1">
      <alignment horizontal="right"/>
    </xf>
    <xf numFmtId="0" fontId="0" fillId="4" borderId="0" xfId="0" applyFill="1" applyAlignment="1">
      <alignment horizontal="center"/>
    </xf>
    <xf numFmtId="0" fontId="0" fillId="40" borderId="0" xfId="0" applyFill="1" applyAlignment="1">
      <alignment horizontal="center"/>
    </xf>
    <xf numFmtId="10" fontId="0" fillId="0" borderId="0" xfId="2" applyNumberFormat="1" applyFont="1"/>
    <xf numFmtId="10" fontId="80" fillId="0" borderId="0" xfId="2" applyNumberFormat="1" applyFont="1"/>
    <xf numFmtId="10" fontId="10" fillId="0" borderId="0" xfId="2" applyNumberFormat="1" applyFont="1" applyAlignment="1">
      <alignment horizontal="center"/>
    </xf>
    <xf numFmtId="172" fontId="0" fillId="40" borderId="0" xfId="1" applyNumberFormat="1" applyFont="1" applyFill="1" applyAlignment="1">
      <alignment horizontal="center"/>
    </xf>
    <xf numFmtId="0" fontId="0" fillId="39" borderId="0" xfId="0" applyFill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14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Continuous"/>
    </xf>
  </cellXfs>
  <cellStyles count="1649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P56"/>
  <sheetViews>
    <sheetView tabSelected="1" workbookViewId="0">
      <selection activeCell="R26" sqref="R26"/>
    </sheetView>
  </sheetViews>
  <sheetFormatPr defaultRowHeight="12.75" x14ac:dyDescent="0.2"/>
  <cols>
    <col min="1" max="1" width="42.5703125" customWidth="1"/>
    <col min="2" max="2" width="14" customWidth="1"/>
    <col min="3" max="11" width="12.5703125" customWidth="1"/>
    <col min="12" max="12" width="12.5703125" bestFit="1" customWidth="1"/>
    <col min="13" max="13" width="13" customWidth="1"/>
  </cols>
  <sheetData>
    <row r="1" spans="1:16" ht="15.75" x14ac:dyDescent="0.25">
      <c r="A1" s="27" t="s">
        <v>115</v>
      </c>
    </row>
    <row r="2" spans="1:16" x14ac:dyDescent="0.2">
      <c r="L2" s="29" t="s">
        <v>89</v>
      </c>
      <c r="M2" s="29" t="s">
        <v>90</v>
      </c>
    </row>
    <row r="3" spans="1:16" ht="25.5" x14ac:dyDescent="0.2">
      <c r="B3" s="29" t="s">
        <v>62</v>
      </c>
      <c r="C3" s="29" t="s">
        <v>54</v>
      </c>
      <c r="D3" s="29" t="s">
        <v>55</v>
      </c>
      <c r="E3" s="29" t="s">
        <v>56</v>
      </c>
      <c r="F3" s="29" t="s">
        <v>58</v>
      </c>
      <c r="G3" s="29" t="s">
        <v>59</v>
      </c>
      <c r="H3" s="29" t="s">
        <v>63</v>
      </c>
      <c r="I3" s="29" t="s">
        <v>64</v>
      </c>
      <c r="J3" s="29" t="s">
        <v>65</v>
      </c>
      <c r="K3" s="29" t="s">
        <v>103</v>
      </c>
      <c r="L3" s="29" t="s">
        <v>81</v>
      </c>
      <c r="M3" s="29" t="s">
        <v>81</v>
      </c>
    </row>
    <row r="4" spans="1:16" x14ac:dyDescent="0.2">
      <c r="A4" s="14" t="s">
        <v>47</v>
      </c>
      <c r="B4" s="21">
        <f>'Power Purchased Model'!B153</f>
        <v>171745150.64851713</v>
      </c>
      <c r="C4" s="21">
        <f>'Power Purchased Model'!B154</f>
        <v>161340666.03215581</v>
      </c>
      <c r="D4" s="21">
        <f>'Power Purchased Model'!B155</f>
        <v>153621850.24421027</v>
      </c>
      <c r="E4" s="21">
        <f>'Power Purchased Model'!B156</f>
        <v>153601438.30796361</v>
      </c>
      <c r="F4" s="21">
        <f>'Power Purchased Model'!B157</f>
        <v>164183423.06716841</v>
      </c>
      <c r="G4" s="21">
        <f>'Power Purchased Model'!B158</f>
        <v>170763271.17427856</v>
      </c>
      <c r="H4" s="21">
        <f>'Power Purchased Model'!B159</f>
        <v>169249437.18097067</v>
      </c>
      <c r="I4" s="21">
        <f>'Power Purchased Model'!B160</f>
        <v>171843921.17852038</v>
      </c>
      <c r="J4" s="21">
        <f>'Power Purchased Model'!B161</f>
        <v>186081780.47160706</v>
      </c>
      <c r="K4" s="37">
        <f>'Power Purchased Model'!B162</f>
        <v>180832501.09189534</v>
      </c>
    </row>
    <row r="5" spans="1:16" x14ac:dyDescent="0.2">
      <c r="A5" s="14" t="s">
        <v>48</v>
      </c>
      <c r="B5" s="21">
        <f>'Power Purchased Model'!H153</f>
        <v>164187706.6251857</v>
      </c>
      <c r="C5" s="21">
        <f>'Power Purchased Model'!H154</f>
        <v>160701526.82074359</v>
      </c>
      <c r="D5" s="21">
        <f>'Power Purchased Model'!H155</f>
        <v>156492227.96453741</v>
      </c>
      <c r="E5" s="21">
        <f>'Power Purchased Model'!H156</f>
        <v>157178402.83688119</v>
      </c>
      <c r="F5" s="21">
        <f>'Power Purchased Model'!H157</f>
        <v>164596023.3933742</v>
      </c>
      <c r="G5" s="21">
        <f>'Power Purchased Model'!H158</f>
        <v>170113460.73694792</v>
      </c>
      <c r="H5" s="21">
        <f>'Power Purchased Model'!H159</f>
        <v>171442235.84261203</v>
      </c>
      <c r="I5" s="21">
        <f>'Power Purchased Model'!H160</f>
        <v>174793689.91380933</v>
      </c>
      <c r="J5" s="21">
        <f>'Power Purchased Model'!H161</f>
        <v>183321441.11809194</v>
      </c>
      <c r="K5" s="21">
        <f>'Power Purchased Model'!H162</f>
        <v>180436724.14510307</v>
      </c>
      <c r="L5" s="98">
        <f>'Power Purchased Model'!H163</f>
        <v>184244659.33247316</v>
      </c>
      <c r="M5" s="98">
        <f>'Power Purchased Model'!H164</f>
        <v>184643786.03367603</v>
      </c>
    </row>
    <row r="6" spans="1:16" x14ac:dyDescent="0.2">
      <c r="A6" s="14" t="s">
        <v>6</v>
      </c>
      <c r="B6" s="28">
        <f t="shared" ref="B6:J6" si="0">(B5-B4)/B4</f>
        <v>-4.40038277342574E-2</v>
      </c>
      <c r="C6" s="28">
        <f t="shared" si="0"/>
        <v>-3.9614266330401677E-3</v>
      </c>
      <c r="D6" s="28">
        <f t="shared" si="0"/>
        <v>1.8684696973536929E-2</v>
      </c>
      <c r="E6" s="28">
        <f t="shared" si="0"/>
        <v>2.3287311423125717E-2</v>
      </c>
      <c r="F6" s="28">
        <f t="shared" si="0"/>
        <v>2.5130449743211458E-3</v>
      </c>
      <c r="G6" s="28">
        <f t="shared" si="0"/>
        <v>-3.8053290550252236E-3</v>
      </c>
      <c r="H6" s="28">
        <f t="shared" si="0"/>
        <v>1.2956017450720975E-2</v>
      </c>
      <c r="I6" s="28">
        <f t="shared" si="0"/>
        <v>1.7165394708519105E-2</v>
      </c>
      <c r="J6" s="28">
        <f t="shared" si="0"/>
        <v>-1.4834011940982581E-2</v>
      </c>
    </row>
    <row r="7" spans="1:16" x14ac:dyDescent="0.2">
      <c r="A7" s="14"/>
      <c r="B7" s="28"/>
      <c r="C7" s="28"/>
      <c r="D7" s="28"/>
      <c r="E7" s="28"/>
      <c r="F7" s="28"/>
      <c r="G7" s="28"/>
      <c r="H7" s="28"/>
      <c r="I7" s="28"/>
      <c r="J7" s="28"/>
      <c r="K7" s="21"/>
      <c r="L7" s="21"/>
      <c r="M7" s="21"/>
    </row>
    <row r="8" spans="1:16" x14ac:dyDescent="0.2">
      <c r="A8" s="14"/>
      <c r="B8" s="28"/>
      <c r="C8" s="28"/>
      <c r="D8" s="28"/>
      <c r="E8" s="28"/>
      <c r="F8" s="28"/>
      <c r="G8" s="28"/>
      <c r="H8" s="28"/>
      <c r="I8" s="28"/>
      <c r="J8" s="28"/>
      <c r="K8" s="37"/>
      <c r="L8" s="37"/>
      <c r="M8" s="37"/>
    </row>
    <row r="9" spans="1:16" x14ac:dyDescent="0.2">
      <c r="A9" s="14"/>
      <c r="B9" s="28"/>
      <c r="C9" s="28"/>
      <c r="D9" s="28"/>
      <c r="E9" s="28"/>
      <c r="F9" s="28"/>
      <c r="G9" s="28"/>
      <c r="H9" s="28"/>
      <c r="I9" s="28"/>
      <c r="J9" s="28"/>
    </row>
    <row r="10" spans="1:16" x14ac:dyDescent="0.2">
      <c r="A10" s="14" t="s">
        <v>60</v>
      </c>
      <c r="B10" s="6">
        <f>'Rate Class Energy Model'!G3</f>
        <v>157817675.29999998</v>
      </c>
      <c r="C10" s="6">
        <f>'Rate Class Energy Model'!G4</f>
        <v>149942657.90000004</v>
      </c>
      <c r="D10" s="6">
        <f>'Rate Class Energy Model'!G5</f>
        <v>143586267.20000002</v>
      </c>
      <c r="E10" s="6">
        <f>'Rate Class Energy Model'!G6</f>
        <v>143550927.09999999</v>
      </c>
      <c r="F10" s="6">
        <f>'Rate Class Energy Model'!G7</f>
        <v>152932155.37520856</v>
      </c>
      <c r="G10" s="6">
        <f>'Rate Class Energy Model'!G8</f>
        <v>157336496.53377673</v>
      </c>
      <c r="H10" s="6">
        <f>'Rate Class Energy Model'!G9</f>
        <v>153566803.85089642</v>
      </c>
      <c r="I10" s="6">
        <f>'Rate Class Energy Model'!G10</f>
        <v>158294414.09167749</v>
      </c>
      <c r="J10" s="6">
        <f>'Rate Class Energy Model'!G11</f>
        <v>170583239.32670692</v>
      </c>
      <c r="K10" s="6">
        <f>'Rate Class Energy Model'!G12</f>
        <v>166914969.09999999</v>
      </c>
      <c r="L10" s="6">
        <f>'Rate Class Energy Model'!G13</f>
        <v>169450182.93461293</v>
      </c>
      <c r="M10" s="6">
        <f>'Rate Class Energy Model'!G14</f>
        <v>169817260.56268612</v>
      </c>
      <c r="O10" s="37"/>
    </row>
    <row r="11" spans="1:16" x14ac:dyDescent="0.2">
      <c r="A11" s="14"/>
      <c r="K11" s="6"/>
      <c r="O11" s="111"/>
    </row>
    <row r="12" spans="1:16" ht="15.75" x14ac:dyDescent="0.25">
      <c r="A12" s="27" t="s">
        <v>49</v>
      </c>
      <c r="B12" s="1"/>
      <c r="D12" s="1"/>
      <c r="G12" s="37"/>
    </row>
    <row r="13" spans="1:16" x14ac:dyDescent="0.2">
      <c r="A13" s="26" t="str">
        <f>'Rate Class Energy Model'!H2</f>
        <v>R1(i) Residential</v>
      </c>
      <c r="B13" s="1"/>
      <c r="C13" s="1"/>
      <c r="D13" s="1"/>
      <c r="G13" s="6"/>
      <c r="H13" s="6"/>
      <c r="I13" s="6"/>
      <c r="J13" s="6"/>
      <c r="K13" s="6"/>
      <c r="L13" s="6"/>
      <c r="M13" s="6"/>
    </row>
    <row r="14" spans="1:16" x14ac:dyDescent="0.2">
      <c r="A14" t="s">
        <v>41</v>
      </c>
      <c r="B14" s="6">
        <f>'Rate Class Customer Model'!B3</f>
        <v>7397.916666666667</v>
      </c>
      <c r="C14" s="6">
        <f>'Rate Class Customer Model'!B4</f>
        <v>7479.5</v>
      </c>
      <c r="D14" s="6">
        <f>'Rate Class Customer Model'!B5</f>
        <v>7543.75</v>
      </c>
      <c r="E14" s="6">
        <f>'Rate Class Customer Model'!B6</f>
        <v>7596.416666666667</v>
      </c>
      <c r="F14" s="6">
        <f>'Rate Class Customer Model'!B7</f>
        <v>7639.75</v>
      </c>
      <c r="G14" s="6">
        <f>'Rate Class Customer Model'!B8</f>
        <v>7697.5</v>
      </c>
      <c r="H14" s="6">
        <f>'Rate Class Customer Model'!B9</f>
        <v>7924.5</v>
      </c>
      <c r="I14" s="6">
        <f>'Rate Class Customer Model'!B10</f>
        <v>8204.5</v>
      </c>
      <c r="J14" s="6">
        <f>'Rate Class Customer Model'!B11</f>
        <v>8360.5</v>
      </c>
      <c r="K14" s="6">
        <f>'Rate Class Customer Model'!B12</f>
        <v>8485</v>
      </c>
      <c r="L14" s="6">
        <f>'Rate Class Customer Model'!B13</f>
        <v>8566.6002674063275</v>
      </c>
      <c r="M14" s="6">
        <f>'Rate Class Customer Model'!B14</f>
        <v>8634.8849400222571</v>
      </c>
      <c r="N14" s="37"/>
      <c r="O14" s="37"/>
      <c r="P14" s="37"/>
    </row>
    <row r="15" spans="1:16" x14ac:dyDescent="0.2">
      <c r="A15" t="s">
        <v>42</v>
      </c>
      <c r="B15" s="6">
        <f>'Rate Class Energy Model'!H3</f>
        <v>85393126</v>
      </c>
      <c r="C15" s="6">
        <f>'Rate Class Energy Model'!H4</f>
        <v>80876149.5</v>
      </c>
      <c r="D15" s="36">
        <f>'Rate Class Energy Model'!H5</f>
        <v>75910135.700000003</v>
      </c>
      <c r="E15" s="6">
        <f>'Rate Class Energy Model'!H6</f>
        <v>76321855.799999997</v>
      </c>
      <c r="F15" s="6">
        <f>'Rate Class Energy Model'!H7</f>
        <v>82424404.340000227</v>
      </c>
      <c r="G15" s="6">
        <f>'Rate Class Energy Model'!H8</f>
        <v>86629135.540000111</v>
      </c>
      <c r="H15" s="6">
        <f>'Rate Class Energy Model'!H9</f>
        <v>91478383.059998766</v>
      </c>
      <c r="I15" s="6">
        <f>'Rate Class Energy Model'!H10</f>
        <v>92005689.629998744</v>
      </c>
      <c r="J15" s="6">
        <f>'Rate Class Energy Model'!H11</f>
        <v>99292265.290000916</v>
      </c>
      <c r="K15" s="6">
        <f>'Rate Class Energy Model'!H12</f>
        <v>96395846</v>
      </c>
      <c r="L15" s="6">
        <f>'Rate Class Energy Model'!H32</f>
        <v>98110107.415067628</v>
      </c>
      <c r="M15" s="6">
        <f>'Rate Class Energy Model'!H33</f>
        <v>99118974.551530093</v>
      </c>
    </row>
    <row r="16" spans="1:16" x14ac:dyDescent="0.2"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 x14ac:dyDescent="0.2">
      <c r="A17" s="26" t="str">
        <f>'Rate Class Energy Model'!I2</f>
        <v>R1(ii) GS &lt; 50 kW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13.5" customHeight="1" x14ac:dyDescent="0.2">
      <c r="A18" t="s">
        <v>41</v>
      </c>
      <c r="B18" s="6">
        <f>'Rate Class Customer Model'!C3</f>
        <v>955.66666666666663</v>
      </c>
      <c r="C18" s="6">
        <f>'Rate Class Customer Model'!C4</f>
        <v>954.25</v>
      </c>
      <c r="D18" s="6">
        <f>'Rate Class Customer Model'!C5</f>
        <v>951.16666666666663</v>
      </c>
      <c r="E18" s="6">
        <f>'Rate Class Customer Model'!C6</f>
        <v>961.16666666666663</v>
      </c>
      <c r="F18" s="6">
        <f>'Rate Class Customer Model'!C7</f>
        <v>960.91666666666663</v>
      </c>
      <c r="G18" s="6">
        <f>'Rate Class Customer Model'!C8</f>
        <v>951</v>
      </c>
      <c r="H18" s="6">
        <f>'Rate Class Customer Model'!C9</f>
        <v>968.5</v>
      </c>
      <c r="I18" s="6">
        <f>'Rate Class Customer Model'!C10</f>
        <v>998.5</v>
      </c>
      <c r="J18" s="6">
        <f>'Rate Class Customer Model'!C11</f>
        <v>1025</v>
      </c>
      <c r="K18" s="6">
        <f>'Rate Class Customer Model'!C12</f>
        <v>1055</v>
      </c>
      <c r="L18" s="6">
        <f>'Rate Class Customer Model'!C13</f>
        <v>1071.6069871659804</v>
      </c>
      <c r="M18" s="6">
        <f>'Rate Class Customer Model'!C14</f>
        <v>1070.55837274188</v>
      </c>
    </row>
    <row r="19" spans="1:13" x14ac:dyDescent="0.2">
      <c r="A19" t="s">
        <v>42</v>
      </c>
      <c r="B19" s="6">
        <f>'Rate Class Energy Model'!I3</f>
        <v>27212831</v>
      </c>
      <c r="C19" s="6">
        <f>'Rate Class Energy Model'!I4</f>
        <v>26130351</v>
      </c>
      <c r="D19" s="6">
        <f>'Rate Class Energy Model'!I5</f>
        <v>24984442</v>
      </c>
      <c r="E19" s="6">
        <f>'Rate Class Energy Model'!I6</f>
        <v>25604789</v>
      </c>
      <c r="F19" s="6">
        <f>'Rate Class Energy Model'!I7</f>
        <v>26132430.019999992</v>
      </c>
      <c r="G19" s="6">
        <f>'Rate Class Energy Model'!I8</f>
        <v>26695948.809999999</v>
      </c>
      <c r="H19" s="6">
        <f>'Rate Class Energy Model'!I9</f>
        <v>27143066.610000066</v>
      </c>
      <c r="I19" s="6">
        <f>'Rate Class Energy Model'!I10</f>
        <v>27745373.102553256</v>
      </c>
      <c r="J19" s="6">
        <f>'Rate Class Energy Model'!I11</f>
        <v>29567137.169999924</v>
      </c>
      <c r="K19" s="6">
        <f>'Rate Class Energy Model'!I12</f>
        <v>28496501</v>
      </c>
      <c r="L19" s="6">
        <f>'Rate Class Energy Model'!I32</f>
        <v>29179200.675898679</v>
      </c>
      <c r="M19" s="6">
        <f>'Rate Class Energy Model'!I33</f>
        <v>29217510.122523241</v>
      </c>
    </row>
    <row r="20" spans="1:13" x14ac:dyDescent="0.2">
      <c r="B20" s="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1:13" x14ac:dyDescent="0.2">
      <c r="A21" s="26" t="str">
        <f>'Rate Class Energy Model'!J2</f>
        <v>R2 GS&gt;50 kW</v>
      </c>
      <c r="B21" s="1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 x14ac:dyDescent="0.2">
      <c r="A22" t="s">
        <v>41</v>
      </c>
      <c r="B22" s="6">
        <f>'Rate Class Customer Model'!D3</f>
        <v>43.416666666666664</v>
      </c>
      <c r="C22" s="6">
        <f>'Rate Class Customer Model'!D4</f>
        <v>42.166666666666664</v>
      </c>
      <c r="D22" s="6">
        <f>'Rate Class Customer Model'!D5</f>
        <v>42.083333333333336</v>
      </c>
      <c r="E22" s="6">
        <f>'Rate Class Customer Model'!D6</f>
        <v>38.166666666666664</v>
      </c>
      <c r="F22" s="6">
        <f>'Rate Class Customer Model'!D7</f>
        <v>39.75</v>
      </c>
      <c r="G22" s="6">
        <f>'Rate Class Customer Model'!D8</f>
        <v>39.5</v>
      </c>
      <c r="H22" s="6">
        <f>'Rate Class Customer Model'!D9</f>
        <v>40.5</v>
      </c>
      <c r="I22" s="6">
        <f>'Rate Class Customer Model'!D10</f>
        <v>42.5</v>
      </c>
      <c r="J22" s="6">
        <f>'Rate Class Customer Model'!D11</f>
        <v>45.5</v>
      </c>
      <c r="K22" s="6">
        <f>'Rate Class Customer Model'!D12</f>
        <v>47</v>
      </c>
      <c r="L22" s="6">
        <f>'Rate Class Customer Model'!D13</f>
        <v>47</v>
      </c>
      <c r="M22" s="6">
        <f>'Rate Class Customer Model'!D14</f>
        <v>46.119647750507838</v>
      </c>
    </row>
    <row r="23" spans="1:13" x14ac:dyDescent="0.2">
      <c r="A23" t="s">
        <v>42</v>
      </c>
      <c r="B23" s="6">
        <f>'Rate Class Energy Model'!J3</f>
        <v>36514881.599999994</v>
      </c>
      <c r="C23" s="6">
        <f>'Rate Class Energy Model'!J4</f>
        <v>35325071.100000009</v>
      </c>
      <c r="D23" s="6">
        <f>'Rate Class Energy Model'!J5</f>
        <v>35902088.099999994</v>
      </c>
      <c r="E23" s="6">
        <f>'Rate Class Energy Model'!J6</f>
        <v>34999292.600000001</v>
      </c>
      <c r="F23" s="6">
        <f>'Rate Class Energy Model'!J7</f>
        <v>37751954.725208387</v>
      </c>
      <c r="G23" s="6">
        <f>'Rate Class Energy Model'!J8</f>
        <v>37167864.813776672</v>
      </c>
      <c r="H23" s="6">
        <f>'Rate Class Energy Model'!J9</f>
        <v>27823509.320897639</v>
      </c>
      <c r="I23" s="6">
        <f>'Rate Class Energy Model'!J10</f>
        <v>31525027.7291255</v>
      </c>
      <c r="J23" s="6">
        <f>'Rate Class Energy Model'!J11</f>
        <v>34590064.52670604</v>
      </c>
      <c r="K23" s="6">
        <f>'Rate Class Energy Model'!J12</f>
        <v>35361268.099999994</v>
      </c>
      <c r="L23" s="6">
        <f>'Rate Class Energy Model'!J32</f>
        <v>35586624.376032606</v>
      </c>
      <c r="M23" s="6">
        <f>'Rate Class Energy Model'!J33</f>
        <v>172482672.54828715</v>
      </c>
    </row>
    <row r="24" spans="1:13" x14ac:dyDescent="0.2">
      <c r="A24" t="s">
        <v>43</v>
      </c>
      <c r="B24" s="6">
        <f>'Rate Class Load Model'!B2</f>
        <v>114858.11799999999</v>
      </c>
      <c r="C24" s="6">
        <f>'Rate Class Load Model'!B3</f>
        <v>116152.19200000001</v>
      </c>
      <c r="D24" s="6">
        <f>'Rate Class Load Model'!B4</f>
        <v>122061.651</v>
      </c>
      <c r="E24" s="6">
        <f>'Rate Class Load Model'!B5</f>
        <v>110211.573</v>
      </c>
      <c r="F24" s="6">
        <f>'Rate Class Load Model'!B6</f>
        <v>118785.50000000001</v>
      </c>
      <c r="G24" s="6">
        <f>'Rate Class Load Model'!B7</f>
        <v>116849.88000000005</v>
      </c>
      <c r="H24" s="6">
        <f>'Rate Class Load Model'!B8</f>
        <v>101786.54000000004</v>
      </c>
      <c r="I24" s="6">
        <f>'Rate Class Load Model'!B9</f>
        <v>110572.30400000003</v>
      </c>
      <c r="J24" s="6">
        <f>'Rate Class Load Model'!B10</f>
        <v>115562.70999999988</v>
      </c>
      <c r="K24" s="6">
        <f>'Rate Class Load Model'!B11</f>
        <v>121978.74000000002</v>
      </c>
      <c r="L24" s="6">
        <f>'Rate Class Load Model'!B12</f>
        <v>118250.43786564005</v>
      </c>
      <c r="M24" s="6">
        <f>'Rate Class Load Model'!B13</f>
        <v>345622.504099724</v>
      </c>
    </row>
    <row r="25" spans="1:13" x14ac:dyDescent="0.2">
      <c r="B25" s="6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</row>
    <row r="26" spans="1:13" x14ac:dyDescent="0.2">
      <c r="A26" s="26" t="str">
        <f>'Rate Class Energy Model'!K2</f>
        <v>Seasonal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1:13" x14ac:dyDescent="0.2">
      <c r="A27" t="s">
        <v>44</v>
      </c>
      <c r="B27" s="6">
        <f>'Rate Class Customer Model'!E3</f>
        <v>3254.5</v>
      </c>
      <c r="C27" s="6">
        <f>'Rate Class Customer Model'!E4</f>
        <v>3175.9166666666665</v>
      </c>
      <c r="D27" s="6">
        <f>'Rate Class Customer Model'!E5</f>
        <v>3139.9166666666665</v>
      </c>
      <c r="E27" s="6">
        <f>'Rate Class Customer Model'!E6</f>
        <v>3108.0833333333335</v>
      </c>
      <c r="F27" s="6">
        <f>'Rate Class Customer Model'!E7</f>
        <v>3076.4166666666665</v>
      </c>
      <c r="G27" s="6">
        <f>'Rate Class Customer Model'!E8</f>
        <v>3038.5</v>
      </c>
      <c r="H27" s="6">
        <f>'Rate Class Customer Model'!E9</f>
        <v>2989.5</v>
      </c>
      <c r="I27" s="6">
        <f>'Rate Class Customer Model'!E10</f>
        <v>2925</v>
      </c>
      <c r="J27" s="6">
        <f>'Rate Class Customer Model'!E11</f>
        <v>2848.5</v>
      </c>
      <c r="K27" s="6">
        <f>'Rate Class Customer Model'!E12</f>
        <v>2793</v>
      </c>
      <c r="L27" s="6">
        <f>'Rate Class Customer Model'!E13</f>
        <v>2756.4148805697369</v>
      </c>
      <c r="M27" s="6">
        <f>'Rate Class Customer Model'!E14</f>
        <v>2718.8145082649953</v>
      </c>
    </row>
    <row r="28" spans="1:13" x14ac:dyDescent="0.2">
      <c r="A28" t="s">
        <v>42</v>
      </c>
      <c r="B28" s="6">
        <f>'Rate Class Energy Model'!K3</f>
        <v>7919568</v>
      </c>
      <c r="C28" s="6">
        <f>'Rate Class Energy Model'!K4</f>
        <v>6868390</v>
      </c>
      <c r="D28" s="6">
        <f>'Rate Class Energy Model'!K5</f>
        <v>6205026</v>
      </c>
      <c r="E28" s="6">
        <f>'Rate Class Energy Model'!K6</f>
        <v>6042453</v>
      </c>
      <c r="F28" s="6">
        <f>'Rate Class Energy Model'!K7</f>
        <v>6046269.2899999535</v>
      </c>
      <c r="G28" s="6">
        <f>'Rate Class Energy Model'!K8</f>
        <v>6277417.3699999545</v>
      </c>
      <c r="H28" s="6">
        <f>'Rate Class Energy Model'!K9</f>
        <v>6529262.7599999467</v>
      </c>
      <c r="I28" s="6">
        <f>'Rate Class Energy Model'!K10</f>
        <v>6424167.5299999965</v>
      </c>
      <c r="J28" s="6">
        <f>'Rate Class Energy Model'!K11</f>
        <v>6540797.4400000293</v>
      </c>
      <c r="K28" s="6">
        <f>'Rate Class Energy Model'!K12</f>
        <v>6123988</v>
      </c>
      <c r="L28" s="6">
        <f>'Rate Class Energy Model'!K32</f>
        <v>6043770.7309812028</v>
      </c>
      <c r="M28" s="6">
        <f>'Rate Class Energy Model'!K33</f>
        <v>5961327.3980811778</v>
      </c>
    </row>
    <row r="29" spans="1:13" x14ac:dyDescent="0.2"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</row>
    <row r="30" spans="1:13" x14ac:dyDescent="0.2">
      <c r="A30" s="26" t="str">
        <f>'Rate Class Energy Model'!L2</f>
        <v>Street Lights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</row>
    <row r="31" spans="1:13" x14ac:dyDescent="0.2">
      <c r="A31" t="s">
        <v>44</v>
      </c>
      <c r="B31" s="6">
        <f>'Rate Class Customer Model'!F3</f>
        <v>1018.5833333333334</v>
      </c>
      <c r="C31" s="6">
        <f>'Rate Class Customer Model'!F4</f>
        <v>1022.6666666666666</v>
      </c>
      <c r="D31" s="6">
        <f>'Rate Class Customer Model'!F5</f>
        <v>1066.3333333333333</v>
      </c>
      <c r="E31" s="6">
        <f>'Rate Class Customer Model'!F6</f>
        <v>1070</v>
      </c>
      <c r="F31" s="6">
        <f>'Rate Class Customer Model'!F7</f>
        <v>1067.0833333333333</v>
      </c>
      <c r="G31" s="6">
        <f>'Rate Class Customer Model'!F8</f>
        <v>1074.5</v>
      </c>
      <c r="H31" s="6">
        <f>'Rate Class Customer Model'!F9</f>
        <v>1105</v>
      </c>
      <c r="I31" s="6">
        <f>'Rate Class Customer Model'!F10</f>
        <v>1141</v>
      </c>
      <c r="J31" s="6">
        <f>'Rate Class Customer Model'!F11</f>
        <v>1146</v>
      </c>
      <c r="K31" s="6">
        <f>'Rate Class Customer Model'!F12</f>
        <v>1131.5</v>
      </c>
      <c r="L31" s="6">
        <f>'Rate Class Customer Model'!F13</f>
        <v>1117</v>
      </c>
      <c r="M31" s="6">
        <f>'Rate Class Customer Model'!F14</f>
        <v>1129.0031247807513</v>
      </c>
    </row>
    <row r="32" spans="1:13" x14ac:dyDescent="0.2">
      <c r="A32" t="s">
        <v>42</v>
      </c>
      <c r="B32" s="6">
        <f>'Rate Class Energy Model'!L3</f>
        <v>777268.7</v>
      </c>
      <c r="C32" s="6">
        <f>'Rate Class Energy Model'!L4</f>
        <v>742696.3</v>
      </c>
      <c r="D32" s="6">
        <f>'Rate Class Energy Model'!L5</f>
        <v>584575.4</v>
      </c>
      <c r="E32" s="6">
        <f>'Rate Class Energy Model'!L6</f>
        <v>582536.69999999995</v>
      </c>
      <c r="F32" s="6">
        <f>'Rate Class Energy Model'!L7</f>
        <v>577097.00000000012</v>
      </c>
      <c r="G32" s="6">
        <f>'Rate Class Energy Model'!L8</f>
        <v>566130.00000000012</v>
      </c>
      <c r="H32" s="6">
        <f>'Rate Class Energy Model'!L9</f>
        <v>592582.10000000009</v>
      </c>
      <c r="I32" s="6">
        <f>'Rate Class Energy Model'!L10</f>
        <v>594156.09999999986</v>
      </c>
      <c r="J32" s="6">
        <f>'Rate Class Energy Model'!L11</f>
        <v>592974.89999999991</v>
      </c>
      <c r="K32" s="6">
        <f>'Rate Class Energy Model'!L12</f>
        <v>537366</v>
      </c>
      <c r="L32" s="6">
        <f>'Rate Class Energy Model'!L32</f>
        <v>530479.73663278832</v>
      </c>
      <c r="M32" s="6">
        <f>'Rate Class Energy Model'!L33</f>
        <v>536180.1972169095</v>
      </c>
    </row>
    <row r="33" spans="1:13" x14ac:dyDescent="0.2">
      <c r="A33" t="s">
        <v>43</v>
      </c>
      <c r="B33" s="6">
        <f>'Rate Class Load Model'!C2</f>
        <v>2227</v>
      </c>
      <c r="C33" s="6">
        <f>'Rate Class Load Model'!C3</f>
        <v>2128</v>
      </c>
      <c r="D33" s="6">
        <f>'Rate Class Load Model'!C4</f>
        <v>1623</v>
      </c>
      <c r="E33" s="6">
        <f>'Rate Class Load Model'!C5</f>
        <v>1619</v>
      </c>
      <c r="F33" s="6">
        <f>'Rate Class Load Model'!C6</f>
        <v>1580.78</v>
      </c>
      <c r="G33" s="6">
        <f>'Rate Class Load Model'!C7</f>
        <v>1574</v>
      </c>
      <c r="H33" s="6">
        <f>'Rate Class Load Model'!C8</f>
        <v>1635.91</v>
      </c>
      <c r="I33" s="6">
        <f>'Rate Class Load Model'!C9</f>
        <v>1593.23</v>
      </c>
      <c r="J33" s="6">
        <f>'Rate Class Load Model'!C10</f>
        <v>1705.9</v>
      </c>
      <c r="K33" s="6">
        <f>'Rate Class Load Model'!C11</f>
        <v>1505</v>
      </c>
      <c r="L33" s="6">
        <f>'Rate Class Load Model'!C12</f>
        <v>1481.3733740889902</v>
      </c>
      <c r="M33" s="6">
        <f>'Rate Class Load Model'!C13</f>
        <v>1497.2920038616603</v>
      </c>
    </row>
    <row r="34" spans="1:13" x14ac:dyDescent="0.2"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</row>
    <row r="35" spans="1:13" x14ac:dyDescent="0.2"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</row>
    <row r="36" spans="1:13" x14ac:dyDescent="0.2">
      <c r="A36" s="26" t="s">
        <v>7</v>
      </c>
      <c r="B36" s="1"/>
      <c r="D36" s="1"/>
      <c r="G36" s="45"/>
    </row>
    <row r="37" spans="1:13" x14ac:dyDescent="0.2">
      <c r="A37" t="s">
        <v>46</v>
      </c>
      <c r="B37" s="6">
        <f>+B14+B18+B22+B27+B31</f>
        <v>12670.083333333334</v>
      </c>
      <c r="C37" s="6">
        <f t="shared" ref="C37:L37" si="1">+C14+C18+C22+C27+C31</f>
        <v>12674.499999999998</v>
      </c>
      <c r="D37" s="6">
        <f t="shared" si="1"/>
        <v>12743.25</v>
      </c>
      <c r="E37" s="6">
        <f t="shared" si="1"/>
        <v>12773.833333333334</v>
      </c>
      <c r="F37" s="6">
        <f t="shared" si="1"/>
        <v>12783.916666666666</v>
      </c>
      <c r="G37" s="6">
        <f t="shared" si="1"/>
        <v>12801</v>
      </c>
      <c r="H37" s="6">
        <f t="shared" si="1"/>
        <v>13028</v>
      </c>
      <c r="I37" s="6">
        <f t="shared" si="1"/>
        <v>13311.5</v>
      </c>
      <c r="J37" s="6">
        <f t="shared" si="1"/>
        <v>13425.5</v>
      </c>
      <c r="K37" s="6">
        <f t="shared" si="1"/>
        <v>13511.5</v>
      </c>
      <c r="L37" s="6">
        <f t="shared" si="1"/>
        <v>13558.622135142044</v>
      </c>
      <c r="M37" s="6">
        <f>+M14+M18+M22+M27+M31</f>
        <v>13599.38059356039</v>
      </c>
    </row>
    <row r="38" spans="1:13" x14ac:dyDescent="0.2">
      <c r="A38" t="s">
        <v>42</v>
      </c>
      <c r="B38" s="6">
        <f>+B15+B19+B23+B28+B32</f>
        <v>157817675.29999998</v>
      </c>
      <c r="C38" s="6">
        <f t="shared" ref="C38:L38" si="2">+C15+C19+C23+C28+C32</f>
        <v>149942657.90000004</v>
      </c>
      <c r="D38" s="6">
        <f t="shared" si="2"/>
        <v>143586267.20000002</v>
      </c>
      <c r="E38" s="6">
        <f t="shared" si="2"/>
        <v>143550927.09999999</v>
      </c>
      <c r="F38" s="6">
        <f t="shared" si="2"/>
        <v>152932155.37520856</v>
      </c>
      <c r="G38" s="6">
        <f t="shared" si="2"/>
        <v>157336496.53377673</v>
      </c>
      <c r="H38" s="6">
        <f t="shared" si="2"/>
        <v>153566803.85089642</v>
      </c>
      <c r="I38" s="6">
        <f t="shared" si="2"/>
        <v>158294414.09167749</v>
      </c>
      <c r="J38" s="6">
        <f t="shared" si="2"/>
        <v>170583239.32670692</v>
      </c>
      <c r="K38" s="6">
        <f t="shared" si="2"/>
        <v>166914969.09999999</v>
      </c>
      <c r="L38" s="6">
        <f t="shared" si="2"/>
        <v>169450182.93461293</v>
      </c>
      <c r="M38" s="6">
        <f>+M15+M19+M23+M28+M32</f>
        <v>307316664.81763858</v>
      </c>
    </row>
    <row r="39" spans="1:13" x14ac:dyDescent="0.2">
      <c r="A39" t="s">
        <v>45</v>
      </c>
      <c r="B39" s="6">
        <f>+B24+B33</f>
        <v>117085.11799999999</v>
      </c>
      <c r="C39" s="6">
        <f t="shared" ref="C39:M39" si="3">+C24+C33</f>
        <v>118280.19200000001</v>
      </c>
      <c r="D39" s="6">
        <f t="shared" si="3"/>
        <v>123684.651</v>
      </c>
      <c r="E39" s="6">
        <f t="shared" si="3"/>
        <v>111830.573</v>
      </c>
      <c r="F39" s="6">
        <f t="shared" si="3"/>
        <v>120366.28000000001</v>
      </c>
      <c r="G39" s="6">
        <f t="shared" si="3"/>
        <v>118423.88000000005</v>
      </c>
      <c r="H39" s="6">
        <f t="shared" si="3"/>
        <v>103422.45000000004</v>
      </c>
      <c r="I39" s="6">
        <f t="shared" si="3"/>
        <v>112165.53400000003</v>
      </c>
      <c r="J39" s="6">
        <f t="shared" si="3"/>
        <v>117268.60999999987</v>
      </c>
      <c r="K39" s="6">
        <f t="shared" si="3"/>
        <v>123483.74000000002</v>
      </c>
      <c r="L39" s="6">
        <f>+L24+L33</f>
        <v>119731.81123972904</v>
      </c>
      <c r="M39" s="6">
        <f t="shared" si="3"/>
        <v>347119.79610358569</v>
      </c>
    </row>
    <row r="40" spans="1:13" x14ac:dyDescent="0.2">
      <c r="B40" s="45"/>
      <c r="C40" s="1"/>
      <c r="D40" s="1"/>
      <c r="E40" s="1"/>
    </row>
    <row r="41" spans="1:13" x14ac:dyDescent="0.2">
      <c r="A41" t="s">
        <v>46</v>
      </c>
      <c r="B41" s="6">
        <f>'Rate Class Customer Model'!G3</f>
        <v>12670.083333333334</v>
      </c>
      <c r="C41" s="6">
        <f>'Rate Class Customer Model'!G4</f>
        <v>12674.499999999998</v>
      </c>
      <c r="D41" s="6">
        <f>'Rate Class Customer Model'!G5</f>
        <v>12743.25</v>
      </c>
      <c r="E41" s="6">
        <f>'Rate Class Customer Model'!G6</f>
        <v>12773.833333333334</v>
      </c>
      <c r="F41" s="6">
        <f>'Rate Class Customer Model'!G7</f>
        <v>12783.916666666666</v>
      </c>
      <c r="G41" s="6">
        <f>'Rate Class Customer Model'!G8</f>
        <v>12801</v>
      </c>
      <c r="H41" s="6">
        <f>'Rate Class Customer Model'!G9</f>
        <v>13028</v>
      </c>
      <c r="I41" s="6">
        <f>'Rate Class Customer Model'!G10</f>
        <v>13311.5</v>
      </c>
      <c r="J41" s="6">
        <f>'Rate Class Customer Model'!G11</f>
        <v>13425.5</v>
      </c>
      <c r="K41" s="6">
        <f>'Rate Class Customer Model'!G12</f>
        <v>13511.5</v>
      </c>
      <c r="L41" s="6">
        <f>'Rate Class Customer Model'!G13</f>
        <v>13558.622135142044</v>
      </c>
      <c r="M41" s="6">
        <f>'Rate Class Customer Model'!G14</f>
        <v>13599.38059356039</v>
      </c>
    </row>
    <row r="42" spans="1:13" x14ac:dyDescent="0.2">
      <c r="A42" t="s">
        <v>42</v>
      </c>
      <c r="B42" s="6">
        <f>'Rate Class Energy Model'!G3</f>
        <v>157817675.29999998</v>
      </c>
      <c r="C42" s="6">
        <f>'Rate Class Energy Model'!G4</f>
        <v>149942657.90000004</v>
      </c>
      <c r="D42" s="6">
        <f>'Rate Class Energy Model'!G5</f>
        <v>143586267.20000002</v>
      </c>
      <c r="E42" s="6">
        <f>'Rate Class Energy Model'!G6</f>
        <v>143550927.09999999</v>
      </c>
      <c r="F42" s="6">
        <f>'Rate Class Energy Model'!G7</f>
        <v>152932155.37520856</v>
      </c>
      <c r="G42" s="6">
        <f>'Rate Class Energy Model'!G8</f>
        <v>157336496.53377673</v>
      </c>
      <c r="H42" s="6">
        <f>'Rate Class Energy Model'!G9</f>
        <v>153566803.85089642</v>
      </c>
      <c r="I42" s="6">
        <f>'Rate Class Energy Model'!G10</f>
        <v>158294414.09167749</v>
      </c>
      <c r="J42" s="6">
        <f>'Rate Class Energy Model'!G11</f>
        <v>170583239.32670692</v>
      </c>
      <c r="K42" s="6">
        <f>'Rate Class Energy Model'!G12</f>
        <v>166914969.09999999</v>
      </c>
      <c r="L42" s="6">
        <f>'Rate Class Energy Model'!M32</f>
        <v>169450182.93461293</v>
      </c>
      <c r="M42" s="6">
        <f>'Rate Class Energy Model'!M33</f>
        <v>307316664.81763858</v>
      </c>
    </row>
    <row r="43" spans="1:13" x14ac:dyDescent="0.2">
      <c r="A43" t="s">
        <v>45</v>
      </c>
      <c r="B43" s="6">
        <f>'Rate Class Load Model'!D2</f>
        <v>117085.11799999999</v>
      </c>
      <c r="C43" s="6">
        <f>'Rate Class Load Model'!D3</f>
        <v>118280.19200000001</v>
      </c>
      <c r="D43" s="6">
        <f>'Rate Class Load Model'!D4</f>
        <v>123684.651</v>
      </c>
      <c r="E43" s="6">
        <f>'Rate Class Load Model'!D5</f>
        <v>111830.573</v>
      </c>
      <c r="F43" s="6">
        <f>'Rate Class Load Model'!D6</f>
        <v>120366.28000000001</v>
      </c>
      <c r="G43" s="6">
        <f>'Rate Class Load Model'!D7</f>
        <v>118423.88000000005</v>
      </c>
      <c r="H43" s="6">
        <f>'Rate Class Load Model'!D8</f>
        <v>103422.45000000004</v>
      </c>
      <c r="I43" s="6">
        <f>'Rate Class Load Model'!D9</f>
        <v>112165.53400000003</v>
      </c>
      <c r="J43" s="6">
        <f>'Rate Class Load Model'!D10</f>
        <v>117268.60999999987</v>
      </c>
      <c r="K43" s="6">
        <f>'Rate Class Load Model'!D11</f>
        <v>123483.74000000002</v>
      </c>
      <c r="L43" s="6">
        <f>'Rate Class Load Model'!D12</f>
        <v>119731.81123972904</v>
      </c>
      <c r="M43" s="6">
        <f>'Rate Class Load Model'!D13</f>
        <v>347119.79610358569</v>
      </c>
    </row>
    <row r="45" spans="1:13" hidden="1" x14ac:dyDescent="0.2">
      <c r="A45" t="s">
        <v>46</v>
      </c>
      <c r="G45" s="6">
        <f>'Rate Class Load Model'!D11</f>
        <v>123483.74000000002</v>
      </c>
      <c r="H45" s="6" t="e">
        <f>#REF!</f>
        <v>#REF!</v>
      </c>
      <c r="I45" s="6"/>
      <c r="J45" s="6"/>
      <c r="K45" s="6" t="e">
        <f>#REF!</f>
        <v>#REF!</v>
      </c>
      <c r="L45" s="6" t="e">
        <f>#REF!</f>
        <v>#REF!</v>
      </c>
      <c r="M45" s="6"/>
    </row>
    <row r="46" spans="1:13" hidden="1" x14ac:dyDescent="0.2">
      <c r="A46" t="s">
        <v>42</v>
      </c>
      <c r="G46" s="6">
        <f>'Rate Class Load Model'!D12</f>
        <v>119731.81123972904</v>
      </c>
      <c r="H46" s="6" t="e">
        <f>#REF!</f>
        <v>#REF!</v>
      </c>
      <c r="I46" s="6"/>
      <c r="J46" s="6"/>
      <c r="K46" s="6" t="e">
        <f>#REF!</f>
        <v>#REF!</v>
      </c>
      <c r="L46" s="6" t="e">
        <f>#REF!</f>
        <v>#REF!</v>
      </c>
      <c r="M46" s="6"/>
    </row>
    <row r="47" spans="1:13" hidden="1" x14ac:dyDescent="0.2">
      <c r="A47" t="s">
        <v>45</v>
      </c>
      <c r="G47" s="6">
        <f>'Rate Class Load Model'!D14</f>
        <v>0</v>
      </c>
      <c r="H47" s="6" t="e">
        <f>#REF!</f>
        <v>#REF!</v>
      </c>
      <c r="I47" s="6"/>
      <c r="J47" s="6"/>
      <c r="K47" s="6" t="e">
        <f>#REF!</f>
        <v>#REF!</v>
      </c>
      <c r="L47" s="6" t="e">
        <f>#REF!</f>
        <v>#REF!</v>
      </c>
      <c r="M47" s="6"/>
    </row>
    <row r="48" spans="1:13" hidden="1" x14ac:dyDescent="0.2">
      <c r="G48" s="6">
        <f>'Rate Class Load Model'!D15</f>
        <v>0</v>
      </c>
    </row>
    <row r="49" spans="1:13" hidden="1" x14ac:dyDescent="0.2">
      <c r="A49" t="s">
        <v>46</v>
      </c>
      <c r="G49" s="6" t="e">
        <f>'Rate Class Load Model'!#REF!</f>
        <v>#REF!</v>
      </c>
      <c r="H49" s="6" t="e">
        <f>#REF!-H45</f>
        <v>#REF!</v>
      </c>
      <c r="I49" s="6"/>
      <c r="J49" s="6"/>
      <c r="K49" s="6" t="e">
        <f>#REF!-K45</f>
        <v>#REF!</v>
      </c>
      <c r="L49" s="6" t="e">
        <f>#REF!-L45</f>
        <v>#REF!</v>
      </c>
      <c r="M49" s="6"/>
    </row>
    <row r="50" spans="1:13" hidden="1" x14ac:dyDescent="0.2">
      <c r="A50" t="s">
        <v>42</v>
      </c>
      <c r="G50" s="6">
        <f>'Rate Class Load Model'!C16</f>
        <v>2.8651610440507897E-3</v>
      </c>
      <c r="H50" s="6" t="e">
        <f>#REF!-H46</f>
        <v>#REF!</v>
      </c>
      <c r="I50" s="6"/>
      <c r="J50" s="6"/>
      <c r="K50" s="6" t="e">
        <f>#REF!-K46</f>
        <v>#REF!</v>
      </c>
      <c r="L50" s="6" t="e">
        <f>#REF!-L46</f>
        <v>#REF!</v>
      </c>
      <c r="M50" s="6"/>
    </row>
    <row r="51" spans="1:13" hidden="1" x14ac:dyDescent="0.2">
      <c r="A51" t="s">
        <v>45</v>
      </c>
      <c r="G51" s="6">
        <f>'Rate Class Load Model'!C17</f>
        <v>2.8652357632588175E-3</v>
      </c>
      <c r="H51" s="6" t="e">
        <f>#REF!-H47</f>
        <v>#REF!</v>
      </c>
      <c r="I51" s="6"/>
      <c r="J51" s="6"/>
      <c r="K51" s="6" t="e">
        <f>#REF!-K47</f>
        <v>#REF!</v>
      </c>
      <c r="L51" s="6" t="e">
        <f>#REF!-L47</f>
        <v>#REF!</v>
      </c>
      <c r="M51" s="6"/>
    </row>
    <row r="52" spans="1:13" hidden="1" x14ac:dyDescent="0.2">
      <c r="G52" s="6">
        <f>'Rate Class Load Model'!C18</f>
        <v>2.7763740999022539E-3</v>
      </c>
    </row>
    <row r="53" spans="1:13" x14ac:dyDescent="0.2">
      <c r="A53" s="44" t="s">
        <v>12</v>
      </c>
      <c r="G53" s="6"/>
    </row>
    <row r="54" spans="1:13" x14ac:dyDescent="0.2">
      <c r="A54" t="s">
        <v>46</v>
      </c>
      <c r="B54" s="6">
        <f t="shared" ref="B54:L54" si="4">B37-B41</f>
        <v>0</v>
      </c>
      <c r="C54" s="6">
        <f t="shared" si="4"/>
        <v>0</v>
      </c>
      <c r="D54" s="6">
        <f t="shared" si="4"/>
        <v>0</v>
      </c>
      <c r="E54" s="6">
        <f t="shared" si="4"/>
        <v>0</v>
      </c>
      <c r="F54" s="6">
        <f t="shared" si="4"/>
        <v>0</v>
      </c>
      <c r="G54" s="6">
        <f t="shared" si="4"/>
        <v>0</v>
      </c>
      <c r="H54" s="6">
        <f t="shared" si="4"/>
        <v>0</v>
      </c>
      <c r="I54" s="6">
        <f t="shared" ref="I54:J56" si="5">I37-I41</f>
        <v>0</v>
      </c>
      <c r="J54" s="6">
        <f t="shared" si="5"/>
        <v>0</v>
      </c>
      <c r="K54" s="6">
        <f t="shared" si="4"/>
        <v>0</v>
      </c>
      <c r="L54" s="6">
        <f t="shared" si="4"/>
        <v>0</v>
      </c>
      <c r="M54" s="6">
        <f t="shared" ref="M54" si="6">M37-M41</f>
        <v>0</v>
      </c>
    </row>
    <row r="55" spans="1:13" x14ac:dyDescent="0.2">
      <c r="A55" t="s">
        <v>42</v>
      </c>
      <c r="B55" s="6">
        <f t="shared" ref="B55:L55" si="7">B38-B42</f>
        <v>0</v>
      </c>
      <c r="C55" s="6">
        <f t="shared" si="7"/>
        <v>0</v>
      </c>
      <c r="D55" s="6">
        <f t="shared" si="7"/>
        <v>0</v>
      </c>
      <c r="E55" s="6">
        <f t="shared" si="7"/>
        <v>0</v>
      </c>
      <c r="F55" s="6">
        <f t="shared" si="7"/>
        <v>0</v>
      </c>
      <c r="G55" s="6">
        <f t="shared" si="7"/>
        <v>0</v>
      </c>
      <c r="H55" s="6">
        <f t="shared" si="7"/>
        <v>0</v>
      </c>
      <c r="I55" s="6">
        <f t="shared" si="5"/>
        <v>0</v>
      </c>
      <c r="J55" s="6">
        <f t="shared" si="5"/>
        <v>0</v>
      </c>
      <c r="K55" s="6">
        <f t="shared" si="7"/>
        <v>0</v>
      </c>
      <c r="L55" s="6">
        <f t="shared" si="7"/>
        <v>0</v>
      </c>
      <c r="M55" s="6">
        <f t="shared" ref="M55" si="8">M38-M42</f>
        <v>0</v>
      </c>
    </row>
    <row r="56" spans="1:13" x14ac:dyDescent="0.2">
      <c r="A56" t="s">
        <v>45</v>
      </c>
      <c r="B56" s="6">
        <f t="shared" ref="B56:L56" si="9">B39-B43</f>
        <v>0</v>
      </c>
      <c r="C56" s="6">
        <f t="shared" si="9"/>
        <v>0</v>
      </c>
      <c r="D56" s="6">
        <f t="shared" si="9"/>
        <v>0</v>
      </c>
      <c r="E56" s="6">
        <f t="shared" si="9"/>
        <v>0</v>
      </c>
      <c r="F56" s="6">
        <f t="shared" si="9"/>
        <v>0</v>
      </c>
      <c r="G56" s="6">
        <f t="shared" si="9"/>
        <v>0</v>
      </c>
      <c r="H56" s="6">
        <f t="shared" si="9"/>
        <v>0</v>
      </c>
      <c r="I56" s="6">
        <f t="shared" si="5"/>
        <v>0</v>
      </c>
      <c r="J56" s="6">
        <f t="shared" si="5"/>
        <v>0</v>
      </c>
      <c r="K56" s="6">
        <f t="shared" si="9"/>
        <v>0</v>
      </c>
      <c r="L56" s="6">
        <f t="shared" si="9"/>
        <v>0</v>
      </c>
      <c r="M56" s="6">
        <f t="shared" ref="M56" si="10">M39-M43</f>
        <v>0</v>
      </c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F267-DA32-4ADE-BE6A-084B7A2AAE21}">
  <sheetPr>
    <tabColor rgb="FF00B0F0"/>
    <pageSetUpPr fitToPage="1"/>
  </sheetPr>
  <dimension ref="A2:X209"/>
  <sheetViews>
    <sheetView topLeftCell="A152" workbookViewId="0">
      <selection activeCell="Q18" sqref="Q18:Q23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9" customWidth="1"/>
    <col min="7" max="7" width="13" style="1" customWidth="1"/>
    <col min="8" max="8" width="15.5703125" style="1" bestFit="1" customWidth="1"/>
    <col min="9" max="9" width="17.140625" style="1" customWidth="1"/>
    <col min="10" max="10" width="10.28515625" style="1" customWidth="1"/>
    <col min="11" max="11" width="10.140625" style="1" customWidth="1"/>
    <col min="12" max="12" width="20" style="1" bestFit="1" customWidth="1"/>
    <col min="13" max="13" width="17.7109375" style="1" bestFit="1" customWidth="1"/>
    <col min="14" max="14" width="19.7109375" style="1" customWidth="1"/>
    <col min="15" max="15" width="4.85546875" style="1" customWidth="1"/>
    <col min="16" max="16" width="44.42578125" customWidth="1"/>
    <col min="17" max="17" width="20.140625" customWidth="1"/>
    <col min="18" max="20" width="12.5703125" customWidth="1"/>
    <col min="21" max="21" width="15.5703125" bestFit="1" customWidth="1"/>
    <col min="22" max="23" width="14.5703125" bestFit="1" customWidth="1"/>
    <col min="24" max="24" width="19.28515625" bestFit="1" customWidth="1"/>
    <col min="25" max="25" width="19" bestFit="1" customWidth="1"/>
    <col min="26" max="26" width="18.85546875" bestFit="1" customWidth="1"/>
    <col min="27" max="27" width="13" bestFit="1" customWidth="1"/>
    <col min="28" max="28" width="14.28515625" bestFit="1" customWidth="1"/>
    <col min="29" max="29" width="19.42578125" bestFit="1" customWidth="1"/>
    <col min="30" max="30" width="6.140625" bestFit="1" customWidth="1"/>
  </cols>
  <sheetData>
    <row r="2" spans="1:21" ht="38.25" x14ac:dyDescent="0.2">
      <c r="A2" s="68"/>
      <c r="B2" s="69" t="s">
        <v>119</v>
      </c>
      <c r="C2" s="70" t="s">
        <v>2</v>
      </c>
      <c r="D2" s="70" t="s">
        <v>3</v>
      </c>
      <c r="E2" s="70" t="s">
        <v>67</v>
      </c>
      <c r="F2" s="71" t="s">
        <v>13</v>
      </c>
      <c r="G2" s="70" t="s">
        <v>79</v>
      </c>
      <c r="H2" s="70" t="s">
        <v>8</v>
      </c>
      <c r="I2" s="72" t="s">
        <v>99</v>
      </c>
      <c r="J2" s="70" t="s">
        <v>100</v>
      </c>
      <c r="K2" s="88" t="s">
        <v>101</v>
      </c>
      <c r="L2" s="87" t="s">
        <v>93</v>
      </c>
      <c r="M2" s="87" t="s">
        <v>95</v>
      </c>
      <c r="N2" s="87" t="s">
        <v>96</v>
      </c>
      <c r="O2"/>
      <c r="P2" t="s">
        <v>14</v>
      </c>
    </row>
    <row r="3" spans="1:21" ht="13.5" thickBot="1" x14ac:dyDescent="0.25">
      <c r="A3" s="49">
        <v>41670</v>
      </c>
      <c r="B3" s="50">
        <v>20940290.107248448</v>
      </c>
      <c r="C3" s="50">
        <v>980.29998779296875</v>
      </c>
      <c r="D3" s="50">
        <v>0</v>
      </c>
      <c r="E3" s="50">
        <v>31</v>
      </c>
      <c r="F3" s="78">
        <v>0</v>
      </c>
      <c r="G3" s="50">
        <v>11661</v>
      </c>
      <c r="H3" s="50">
        <f t="shared" ref="H3:H22" si="0">$Q$18+$Q$19*C3+$Q$20*D3+$Q$21*E3+$Q$22*F3+$Q$23*G3</f>
        <v>19107716.912014727</v>
      </c>
      <c r="I3" s="33">
        <f t="shared" ref="I3:I22" si="1">H3-B3</f>
        <v>-1832573.1952337213</v>
      </c>
      <c r="J3" s="42">
        <f t="shared" ref="J3:J22" si="2">I3/B3</f>
        <v>-8.7514221906571349E-2</v>
      </c>
      <c r="K3" s="12">
        <f t="shared" ref="K3:K55" si="3">ABS(J3)</f>
        <v>8.7514221906571349E-2</v>
      </c>
      <c r="L3" s="10">
        <f t="shared" ref="L3:L55" si="4">I3*I3</f>
        <v>3358324515889.1309</v>
      </c>
      <c r="M3" s="10"/>
      <c r="N3" s="10"/>
      <c r="O3" s="12"/>
    </row>
    <row r="4" spans="1:21" x14ac:dyDescent="0.2">
      <c r="A4" s="49">
        <v>41698</v>
      </c>
      <c r="B4" s="50">
        <v>18060627.476503003</v>
      </c>
      <c r="C4" s="50">
        <v>912</v>
      </c>
      <c r="D4" s="50">
        <v>0</v>
      </c>
      <c r="E4" s="50">
        <v>28</v>
      </c>
      <c r="F4" s="78">
        <v>0</v>
      </c>
      <c r="G4" s="50">
        <v>11654</v>
      </c>
      <c r="H4" s="50">
        <f t="shared" si="0"/>
        <v>17105199.805218562</v>
      </c>
      <c r="I4" s="33">
        <f t="shared" si="1"/>
        <v>-955427.6712844409</v>
      </c>
      <c r="J4" s="42">
        <f t="shared" si="2"/>
        <v>-5.2901133835325416E-2</v>
      </c>
      <c r="K4" s="12">
        <f t="shared" si="3"/>
        <v>5.2901133835325416E-2</v>
      </c>
      <c r="L4" s="10">
        <f t="shared" si="4"/>
        <v>912842035056.00964</v>
      </c>
      <c r="M4" s="10">
        <f t="shared" ref="M4:M56" si="5">I4-I3</f>
        <v>877145.52394928038</v>
      </c>
      <c r="N4" s="10">
        <f t="shared" ref="N4:N56" si="6">M4*M4</f>
        <v>769384270184.25757</v>
      </c>
      <c r="O4" s="12"/>
      <c r="P4" s="121" t="s">
        <v>15</v>
      </c>
      <c r="Q4" s="121"/>
    </row>
    <row r="5" spans="1:21" x14ac:dyDescent="0.2">
      <c r="A5" s="49">
        <v>41729</v>
      </c>
      <c r="B5" s="50">
        <v>18549304.866996493</v>
      </c>
      <c r="C5" s="50">
        <v>895</v>
      </c>
      <c r="D5" s="50">
        <v>0</v>
      </c>
      <c r="E5" s="50">
        <v>31</v>
      </c>
      <c r="F5" s="78">
        <v>1</v>
      </c>
      <c r="G5" s="50">
        <v>11654</v>
      </c>
      <c r="H5" s="50">
        <f t="shared" si="0"/>
        <v>17548585.154130973</v>
      </c>
      <c r="I5" s="33">
        <f t="shared" si="1"/>
        <v>-1000719.7128655203</v>
      </c>
      <c r="J5" s="42">
        <f t="shared" si="2"/>
        <v>-5.3949175995593901E-2</v>
      </c>
      <c r="K5" s="12">
        <f t="shared" si="3"/>
        <v>5.3949175995593901E-2</v>
      </c>
      <c r="L5" s="10">
        <f t="shared" si="4"/>
        <v>1001439943717.6493</v>
      </c>
      <c r="M5" s="10">
        <f t="shared" si="5"/>
        <v>-45292.041581079364</v>
      </c>
      <c r="N5" s="10">
        <f t="shared" si="6"/>
        <v>2051369030.582222</v>
      </c>
      <c r="O5" s="12"/>
      <c r="P5" s="118" t="s">
        <v>16</v>
      </c>
      <c r="Q5" s="97">
        <v>0.98419876940468587</v>
      </c>
    </row>
    <row r="6" spans="1:21" x14ac:dyDescent="0.2">
      <c r="A6" s="49">
        <v>41759</v>
      </c>
      <c r="B6" s="50">
        <v>14322517.01363438</v>
      </c>
      <c r="C6" s="50">
        <v>511.10000610351563</v>
      </c>
      <c r="D6" s="50">
        <v>0</v>
      </c>
      <c r="E6" s="50">
        <v>30</v>
      </c>
      <c r="F6" s="78">
        <v>1</v>
      </c>
      <c r="G6" s="50">
        <v>11646</v>
      </c>
      <c r="H6" s="50">
        <f t="shared" si="0"/>
        <v>13392793.456203396</v>
      </c>
      <c r="I6" s="33">
        <f t="shared" si="1"/>
        <v>-929723.55743098445</v>
      </c>
      <c r="J6" s="42">
        <f t="shared" si="2"/>
        <v>-6.4913419655632479E-2</v>
      </c>
      <c r="K6" s="12">
        <f t="shared" si="3"/>
        <v>6.4913419655632479E-2</v>
      </c>
      <c r="L6" s="10">
        <f t="shared" si="4"/>
        <v>864385893242.125</v>
      </c>
      <c r="M6" s="10">
        <f t="shared" si="5"/>
        <v>70996.155434535816</v>
      </c>
      <c r="N6" s="10">
        <f t="shared" si="6"/>
        <v>5040454086.4847698</v>
      </c>
      <c r="O6" s="12"/>
      <c r="P6" s="118" t="s">
        <v>17</v>
      </c>
      <c r="Q6" s="97">
        <v>0.96864721769769813</v>
      </c>
    </row>
    <row r="7" spans="1:21" x14ac:dyDescent="0.2">
      <c r="A7" s="49">
        <v>41790</v>
      </c>
      <c r="B7" s="50">
        <v>12133433.732961265</v>
      </c>
      <c r="C7" s="50">
        <v>267.89999389648438</v>
      </c>
      <c r="D7" s="50">
        <v>0.80000001192092896</v>
      </c>
      <c r="E7" s="50">
        <v>31</v>
      </c>
      <c r="F7" s="78">
        <v>1</v>
      </c>
      <c r="G7" s="50">
        <v>11637</v>
      </c>
      <c r="H7" s="50">
        <f t="shared" si="0"/>
        <v>11496376.960981198</v>
      </c>
      <c r="I7" s="33">
        <f t="shared" si="1"/>
        <v>-637056.77198006772</v>
      </c>
      <c r="J7" s="42">
        <f t="shared" si="2"/>
        <v>-5.2504244552756846E-2</v>
      </c>
      <c r="K7" s="12">
        <f t="shared" si="3"/>
        <v>5.2504244552756846E-2</v>
      </c>
      <c r="L7" s="10">
        <f t="shared" si="4"/>
        <v>405841330725.664</v>
      </c>
      <c r="M7" s="10">
        <f t="shared" si="5"/>
        <v>292666.78545091674</v>
      </c>
      <c r="N7" s="10">
        <f t="shared" si="6"/>
        <v>85653847306.172928</v>
      </c>
      <c r="O7" s="12"/>
      <c r="P7" s="118" t="s">
        <v>18</v>
      </c>
      <c r="Q7" s="97">
        <v>0.96727209566689543</v>
      </c>
    </row>
    <row r="8" spans="1:21" x14ac:dyDescent="0.2">
      <c r="A8" s="49">
        <v>41820</v>
      </c>
      <c r="B8" s="50">
        <v>10227761.622308252</v>
      </c>
      <c r="C8" s="50">
        <v>96.900001525878906</v>
      </c>
      <c r="D8" s="50">
        <v>12</v>
      </c>
      <c r="E8" s="50">
        <v>30</v>
      </c>
      <c r="F8" s="78">
        <v>0</v>
      </c>
      <c r="G8" s="50">
        <v>11645</v>
      </c>
      <c r="H8" s="50">
        <f t="shared" si="0"/>
        <v>10469063.668853737</v>
      </c>
      <c r="I8" s="33">
        <f t="shared" si="1"/>
        <v>241302.04654548503</v>
      </c>
      <c r="J8" s="42">
        <f t="shared" si="2"/>
        <v>2.3592850073780539E-2</v>
      </c>
      <c r="K8" s="12">
        <f t="shared" si="3"/>
        <v>2.3592850073780539E-2</v>
      </c>
      <c r="L8" s="10">
        <f t="shared" si="4"/>
        <v>58226677667.039429</v>
      </c>
      <c r="M8" s="10">
        <f t="shared" si="5"/>
        <v>878358.81852555275</v>
      </c>
      <c r="N8" s="10">
        <f t="shared" si="6"/>
        <v>771514214081.60486</v>
      </c>
      <c r="O8" s="12"/>
      <c r="P8" s="118" t="s">
        <v>19</v>
      </c>
      <c r="Q8" s="97">
        <v>526577.86519499624</v>
      </c>
    </row>
    <row r="9" spans="1:21" ht="13.5" thickBot="1" x14ac:dyDescent="0.25">
      <c r="A9" s="49">
        <v>41851</v>
      </c>
      <c r="B9" s="50">
        <v>11030935.773653049</v>
      </c>
      <c r="C9" s="50">
        <v>88.099998474121094</v>
      </c>
      <c r="D9" s="50">
        <v>6.4000000953674316</v>
      </c>
      <c r="E9" s="50">
        <v>31</v>
      </c>
      <c r="F9" s="78">
        <v>0</v>
      </c>
      <c r="G9" s="50">
        <v>11645</v>
      </c>
      <c r="H9" s="50">
        <f t="shared" si="0"/>
        <v>10667352.622837536</v>
      </c>
      <c r="I9" s="33">
        <f t="shared" si="1"/>
        <v>-363583.15081551298</v>
      </c>
      <c r="J9" s="42">
        <f t="shared" si="2"/>
        <v>-3.2960317988970332E-2</v>
      </c>
      <c r="K9" s="12">
        <f t="shared" si="3"/>
        <v>3.2960317988970332E-2</v>
      </c>
      <c r="L9" s="10">
        <f t="shared" si="4"/>
        <v>132192707556.93607</v>
      </c>
      <c r="M9" s="10">
        <f t="shared" si="5"/>
        <v>-604885.19736099802</v>
      </c>
      <c r="N9" s="10">
        <f t="shared" si="6"/>
        <v>365886101986.45355</v>
      </c>
      <c r="O9" s="12"/>
      <c r="P9" s="119" t="s">
        <v>20</v>
      </c>
      <c r="Q9" s="99">
        <v>120</v>
      </c>
    </row>
    <row r="10" spans="1:21" x14ac:dyDescent="0.2">
      <c r="A10" s="49">
        <v>41882</v>
      </c>
      <c r="B10" s="50">
        <v>11058807.377445241</v>
      </c>
      <c r="C10" s="50">
        <v>63.400001525878906</v>
      </c>
      <c r="D10" s="50">
        <v>13.5</v>
      </c>
      <c r="E10" s="50">
        <v>31</v>
      </c>
      <c r="F10" s="78">
        <v>0</v>
      </c>
      <c r="G10" s="50">
        <v>11655</v>
      </c>
      <c r="H10" s="50">
        <f t="shared" si="0"/>
        <v>10657003.048044089</v>
      </c>
      <c r="I10" s="33">
        <f t="shared" si="1"/>
        <v>-401804.32940115221</v>
      </c>
      <c r="J10" s="42">
        <f t="shared" si="2"/>
        <v>-3.6333423278593659E-2</v>
      </c>
      <c r="K10" s="12">
        <f t="shared" si="3"/>
        <v>3.6333423278593659E-2</v>
      </c>
      <c r="L10" s="10">
        <f t="shared" si="4"/>
        <v>161446719125.50964</v>
      </c>
      <c r="M10" s="10">
        <f t="shared" si="5"/>
        <v>-38221.178585639223</v>
      </c>
      <c r="N10" s="10">
        <f t="shared" si="6"/>
        <v>1460858492.4753263</v>
      </c>
      <c r="O10" s="12"/>
    </row>
    <row r="11" spans="1:21" ht="13.5" thickBot="1" x14ac:dyDescent="0.25">
      <c r="A11" s="49">
        <v>41912</v>
      </c>
      <c r="B11" s="50">
        <v>10795195.444910692</v>
      </c>
      <c r="C11" s="50">
        <v>158.19999694824219</v>
      </c>
      <c r="D11" s="50">
        <v>1.3999999761581421</v>
      </c>
      <c r="E11" s="50">
        <v>30</v>
      </c>
      <c r="F11" s="78">
        <v>1</v>
      </c>
      <c r="G11" s="50">
        <v>11646</v>
      </c>
      <c r="H11" s="50">
        <f t="shared" si="0"/>
        <v>10037665.091033317</v>
      </c>
      <c r="I11" s="33">
        <f t="shared" si="1"/>
        <v>-757530.3538773749</v>
      </c>
      <c r="J11" s="42">
        <f t="shared" si="2"/>
        <v>-7.017291699285598E-2</v>
      </c>
      <c r="K11" s="12">
        <f t="shared" si="3"/>
        <v>7.017291699285598E-2</v>
      </c>
      <c r="L11" s="10">
        <f t="shared" si="4"/>
        <v>573852237045.58081</v>
      </c>
      <c r="M11" s="10">
        <f t="shared" si="5"/>
        <v>-355726.02447622269</v>
      </c>
      <c r="N11" s="10">
        <f t="shared" si="6"/>
        <v>126541004489.65819</v>
      </c>
      <c r="O11" s="12"/>
      <c r="P11" t="s">
        <v>21</v>
      </c>
    </row>
    <row r="12" spans="1:21" x14ac:dyDescent="0.2">
      <c r="A12" s="49">
        <v>41943</v>
      </c>
      <c r="B12" s="50">
        <v>12500703.489771826</v>
      </c>
      <c r="C12" s="50">
        <v>341</v>
      </c>
      <c r="D12" s="50">
        <v>0</v>
      </c>
      <c r="E12" s="50">
        <v>31</v>
      </c>
      <c r="F12" s="78">
        <v>1</v>
      </c>
      <c r="G12" s="50">
        <v>11659</v>
      </c>
      <c r="H12" s="50">
        <f t="shared" si="0"/>
        <v>12231197.640478274</v>
      </c>
      <c r="I12" s="33">
        <f t="shared" si="1"/>
        <v>-269505.84929355234</v>
      </c>
      <c r="J12" s="42">
        <f t="shared" si="2"/>
        <v>-2.1559254606275891E-2</v>
      </c>
      <c r="K12" s="12">
        <f t="shared" si="3"/>
        <v>2.1559254606275891E-2</v>
      </c>
      <c r="L12" s="10">
        <f t="shared" si="4"/>
        <v>72633402803.43895</v>
      </c>
      <c r="M12" s="10">
        <f t="shared" si="5"/>
        <v>488024.50458382256</v>
      </c>
      <c r="N12" s="10">
        <f t="shared" si="6"/>
        <v>238167917074.28546</v>
      </c>
      <c r="O12" s="12"/>
      <c r="P12" s="120"/>
      <c r="Q12" s="120" t="s">
        <v>25</v>
      </c>
      <c r="R12" s="120" t="s">
        <v>26</v>
      </c>
      <c r="S12" s="120" t="s">
        <v>27</v>
      </c>
      <c r="T12" s="120" t="s">
        <v>28</v>
      </c>
      <c r="U12" s="120" t="s">
        <v>29</v>
      </c>
    </row>
    <row r="13" spans="1:21" x14ac:dyDescent="0.2">
      <c r="A13" s="49">
        <v>41973</v>
      </c>
      <c r="B13" s="50">
        <v>15055188.811649993</v>
      </c>
      <c r="C13" s="50">
        <v>616.0999755859375</v>
      </c>
      <c r="D13" s="50">
        <v>0</v>
      </c>
      <c r="E13" s="50">
        <v>30</v>
      </c>
      <c r="F13" s="78">
        <v>0</v>
      </c>
      <c r="G13" s="50">
        <v>11657</v>
      </c>
      <c r="H13" s="50">
        <f t="shared" si="0"/>
        <v>15151337.00260504</v>
      </c>
      <c r="I13" s="33">
        <f t="shared" si="1"/>
        <v>96148.190955046564</v>
      </c>
      <c r="J13" s="42">
        <f t="shared" si="2"/>
        <v>6.3863822737742918E-3</v>
      </c>
      <c r="K13" s="12">
        <f t="shared" si="3"/>
        <v>6.3863822737742918E-3</v>
      </c>
      <c r="L13" s="10">
        <f t="shared" si="4"/>
        <v>9244474623.9280987</v>
      </c>
      <c r="M13" s="10">
        <f t="shared" si="5"/>
        <v>365654.0402485989</v>
      </c>
      <c r="N13" s="10">
        <f t="shared" si="6"/>
        <v>133702877150.12399</v>
      </c>
      <c r="O13" s="12"/>
      <c r="P13" s="118" t="s">
        <v>22</v>
      </c>
      <c r="Q13" s="118">
        <v>5</v>
      </c>
      <c r="R13" s="118">
        <v>976606473570852.63</v>
      </c>
      <c r="S13" s="118">
        <v>195321294714170.53</v>
      </c>
      <c r="T13" s="118">
        <v>704.40818778262246</v>
      </c>
      <c r="U13" s="118">
        <v>6.1893721561871065E-84</v>
      </c>
    </row>
    <row r="14" spans="1:21" x14ac:dyDescent="0.2">
      <c r="A14" s="49">
        <v>42004</v>
      </c>
      <c r="B14" s="50">
        <v>17070384.931434523</v>
      </c>
      <c r="C14" s="50">
        <v>691.4000244140625</v>
      </c>
      <c r="D14" s="50">
        <v>0</v>
      </c>
      <c r="E14" s="50">
        <v>31</v>
      </c>
      <c r="F14" s="78">
        <v>0</v>
      </c>
      <c r="G14" s="50">
        <v>11659</v>
      </c>
      <c r="H14" s="50">
        <f t="shared" si="0"/>
        <v>16323415.26278488</v>
      </c>
      <c r="I14" s="33">
        <f t="shared" si="1"/>
        <v>-746969.66864964366</v>
      </c>
      <c r="J14" s="42">
        <f t="shared" si="2"/>
        <v>-4.3758220546867975E-2</v>
      </c>
      <c r="K14" s="12">
        <f t="shared" si="3"/>
        <v>4.3758220546867975E-2</v>
      </c>
      <c r="L14" s="10">
        <f t="shared" si="4"/>
        <v>557963685882.55847</v>
      </c>
      <c r="M14" s="10">
        <f t="shared" si="5"/>
        <v>-843117.85960469022</v>
      </c>
      <c r="N14" s="10">
        <f t="shared" si="6"/>
        <v>710847725184.39417</v>
      </c>
      <c r="O14" s="12"/>
      <c r="P14" s="118" t="s">
        <v>23</v>
      </c>
      <c r="Q14" s="118">
        <v>114</v>
      </c>
      <c r="R14" s="118">
        <v>31610404284918.441</v>
      </c>
      <c r="S14" s="118">
        <v>277284248113.31964</v>
      </c>
      <c r="T14" s="118"/>
      <c r="U14" s="118"/>
    </row>
    <row r="15" spans="1:21" ht="13.5" thickBot="1" x14ac:dyDescent="0.25">
      <c r="A15" s="49">
        <v>42035</v>
      </c>
      <c r="B15" s="50">
        <v>19572765.794629719</v>
      </c>
      <c r="C15" s="50">
        <v>957.5</v>
      </c>
      <c r="D15" s="50">
        <v>0</v>
      </c>
      <c r="E15" s="50">
        <v>31</v>
      </c>
      <c r="F15" s="78">
        <v>0</v>
      </c>
      <c r="G15" s="50">
        <v>11659</v>
      </c>
      <c r="H15" s="50">
        <f t="shared" si="0"/>
        <v>18883425.78121762</v>
      </c>
      <c r="I15" s="33">
        <f t="shared" si="1"/>
        <v>-689340.01341209933</v>
      </c>
      <c r="J15" s="42">
        <f t="shared" si="2"/>
        <v>-3.5219346138665654E-2</v>
      </c>
      <c r="K15" s="12">
        <f t="shared" si="3"/>
        <v>3.5219346138665654E-2</v>
      </c>
      <c r="L15" s="10">
        <f t="shared" si="4"/>
        <v>475189654090.99329</v>
      </c>
      <c r="M15" s="10">
        <f t="shared" si="5"/>
        <v>57629.655237544328</v>
      </c>
      <c r="N15" s="10">
        <f t="shared" si="6"/>
        <v>3321177162.7982202</v>
      </c>
      <c r="O15" s="12"/>
      <c r="P15" s="119" t="s">
        <v>7</v>
      </c>
      <c r="Q15" s="119">
        <v>119</v>
      </c>
      <c r="R15" s="119">
        <v>1008216877855771.1</v>
      </c>
      <c r="S15" s="119"/>
      <c r="T15" s="119"/>
      <c r="U15" s="119"/>
    </row>
    <row r="16" spans="1:21" ht="13.5" thickBot="1" x14ac:dyDescent="0.25">
      <c r="A16" s="49">
        <v>42063</v>
      </c>
      <c r="B16" s="50">
        <v>18982565.201528151</v>
      </c>
      <c r="C16" s="50">
        <v>1015.2000122070313</v>
      </c>
      <c r="D16" s="50">
        <v>0</v>
      </c>
      <c r="E16" s="50">
        <v>28</v>
      </c>
      <c r="F16" s="78">
        <v>0</v>
      </c>
      <c r="G16" s="50">
        <v>11653</v>
      </c>
      <c r="H16" s="50">
        <f t="shared" si="0"/>
        <v>18095561.748103149</v>
      </c>
      <c r="I16" s="33">
        <f t="shared" si="1"/>
        <v>-887003.45342500135</v>
      </c>
      <c r="J16" s="42">
        <f t="shared" si="2"/>
        <v>-4.6727270208643618E-2</v>
      </c>
      <c r="K16" s="12">
        <f t="shared" si="3"/>
        <v>4.6727270208643618E-2</v>
      </c>
      <c r="L16" s="10">
        <f t="shared" si="4"/>
        <v>786775126387.87854</v>
      </c>
      <c r="M16" s="10">
        <f t="shared" si="5"/>
        <v>-197663.44001290202</v>
      </c>
      <c r="N16" s="10">
        <f t="shared" si="6"/>
        <v>39070835517.734116</v>
      </c>
      <c r="O16" s="12"/>
    </row>
    <row r="17" spans="1:24" x14ac:dyDescent="0.2">
      <c r="A17" s="49">
        <v>42094</v>
      </c>
      <c r="B17" s="50">
        <v>17087907.13007009</v>
      </c>
      <c r="C17" s="50">
        <v>786.5999755859375</v>
      </c>
      <c r="D17" s="50">
        <v>0</v>
      </c>
      <c r="E17" s="50">
        <v>31</v>
      </c>
      <c r="F17" s="78">
        <v>1</v>
      </c>
      <c r="G17" s="50">
        <v>11642</v>
      </c>
      <c r="H17" s="50">
        <f t="shared" si="0"/>
        <v>16476059.171275793</v>
      </c>
      <c r="I17" s="33">
        <f t="shared" si="1"/>
        <v>-611847.95879429765</v>
      </c>
      <c r="J17" s="42">
        <f t="shared" si="2"/>
        <v>-3.5805903797171912E-2</v>
      </c>
      <c r="K17" s="12">
        <f t="shared" si="3"/>
        <v>3.5805903797171912E-2</v>
      </c>
      <c r="L17" s="10">
        <f t="shared" si="4"/>
        <v>374357924680.74854</v>
      </c>
      <c r="M17" s="10">
        <f t="shared" si="5"/>
        <v>275155.4946307037</v>
      </c>
      <c r="N17" s="10">
        <f t="shared" si="6"/>
        <v>75710546225.467209</v>
      </c>
      <c r="O17" s="12"/>
      <c r="P17" s="120"/>
      <c r="Q17" s="120" t="s">
        <v>30</v>
      </c>
      <c r="R17" s="120" t="s">
        <v>19</v>
      </c>
      <c r="S17" s="120" t="s">
        <v>31</v>
      </c>
      <c r="T17" s="120" t="s">
        <v>32</v>
      </c>
      <c r="U17" s="120" t="s">
        <v>33</v>
      </c>
      <c r="V17" s="120" t="s">
        <v>34</v>
      </c>
      <c r="W17" s="120" t="s">
        <v>112</v>
      </c>
      <c r="X17" s="120" t="s">
        <v>113</v>
      </c>
    </row>
    <row r="18" spans="1:24" x14ac:dyDescent="0.2">
      <c r="A18" s="49">
        <v>42124</v>
      </c>
      <c r="B18" s="50">
        <v>13493778.885761961</v>
      </c>
      <c r="C18" s="50">
        <v>474.39999389648438</v>
      </c>
      <c r="D18" s="50">
        <v>0</v>
      </c>
      <c r="E18" s="50">
        <v>30</v>
      </c>
      <c r="F18" s="78">
        <v>1</v>
      </c>
      <c r="G18" s="50">
        <v>11632</v>
      </c>
      <c r="H18" s="50">
        <f t="shared" si="0"/>
        <v>13005112.066668322</v>
      </c>
      <c r="I18" s="33">
        <f t="shared" si="1"/>
        <v>-488666.81909363903</v>
      </c>
      <c r="J18" s="42">
        <f t="shared" si="2"/>
        <v>-3.6214230515460619E-2</v>
      </c>
      <c r="K18" s="12">
        <f t="shared" si="3"/>
        <v>3.6214230515460619E-2</v>
      </c>
      <c r="L18" s="10">
        <f t="shared" si="4"/>
        <v>238795260083.09534</v>
      </c>
      <c r="M18" s="10">
        <f t="shared" si="5"/>
        <v>123181.13970065862</v>
      </c>
      <c r="N18" s="10">
        <f t="shared" si="6"/>
        <v>15173593177.953175</v>
      </c>
      <c r="O18" s="12"/>
      <c r="P18" s="118" t="s">
        <v>24</v>
      </c>
      <c r="Q18" s="97">
        <v>-32874542.256654516</v>
      </c>
      <c r="R18" s="118">
        <v>2822952.7383233458</v>
      </c>
      <c r="S18" s="118">
        <v>-11.645445497674148</v>
      </c>
      <c r="T18" s="118">
        <v>3.9896189876855902E-21</v>
      </c>
      <c r="U18" s="118">
        <v>-38466789.888822928</v>
      </c>
      <c r="V18" s="118">
        <v>-27282294.624486104</v>
      </c>
      <c r="W18" s="118">
        <v>-38466789.888822928</v>
      </c>
      <c r="X18" s="118">
        <v>-27282294.624486104</v>
      </c>
    </row>
    <row r="19" spans="1:24" x14ac:dyDescent="0.2">
      <c r="A19" s="49">
        <v>42155</v>
      </c>
      <c r="B19" s="50">
        <v>11180990.263777304</v>
      </c>
      <c r="C19" s="50">
        <v>242.89999389648438</v>
      </c>
      <c r="D19" s="50">
        <v>1.1000000238418579</v>
      </c>
      <c r="E19" s="50">
        <v>31</v>
      </c>
      <c r="F19" s="78">
        <v>1</v>
      </c>
      <c r="G19" s="50">
        <v>11648</v>
      </c>
      <c r="H19" s="50">
        <f t="shared" si="0"/>
        <v>11291616.728394911</v>
      </c>
      <c r="I19" s="33">
        <f t="shared" si="1"/>
        <v>110626.46461760625</v>
      </c>
      <c r="J19" s="42">
        <f t="shared" si="2"/>
        <v>9.8941562426719271E-3</v>
      </c>
      <c r="K19" s="12">
        <f t="shared" si="3"/>
        <v>9.8941562426719271E-3</v>
      </c>
      <c r="L19" s="10">
        <f t="shared" si="4"/>
        <v>12238214673.790487</v>
      </c>
      <c r="M19" s="10">
        <f t="shared" si="5"/>
        <v>599293.28371124528</v>
      </c>
      <c r="N19" s="10">
        <f t="shared" si="6"/>
        <v>359152439901.4071</v>
      </c>
      <c r="O19" s="12"/>
      <c r="P19" s="118" t="s">
        <v>2</v>
      </c>
      <c r="Q19" s="97">
        <v>9620.4838530921952</v>
      </c>
      <c r="R19" s="118">
        <v>195.93033448695013</v>
      </c>
      <c r="S19" s="118">
        <v>49.101553765442908</v>
      </c>
      <c r="T19" s="118">
        <v>1.5755609326152134E-78</v>
      </c>
      <c r="U19" s="118">
        <v>9232.3473695337125</v>
      </c>
      <c r="V19" s="118">
        <v>10008.620336650678</v>
      </c>
      <c r="W19" s="118">
        <v>9232.3473695337125</v>
      </c>
      <c r="X19" s="118">
        <v>10008.620336650678</v>
      </c>
    </row>
    <row r="20" spans="1:24" x14ac:dyDescent="0.2">
      <c r="A20" s="49">
        <v>42185</v>
      </c>
      <c r="B20" s="50">
        <v>10154854.018650841</v>
      </c>
      <c r="C20" s="50">
        <v>141.80000305175781</v>
      </c>
      <c r="D20" s="50">
        <v>0.40000000596046448</v>
      </c>
      <c r="E20" s="50">
        <v>30</v>
      </c>
      <c r="F20" s="78">
        <v>0</v>
      </c>
      <c r="G20" s="50">
        <v>11644</v>
      </c>
      <c r="H20" s="50">
        <f t="shared" si="0"/>
        <v>10567615.933375109</v>
      </c>
      <c r="I20" s="33">
        <f t="shared" si="1"/>
        <v>412761.91472426802</v>
      </c>
      <c r="J20" s="42">
        <f t="shared" si="2"/>
        <v>4.0646760058408692E-2</v>
      </c>
      <c r="K20" s="12">
        <f t="shared" si="3"/>
        <v>4.0646760058408692E-2</v>
      </c>
      <c r="L20" s="10">
        <f t="shared" si="4"/>
        <v>170372398246.8439</v>
      </c>
      <c r="M20" s="10">
        <f t="shared" si="5"/>
        <v>302135.45010666177</v>
      </c>
      <c r="N20" s="10">
        <f t="shared" si="6"/>
        <v>91285830211.155106</v>
      </c>
      <c r="O20" s="12"/>
      <c r="P20" s="118" t="s">
        <v>3</v>
      </c>
      <c r="Q20" s="97">
        <v>28528.910960356257</v>
      </c>
      <c r="R20" s="118">
        <v>5449.0985206273517</v>
      </c>
      <c r="S20" s="118">
        <v>5.235528565387682</v>
      </c>
      <c r="T20" s="118">
        <v>7.5945115200724566E-7</v>
      </c>
      <c r="U20" s="118">
        <v>17734.288760081821</v>
      </c>
      <c r="V20" s="118">
        <v>39323.533160630694</v>
      </c>
      <c r="W20" s="118">
        <v>17734.288760081821</v>
      </c>
      <c r="X20" s="118">
        <v>39323.533160630694</v>
      </c>
    </row>
    <row r="21" spans="1:24" x14ac:dyDescent="0.2">
      <c r="A21" s="49">
        <v>42216</v>
      </c>
      <c r="B21" s="50">
        <v>10622662.160748292</v>
      </c>
      <c r="C21" s="50">
        <v>52.599998474121094</v>
      </c>
      <c r="D21" s="50">
        <v>29.200000762939453</v>
      </c>
      <c r="E21" s="50">
        <v>31</v>
      </c>
      <c r="F21" s="78">
        <v>0</v>
      </c>
      <c r="G21" s="50">
        <v>11652</v>
      </c>
      <c r="H21" s="50">
        <f t="shared" si="0"/>
        <v>10993589.392338514</v>
      </c>
      <c r="I21" s="33">
        <f t="shared" si="1"/>
        <v>370927.23159022257</v>
      </c>
      <c r="J21" s="42">
        <f t="shared" si="2"/>
        <v>3.4918481448165846E-2</v>
      </c>
      <c r="K21" s="12">
        <f t="shared" si="3"/>
        <v>3.4918481448165846E-2</v>
      </c>
      <c r="L21" s="10">
        <f t="shared" si="4"/>
        <v>137587011135.18661</v>
      </c>
      <c r="M21" s="10">
        <f t="shared" si="5"/>
        <v>-41834.683134045452</v>
      </c>
      <c r="N21" s="10">
        <f t="shared" si="6"/>
        <v>1750140712.925987</v>
      </c>
      <c r="O21" s="12"/>
      <c r="P21" s="118" t="s">
        <v>67</v>
      </c>
      <c r="Q21" s="97">
        <v>442711.13990766229</v>
      </c>
      <c r="R21" s="118">
        <v>60760.065287765821</v>
      </c>
      <c r="S21" s="118">
        <v>7.2862189632439911</v>
      </c>
      <c r="T21" s="118">
        <v>4.4601952357328805E-11</v>
      </c>
      <c r="U21" s="118">
        <v>322345.91854808782</v>
      </c>
      <c r="V21" s="118">
        <v>563076.36126723676</v>
      </c>
      <c r="W21" s="118">
        <v>322345.91854808782</v>
      </c>
      <c r="X21" s="118">
        <v>563076.36126723676</v>
      </c>
    </row>
    <row r="22" spans="1:24" x14ac:dyDescent="0.2">
      <c r="A22" s="49">
        <v>42247</v>
      </c>
      <c r="B22" s="50">
        <v>10808774.279919136</v>
      </c>
      <c r="C22" s="50">
        <v>37.5</v>
      </c>
      <c r="D22" s="50">
        <v>35.599998474121094</v>
      </c>
      <c r="E22" s="50">
        <v>31</v>
      </c>
      <c r="F22" s="78">
        <v>0</v>
      </c>
      <c r="G22" s="50">
        <v>11654</v>
      </c>
      <c r="H22" s="50">
        <f t="shared" si="0"/>
        <v>11035849.282069445</v>
      </c>
      <c r="I22" s="33">
        <f t="shared" si="1"/>
        <v>227075.00215030834</v>
      </c>
      <c r="J22" s="42">
        <f t="shared" si="2"/>
        <v>2.1008395241648728E-2</v>
      </c>
      <c r="K22" s="12">
        <f t="shared" si="3"/>
        <v>2.1008395241648728E-2</v>
      </c>
      <c r="L22" s="10">
        <f t="shared" si="4"/>
        <v>51563056601.562538</v>
      </c>
      <c r="M22" s="10">
        <f t="shared" si="5"/>
        <v>-143852.22943991423</v>
      </c>
      <c r="N22" s="10">
        <f t="shared" si="6"/>
        <v>20693463914.833725</v>
      </c>
      <c r="O22" s="12"/>
      <c r="P22" s="118" t="s">
        <v>13</v>
      </c>
      <c r="Q22" s="97">
        <v>-721199.84530800767</v>
      </c>
      <c r="R22" s="118">
        <v>102998.42194830131</v>
      </c>
      <c r="S22" s="118">
        <v>-7.0020475233106421</v>
      </c>
      <c r="T22" s="118">
        <v>1.8606202967714008E-10</v>
      </c>
      <c r="U22" s="118">
        <v>-925238.92589126038</v>
      </c>
      <c r="V22" s="118">
        <v>-517160.76472475502</v>
      </c>
      <c r="W22" s="118">
        <v>-925238.92589126038</v>
      </c>
      <c r="X22" s="118">
        <v>-517160.76472475502</v>
      </c>
    </row>
    <row r="23" spans="1:24" ht="13.5" thickBot="1" x14ac:dyDescent="0.25">
      <c r="A23" s="49">
        <v>42277</v>
      </c>
      <c r="B23" s="50">
        <v>10175172.691998234</v>
      </c>
      <c r="C23" s="50">
        <v>75.5</v>
      </c>
      <c r="D23" s="50">
        <v>31.399999618530273</v>
      </c>
      <c r="E23" s="50">
        <v>30</v>
      </c>
      <c r="F23" s="78">
        <v>1</v>
      </c>
      <c r="G23" s="50">
        <v>11658</v>
      </c>
      <c r="H23" s="50">
        <f t="shared" ref="H23:H54" si="7">$Q$18+$Q$19*C23+$Q$20*D23+$Q$21*E23+$Q$22*F23+$Q$23*G23</f>
        <v>10127583.722654831</v>
      </c>
      <c r="I23" s="33">
        <f t="shared" ref="I23:I54" si="8">H23-B23</f>
        <v>-47588.969343403354</v>
      </c>
      <c r="J23" s="42">
        <f t="shared" ref="J23:J54" si="9">I23/B23</f>
        <v>-4.6769692057243772E-3</v>
      </c>
      <c r="K23" s="12">
        <f t="shared" si="3"/>
        <v>4.6769692057243772E-3</v>
      </c>
      <c r="L23" s="10">
        <f t="shared" si="4"/>
        <v>2264710003.1673841</v>
      </c>
      <c r="M23" s="10">
        <f t="shared" si="5"/>
        <v>-274663.9714937117</v>
      </c>
      <c r="N23" s="10">
        <f t="shared" si="6"/>
        <v>75440297236.698471</v>
      </c>
      <c r="O23" s="12"/>
      <c r="P23" s="119" t="s">
        <v>79</v>
      </c>
      <c r="Q23" s="99">
        <v>2472.1081920746915</v>
      </c>
      <c r="R23" s="119">
        <v>180.82676593918538</v>
      </c>
      <c r="S23" s="119">
        <v>13.671140880250531</v>
      </c>
      <c r="T23" s="119">
        <v>8.8550479471278631E-26</v>
      </c>
      <c r="U23" s="119">
        <v>2113.8917614812817</v>
      </c>
      <c r="V23" s="119">
        <v>2830.3246226681013</v>
      </c>
      <c r="W23" s="119">
        <v>2113.8917614812817</v>
      </c>
      <c r="X23" s="119">
        <v>2830.3246226681013</v>
      </c>
    </row>
    <row r="24" spans="1:24" x14ac:dyDescent="0.2">
      <c r="A24" s="49">
        <v>42308</v>
      </c>
      <c r="B24" s="50">
        <v>12025549.902999522</v>
      </c>
      <c r="C24" s="50">
        <v>331.20001220703125</v>
      </c>
      <c r="D24" s="50">
        <v>0</v>
      </c>
      <c r="E24" s="50">
        <v>31</v>
      </c>
      <c r="F24" s="78">
        <v>1</v>
      </c>
      <c r="G24" s="50">
        <v>11660</v>
      </c>
      <c r="H24" s="50">
        <f t="shared" si="7"/>
        <v>12139389.124347592</v>
      </c>
      <c r="I24" s="33">
        <f t="shared" si="8"/>
        <v>113839.22134806961</v>
      </c>
      <c r="J24" s="42">
        <f t="shared" si="9"/>
        <v>9.4664462137964093E-3</v>
      </c>
      <c r="K24" s="12">
        <f t="shared" si="3"/>
        <v>9.4664462137964093E-3</v>
      </c>
      <c r="L24" s="10">
        <f t="shared" si="4"/>
        <v>12959368317.134787</v>
      </c>
      <c r="M24" s="10">
        <f t="shared" si="5"/>
        <v>161428.19069147296</v>
      </c>
      <c r="N24" s="10">
        <f t="shared" si="6"/>
        <v>26059060749.922558</v>
      </c>
      <c r="O24" s="12"/>
    </row>
    <row r="25" spans="1:24" x14ac:dyDescent="0.2">
      <c r="A25" s="49">
        <v>42338</v>
      </c>
      <c r="B25" s="50">
        <v>12582038.117274836</v>
      </c>
      <c r="C25" s="50">
        <v>413</v>
      </c>
      <c r="D25" s="50">
        <v>0</v>
      </c>
      <c r="E25" s="50">
        <v>30</v>
      </c>
      <c r="F25" s="78">
        <v>0</v>
      </c>
      <c r="G25" s="50">
        <v>11660</v>
      </c>
      <c r="H25" s="50">
        <f t="shared" si="7"/>
        <v>13204833.291493334</v>
      </c>
      <c r="I25" s="33">
        <f t="shared" si="8"/>
        <v>622795.17421849817</v>
      </c>
      <c r="J25" s="42">
        <f t="shared" si="9"/>
        <v>4.9498751189079246E-2</v>
      </c>
      <c r="K25" s="12">
        <f t="shared" si="3"/>
        <v>4.9498751189079246E-2</v>
      </c>
      <c r="L25" s="10">
        <f t="shared" si="4"/>
        <v>387873829029.84949</v>
      </c>
      <c r="M25" s="10">
        <f t="shared" si="5"/>
        <v>508955.95287042856</v>
      </c>
      <c r="N25" s="10">
        <f t="shared" si="6"/>
        <v>259036161962.24591</v>
      </c>
      <c r="O25" s="12"/>
    </row>
    <row r="26" spans="1:24" x14ac:dyDescent="0.2">
      <c r="A26" s="49">
        <v>42369</v>
      </c>
      <c r="B26" s="50">
        <v>14653607.584797725</v>
      </c>
      <c r="C26" s="50">
        <v>541.20001220703125</v>
      </c>
      <c r="D26" s="50">
        <v>0</v>
      </c>
      <c r="E26" s="50">
        <v>31</v>
      </c>
      <c r="F26" s="78">
        <v>0</v>
      </c>
      <c r="G26" s="50">
        <v>11660</v>
      </c>
      <c r="H26" s="50">
        <f t="shared" si="7"/>
        <v>14880890.578804962</v>
      </c>
      <c r="I26" s="33">
        <f t="shared" si="8"/>
        <v>227282.99400723726</v>
      </c>
      <c r="J26" s="42">
        <f t="shared" si="9"/>
        <v>1.5510378088944479E-2</v>
      </c>
      <c r="K26" s="12">
        <f t="shared" si="3"/>
        <v>1.5510378088944479E-2</v>
      </c>
      <c r="L26" s="10">
        <f t="shared" si="4"/>
        <v>51657559364.893845</v>
      </c>
      <c r="M26" s="10">
        <f t="shared" si="5"/>
        <v>-395512.18021126091</v>
      </c>
      <c r="N26" s="10">
        <f t="shared" si="6"/>
        <v>156429884695.46494</v>
      </c>
      <c r="O26" s="12"/>
    </row>
    <row r="27" spans="1:24" x14ac:dyDescent="0.2">
      <c r="A27" s="49">
        <v>42400</v>
      </c>
      <c r="B27" s="50">
        <v>17438375.437143251</v>
      </c>
      <c r="C27" s="50">
        <v>794.20001220703125</v>
      </c>
      <c r="D27" s="50">
        <v>0</v>
      </c>
      <c r="E27" s="50">
        <v>31</v>
      </c>
      <c r="F27" s="78">
        <v>0</v>
      </c>
      <c r="G27" s="50">
        <v>11673</v>
      </c>
      <c r="H27" s="50">
        <f t="shared" si="7"/>
        <v>17347010.400134258</v>
      </c>
      <c r="I27" s="33">
        <f t="shared" si="8"/>
        <v>-91365.037008993328</v>
      </c>
      <c r="J27" s="42">
        <f t="shared" si="9"/>
        <v>-5.2393089791144395E-3</v>
      </c>
      <c r="K27" s="12">
        <f t="shared" si="3"/>
        <v>5.2393089791144395E-3</v>
      </c>
      <c r="L27" s="10">
        <f t="shared" si="4"/>
        <v>8347569987.6547203</v>
      </c>
      <c r="M27" s="10">
        <f t="shared" si="5"/>
        <v>-318648.03101623058</v>
      </c>
      <c r="N27" s="10">
        <f t="shared" si="6"/>
        <v>101536567670.52065</v>
      </c>
      <c r="P27" t="s">
        <v>97</v>
      </c>
      <c r="Q27" s="83">
        <f>N123</f>
        <v>28819912020672.063</v>
      </c>
    </row>
    <row r="28" spans="1:24" x14ac:dyDescent="0.2">
      <c r="A28" s="49">
        <v>42429</v>
      </c>
      <c r="B28" s="50">
        <v>15879546.941862401</v>
      </c>
      <c r="C28" s="50">
        <v>731.20001220703125</v>
      </c>
      <c r="D28" s="50">
        <v>0</v>
      </c>
      <c r="E28" s="50">
        <v>29</v>
      </c>
      <c r="F28" s="78">
        <v>0</v>
      </c>
      <c r="G28" s="50">
        <v>11668</v>
      </c>
      <c r="H28" s="50">
        <f t="shared" si="7"/>
        <v>15843137.096613752</v>
      </c>
      <c r="I28" s="33">
        <f t="shared" si="8"/>
        <v>-36409.845248648897</v>
      </c>
      <c r="J28" s="42">
        <f t="shared" si="9"/>
        <v>-2.2928768296697163E-3</v>
      </c>
      <c r="K28" s="12">
        <f t="shared" si="3"/>
        <v>2.2928768296697163E-3</v>
      </c>
      <c r="L28" s="10">
        <f t="shared" si="4"/>
        <v>1325676831.0305607</v>
      </c>
      <c r="M28" s="10">
        <f t="shared" si="5"/>
        <v>54955.191760344431</v>
      </c>
      <c r="N28" s="10">
        <f t="shared" si="6"/>
        <v>3020073101.4162283</v>
      </c>
      <c r="P28" t="s">
        <v>94</v>
      </c>
      <c r="Q28" s="83">
        <f>L123</f>
        <v>31610404284918.414</v>
      </c>
    </row>
    <row r="29" spans="1:24" x14ac:dyDescent="0.2">
      <c r="A29" s="49">
        <v>42460</v>
      </c>
      <c r="B29" s="50">
        <v>14473070.60449587</v>
      </c>
      <c r="C29" s="50">
        <v>588.79998779296875</v>
      </c>
      <c r="D29" s="50">
        <v>0</v>
      </c>
      <c r="E29" s="50">
        <v>31</v>
      </c>
      <c r="F29" s="78">
        <v>1</v>
      </c>
      <c r="G29" s="50">
        <v>11670</v>
      </c>
      <c r="H29" s="50">
        <f t="shared" si="7"/>
        <v>14642346.611949796</v>
      </c>
      <c r="I29" s="33">
        <f t="shared" si="8"/>
        <v>169276.00745392591</v>
      </c>
      <c r="J29" s="42">
        <f t="shared" si="9"/>
        <v>1.1695929086488567E-2</v>
      </c>
      <c r="K29" s="12">
        <f t="shared" si="3"/>
        <v>1.1695929086488567E-2</v>
      </c>
      <c r="L29" s="10">
        <f t="shared" si="4"/>
        <v>28654366699.54158</v>
      </c>
      <c r="M29" s="10">
        <f t="shared" si="5"/>
        <v>205685.8527025748</v>
      </c>
      <c r="N29" s="10">
        <f t="shared" si="6"/>
        <v>42306670001.985298</v>
      </c>
    </row>
    <row r="30" spans="1:24" x14ac:dyDescent="0.2">
      <c r="A30" s="49">
        <v>42490</v>
      </c>
      <c r="B30" s="50">
        <v>12871123.74708081</v>
      </c>
      <c r="C30" s="50">
        <v>499.70001220703125</v>
      </c>
      <c r="D30" s="50">
        <v>0</v>
      </c>
      <c r="E30" s="50">
        <v>30</v>
      </c>
      <c r="F30" s="78">
        <v>1</v>
      </c>
      <c r="G30" s="50">
        <v>11669</v>
      </c>
      <c r="H30" s="50">
        <f t="shared" si="7"/>
        <v>13339978.487414638</v>
      </c>
      <c r="I30" s="33">
        <f t="shared" si="8"/>
        <v>468854.74033382721</v>
      </c>
      <c r="J30" s="42">
        <f t="shared" si="9"/>
        <v>3.6426869133331437E-2</v>
      </c>
      <c r="K30" s="12">
        <f t="shared" si="3"/>
        <v>3.6426869133331437E-2</v>
      </c>
      <c r="L30" s="10">
        <f t="shared" si="4"/>
        <v>219824767533.50055</v>
      </c>
      <c r="M30" s="10">
        <f t="shared" si="5"/>
        <v>299578.7328799013</v>
      </c>
      <c r="N30" s="10">
        <f t="shared" si="6"/>
        <v>89747417193.927261</v>
      </c>
      <c r="P30" t="s">
        <v>98</v>
      </c>
      <c r="Q30" s="89">
        <f>Q27/Q28</f>
        <v>0.91172234815175335</v>
      </c>
    </row>
    <row r="31" spans="1:24" x14ac:dyDescent="0.2">
      <c r="A31" s="49">
        <v>42521</v>
      </c>
      <c r="B31" s="50">
        <v>10712350.173219319</v>
      </c>
      <c r="C31" s="50">
        <v>241.19999694824219</v>
      </c>
      <c r="D31" s="50">
        <v>3.5</v>
      </c>
      <c r="E31" s="50">
        <v>31</v>
      </c>
      <c r="F31" s="78">
        <v>1</v>
      </c>
      <c r="G31" s="50">
        <v>11671</v>
      </c>
      <c r="H31" s="50">
        <f t="shared" si="7"/>
        <v>11400589.809246432</v>
      </c>
      <c r="I31" s="33">
        <f t="shared" si="8"/>
        <v>688239.6360271126</v>
      </c>
      <c r="J31" s="42">
        <f t="shared" si="9"/>
        <v>6.4247305670393329E-2</v>
      </c>
      <c r="K31" s="12">
        <f t="shared" si="3"/>
        <v>6.4247305670393329E-2</v>
      </c>
      <c r="L31" s="10">
        <f t="shared" si="4"/>
        <v>473673796598.73242</v>
      </c>
      <c r="M31" s="10">
        <f t="shared" si="5"/>
        <v>219384.89569328539</v>
      </c>
      <c r="N31" s="10">
        <f t="shared" si="6"/>
        <v>48129732458.353714</v>
      </c>
    </row>
    <row r="32" spans="1:24" x14ac:dyDescent="0.2">
      <c r="A32" s="49">
        <v>42551</v>
      </c>
      <c r="B32" s="50">
        <v>10148263.79016345</v>
      </c>
      <c r="C32" s="50">
        <v>116.80000305175781</v>
      </c>
      <c r="D32" s="50">
        <v>8.6000003814697266</v>
      </c>
      <c r="E32" s="50">
        <v>30</v>
      </c>
      <c r="F32" s="78">
        <v>0</v>
      </c>
      <c r="G32" s="50">
        <v>11665</v>
      </c>
      <c r="H32" s="50">
        <f t="shared" si="7"/>
        <v>10612955.189669166</v>
      </c>
      <c r="I32" s="33">
        <f t="shared" si="8"/>
        <v>464691.39950571582</v>
      </c>
      <c r="J32" s="42">
        <f t="shared" si="9"/>
        <v>4.5790236548258999E-2</v>
      </c>
      <c r="K32" s="12">
        <f t="shared" si="3"/>
        <v>4.5790236548258999E-2</v>
      </c>
      <c r="L32" s="10">
        <f t="shared" si="4"/>
        <v>215938096774.58078</v>
      </c>
      <c r="M32" s="10">
        <f t="shared" si="5"/>
        <v>-223548.23652139679</v>
      </c>
      <c r="N32" s="10">
        <f t="shared" si="6"/>
        <v>49973814051.826363</v>
      </c>
    </row>
    <row r="33" spans="1:15" x14ac:dyDescent="0.2">
      <c r="A33" s="49">
        <v>42582</v>
      </c>
      <c r="B33" s="50">
        <v>10908987.921879103</v>
      </c>
      <c r="C33" s="50">
        <v>27.200000762939453</v>
      </c>
      <c r="D33" s="50">
        <v>44.200000762939453</v>
      </c>
      <c r="E33" s="50">
        <v>31</v>
      </c>
      <c r="F33" s="78">
        <v>0</v>
      </c>
      <c r="G33" s="50">
        <v>11670</v>
      </c>
      <c r="H33" s="50">
        <f t="shared" si="7"/>
        <v>11221660.736352198</v>
      </c>
      <c r="I33" s="33">
        <f t="shared" si="8"/>
        <v>312672.81447309442</v>
      </c>
      <c r="J33" s="42">
        <f t="shared" si="9"/>
        <v>2.8661945242967658E-2</v>
      </c>
      <c r="K33" s="12">
        <f t="shared" si="3"/>
        <v>2.8661945242967658E-2</v>
      </c>
      <c r="L33" s="10">
        <f t="shared" si="4"/>
        <v>97764288910.526123</v>
      </c>
      <c r="M33" s="10">
        <f t="shared" si="5"/>
        <v>-152018.5850326214</v>
      </c>
      <c r="N33" s="10">
        <f t="shared" si="6"/>
        <v>23109650195.320343</v>
      </c>
      <c r="O33"/>
    </row>
    <row r="34" spans="1:15" x14ac:dyDescent="0.2">
      <c r="A34" s="49">
        <v>42613</v>
      </c>
      <c r="B34" s="50">
        <v>11395964.073782053</v>
      </c>
      <c r="C34" s="50">
        <v>17.100000381469727</v>
      </c>
      <c r="D34" s="50">
        <v>51.700000762939453</v>
      </c>
      <c r="E34" s="50">
        <v>31</v>
      </c>
      <c r="F34" s="78">
        <v>0</v>
      </c>
      <c r="G34" s="50">
        <v>11677</v>
      </c>
      <c r="H34" s="50">
        <f t="shared" si="7"/>
        <v>11355765.43531324</v>
      </c>
      <c r="I34" s="33">
        <f t="shared" si="8"/>
        <v>-40198.638468813151</v>
      </c>
      <c r="J34" s="42">
        <f t="shared" si="9"/>
        <v>-3.5274451734448272E-3</v>
      </c>
      <c r="K34" s="12">
        <f t="shared" si="3"/>
        <v>3.5274451734448272E-3</v>
      </c>
      <c r="L34" s="10">
        <f t="shared" si="4"/>
        <v>1615930534.7463446</v>
      </c>
      <c r="M34" s="10">
        <f t="shared" si="5"/>
        <v>-352871.45294190757</v>
      </c>
      <c r="N34" s="10">
        <f t="shared" si="6"/>
        <v>124518262301.33289</v>
      </c>
      <c r="O34"/>
    </row>
    <row r="35" spans="1:15" x14ac:dyDescent="0.2">
      <c r="A35" s="49">
        <v>42643</v>
      </c>
      <c r="B35" s="50">
        <v>9928808.9011208434</v>
      </c>
      <c r="C35" s="50">
        <v>65.099998474121094</v>
      </c>
      <c r="D35" s="50">
        <v>12.800000190734863</v>
      </c>
      <c r="E35" s="50">
        <v>30</v>
      </c>
      <c r="F35" s="78">
        <v>1</v>
      </c>
      <c r="G35" s="50">
        <v>11679</v>
      </c>
      <c r="H35" s="50">
        <f t="shared" si="7"/>
        <v>9548807.2203982919</v>
      </c>
      <c r="I35" s="33">
        <f t="shared" si="8"/>
        <v>-380001.68072255142</v>
      </c>
      <c r="J35" s="42">
        <f t="shared" si="9"/>
        <v>-3.8272635167714203E-2</v>
      </c>
      <c r="K35" s="12">
        <f t="shared" si="3"/>
        <v>3.8272635167714203E-2</v>
      </c>
      <c r="L35" s="10">
        <f t="shared" si="4"/>
        <v>144401277351.9639</v>
      </c>
      <c r="M35" s="10">
        <f t="shared" si="5"/>
        <v>-339803.04225373827</v>
      </c>
      <c r="N35" s="10">
        <f t="shared" si="6"/>
        <v>115466107524.89583</v>
      </c>
      <c r="O35"/>
    </row>
    <row r="36" spans="1:15" x14ac:dyDescent="0.2">
      <c r="A36" s="49">
        <v>42674</v>
      </c>
      <c r="B36" s="50">
        <v>11488791.901128247</v>
      </c>
      <c r="C36" s="50">
        <v>277.39999389648438</v>
      </c>
      <c r="D36" s="50">
        <v>0</v>
      </c>
      <c r="E36" s="50">
        <v>31</v>
      </c>
      <c r="F36" s="78">
        <v>1</v>
      </c>
      <c r="G36" s="50">
        <v>11680</v>
      </c>
      <c r="H36" s="50">
        <f t="shared" si="7"/>
        <v>11671249.080736402</v>
      </c>
      <c r="I36" s="33">
        <f t="shared" si="8"/>
        <v>182457.17960815504</v>
      </c>
      <c r="J36" s="42">
        <f t="shared" si="9"/>
        <v>1.5881319914084001E-2</v>
      </c>
      <c r="K36" s="12">
        <f t="shared" si="3"/>
        <v>1.5881319914084001E-2</v>
      </c>
      <c r="L36" s="10">
        <f t="shared" si="4"/>
        <v>33290622390.56255</v>
      </c>
      <c r="M36" s="10">
        <f t="shared" si="5"/>
        <v>562458.86033070646</v>
      </c>
      <c r="N36" s="10">
        <f t="shared" si="6"/>
        <v>316359969564.51715</v>
      </c>
      <c r="O36"/>
    </row>
    <row r="37" spans="1:15" x14ac:dyDescent="0.2">
      <c r="A37" s="49">
        <v>42704</v>
      </c>
      <c r="B37" s="50">
        <v>12524358.147125453</v>
      </c>
      <c r="C37" s="50">
        <v>391.5</v>
      </c>
      <c r="D37" s="50">
        <v>0</v>
      </c>
      <c r="E37" s="50">
        <v>30</v>
      </c>
      <c r="F37" s="78">
        <v>0</v>
      </c>
      <c r="G37" s="50">
        <v>11694</v>
      </c>
      <c r="H37" s="50">
        <f t="shared" si="7"/>
        <v>13082044.567182392</v>
      </c>
      <c r="I37" s="33">
        <f t="shared" si="8"/>
        <v>557686.42005693913</v>
      </c>
      <c r="J37" s="42">
        <f t="shared" si="9"/>
        <v>4.4528143758403887E-2</v>
      </c>
      <c r="K37" s="12">
        <f t="shared" si="3"/>
        <v>4.4528143758403887E-2</v>
      </c>
      <c r="L37" s="10">
        <f t="shared" si="4"/>
        <v>311014143115.92474</v>
      </c>
      <c r="M37" s="10">
        <f t="shared" si="5"/>
        <v>375229.24044878408</v>
      </c>
      <c r="N37" s="10">
        <f t="shared" si="6"/>
        <v>140796982887.77142</v>
      </c>
      <c r="O37"/>
    </row>
    <row r="38" spans="1:15" x14ac:dyDescent="0.2">
      <c r="A38" s="49">
        <v>42735</v>
      </c>
      <c r="B38" s="50">
        <v>15852208.605209466</v>
      </c>
      <c r="C38" s="50">
        <v>689.79998779296875</v>
      </c>
      <c r="D38" s="50">
        <v>0</v>
      </c>
      <c r="E38" s="50">
        <v>31</v>
      </c>
      <c r="F38" s="78">
        <v>0</v>
      </c>
      <c r="G38" s="50">
        <v>11707</v>
      </c>
      <c r="H38" s="50">
        <f t="shared" si="7"/>
        <v>16426683.329526875</v>
      </c>
      <c r="I38" s="33">
        <f t="shared" si="8"/>
        <v>574474.7243174091</v>
      </c>
      <c r="J38" s="42">
        <f t="shared" si="9"/>
        <v>3.6239412350946548E-2</v>
      </c>
      <c r="K38" s="12">
        <f t="shared" si="3"/>
        <v>3.6239412350946548E-2</v>
      </c>
      <c r="L38" s="10">
        <f t="shared" si="4"/>
        <v>330021208879.56317</v>
      </c>
      <c r="M38" s="10">
        <f t="shared" si="5"/>
        <v>16788.304260469973</v>
      </c>
      <c r="N38" s="10">
        <f t="shared" si="6"/>
        <v>281847159.94211423</v>
      </c>
      <c r="O38"/>
    </row>
    <row r="39" spans="1:15" x14ac:dyDescent="0.2">
      <c r="A39" s="49">
        <v>42766</v>
      </c>
      <c r="B39" s="50">
        <v>15785423.03937811</v>
      </c>
      <c r="C39" s="50">
        <v>710.9000244140625</v>
      </c>
      <c r="D39" s="50">
        <v>0</v>
      </c>
      <c r="E39" s="50">
        <v>31</v>
      </c>
      <c r="F39" s="78">
        <v>0</v>
      </c>
      <c r="G39" s="50">
        <v>11705</v>
      </c>
      <c r="H39" s="50">
        <f t="shared" si="7"/>
        <v>16624731.674755614</v>
      </c>
      <c r="I39" s="33">
        <f t="shared" si="8"/>
        <v>839308.63537750393</v>
      </c>
      <c r="J39" s="42">
        <f t="shared" si="9"/>
        <v>5.3169853812835774E-2</v>
      </c>
      <c r="K39" s="12">
        <f t="shared" si="3"/>
        <v>5.3169853812835774E-2</v>
      </c>
      <c r="L39" s="10">
        <f t="shared" si="4"/>
        <v>704438985419.2478</v>
      </c>
      <c r="M39" s="10">
        <f t="shared" si="5"/>
        <v>264833.91106009483</v>
      </c>
      <c r="N39" s="10">
        <f t="shared" si="6"/>
        <v>70137000447.386215</v>
      </c>
      <c r="O39"/>
    </row>
    <row r="40" spans="1:15" x14ac:dyDescent="0.2">
      <c r="A40" s="49">
        <v>42794</v>
      </c>
      <c r="B40" s="50">
        <v>14194003.706879519</v>
      </c>
      <c r="C40" s="50">
        <v>638.70001220703125</v>
      </c>
      <c r="D40" s="50">
        <v>0</v>
      </c>
      <c r="E40" s="50">
        <v>28</v>
      </c>
      <c r="F40" s="78">
        <v>0</v>
      </c>
      <c r="G40" s="50">
        <v>11705</v>
      </c>
      <c r="H40" s="50">
        <f t="shared" si="7"/>
        <v>14601999.203401824</v>
      </c>
      <c r="I40" s="33">
        <f t="shared" si="8"/>
        <v>407995.49652230553</v>
      </c>
      <c r="J40" s="42">
        <f t="shared" si="9"/>
        <v>2.8744215159290057E-2</v>
      </c>
      <c r="K40" s="12">
        <f t="shared" si="3"/>
        <v>2.8744215159290057E-2</v>
      </c>
      <c r="L40" s="10">
        <f t="shared" si="4"/>
        <v>166460325182.48264</v>
      </c>
      <c r="M40" s="10">
        <f t="shared" si="5"/>
        <v>-431313.1388551984</v>
      </c>
      <c r="N40" s="10">
        <f t="shared" si="6"/>
        <v>186031023749.12366</v>
      </c>
      <c r="O40"/>
    </row>
    <row r="41" spans="1:15" x14ac:dyDescent="0.2">
      <c r="A41" s="49">
        <v>42825</v>
      </c>
      <c r="B41" s="50">
        <v>15225965.760908011</v>
      </c>
      <c r="C41" s="50">
        <v>706.20001220703125</v>
      </c>
      <c r="D41" s="50">
        <v>0</v>
      </c>
      <c r="E41" s="50">
        <v>31</v>
      </c>
      <c r="F41" s="78">
        <v>1</v>
      </c>
      <c r="G41" s="50">
        <v>11705</v>
      </c>
      <c r="H41" s="50">
        <f t="shared" si="7"/>
        <v>15858315.43790053</v>
      </c>
      <c r="I41" s="33">
        <f t="shared" si="8"/>
        <v>632349.67699251883</v>
      </c>
      <c r="J41" s="42">
        <f t="shared" si="9"/>
        <v>4.1531006106426988E-2</v>
      </c>
      <c r="K41" s="12">
        <f t="shared" si="3"/>
        <v>4.1531006106426988E-2</v>
      </c>
      <c r="L41" s="10">
        <f t="shared" si="4"/>
        <v>399866113992.54291</v>
      </c>
      <c r="M41" s="10">
        <f t="shared" si="5"/>
        <v>224354.18047021329</v>
      </c>
      <c r="N41" s="10">
        <f t="shared" si="6"/>
        <v>50334798294.461037</v>
      </c>
      <c r="O41"/>
    </row>
    <row r="42" spans="1:15" x14ac:dyDescent="0.2">
      <c r="A42" s="49">
        <v>42855</v>
      </c>
      <c r="B42" s="50">
        <v>11730082.399967216</v>
      </c>
      <c r="C42" s="50">
        <v>392.10000610351563</v>
      </c>
      <c r="D42" s="50">
        <v>0</v>
      </c>
      <c r="E42" s="50">
        <v>30</v>
      </c>
      <c r="F42" s="78">
        <v>1</v>
      </c>
      <c r="G42" s="50">
        <v>11706</v>
      </c>
      <c r="H42" s="50">
        <f t="shared" si="7"/>
        <v>12396282.36920991</v>
      </c>
      <c r="I42" s="33">
        <f t="shared" si="8"/>
        <v>666199.96924269386</v>
      </c>
      <c r="J42" s="42">
        <f t="shared" si="9"/>
        <v>5.6794142319456835E-2</v>
      </c>
      <c r="K42" s="12">
        <f t="shared" si="3"/>
        <v>5.6794142319456835E-2</v>
      </c>
      <c r="L42" s="10">
        <f t="shared" si="4"/>
        <v>443822399018.96625</v>
      </c>
      <c r="M42" s="10">
        <f t="shared" si="5"/>
        <v>33850.292250175029</v>
      </c>
      <c r="N42" s="10">
        <f t="shared" si="6"/>
        <v>1145842285.4222596</v>
      </c>
      <c r="O42"/>
    </row>
    <row r="43" spans="1:15" x14ac:dyDescent="0.2">
      <c r="A43" s="49">
        <v>42886</v>
      </c>
      <c r="B43" s="50">
        <v>11514026.486276247</v>
      </c>
      <c r="C43" s="50">
        <v>273.79998779296875</v>
      </c>
      <c r="D43" s="50">
        <v>0</v>
      </c>
      <c r="E43" s="50">
        <v>31</v>
      </c>
      <c r="F43" s="78">
        <v>1</v>
      </c>
      <c r="G43" s="50">
        <v>11687</v>
      </c>
      <c r="H43" s="50">
        <f t="shared" si="7"/>
        <v>11653920.03749102</v>
      </c>
      <c r="I43" s="33">
        <f t="shared" si="8"/>
        <v>139893.55121477321</v>
      </c>
      <c r="J43" s="42">
        <f t="shared" si="9"/>
        <v>1.2149837537851297E-2</v>
      </c>
      <c r="K43" s="12">
        <f t="shared" si="3"/>
        <v>1.2149837537851297E-2</v>
      </c>
      <c r="L43" s="10">
        <f t="shared" si="4"/>
        <v>19570205671.480373</v>
      </c>
      <c r="M43" s="10">
        <f t="shared" si="5"/>
        <v>-526306.41802792065</v>
      </c>
      <c r="N43" s="10">
        <f t="shared" si="6"/>
        <v>276998445657.38037</v>
      </c>
      <c r="O43"/>
    </row>
    <row r="44" spans="1:15" x14ac:dyDescent="0.2">
      <c r="A44" s="49">
        <v>42916</v>
      </c>
      <c r="B44" s="50">
        <v>10110043.89187461</v>
      </c>
      <c r="C44" s="50">
        <v>104.09999847412109</v>
      </c>
      <c r="D44" s="50">
        <v>3.5</v>
      </c>
      <c r="E44" s="50">
        <v>30</v>
      </c>
      <c r="F44" s="78">
        <v>0</v>
      </c>
      <c r="G44" s="50">
        <v>11681</v>
      </c>
      <c r="H44" s="50">
        <f t="shared" si="7"/>
        <v>10384831.274988275</v>
      </c>
      <c r="I44" s="33">
        <f t="shared" si="8"/>
        <v>274787.38311366551</v>
      </c>
      <c r="J44" s="42">
        <f t="shared" si="9"/>
        <v>2.7179642942451586E-2</v>
      </c>
      <c r="K44" s="12">
        <f t="shared" si="3"/>
        <v>2.7179642942451586E-2</v>
      </c>
      <c r="L44" s="10">
        <f t="shared" si="4"/>
        <v>75508105918.45639</v>
      </c>
      <c r="M44" s="10">
        <f t="shared" si="5"/>
        <v>134893.8318988923</v>
      </c>
      <c r="N44" s="10">
        <f t="shared" si="6"/>
        <v>18196345884.366611</v>
      </c>
      <c r="O44"/>
    </row>
    <row r="45" spans="1:15" x14ac:dyDescent="0.2">
      <c r="A45" s="49">
        <v>42947</v>
      </c>
      <c r="B45" s="50">
        <v>10849859.410973854</v>
      </c>
      <c r="C45" s="50">
        <v>42</v>
      </c>
      <c r="D45" s="50">
        <v>13.800000190734863</v>
      </c>
      <c r="E45" s="50">
        <v>31</v>
      </c>
      <c r="F45" s="78">
        <v>0</v>
      </c>
      <c r="G45" s="50">
        <v>11698</v>
      </c>
      <c r="H45" s="50">
        <f t="shared" si="7"/>
        <v>10565984.009897001</v>
      </c>
      <c r="I45" s="33">
        <f t="shared" si="8"/>
        <v>-283875.40107685328</v>
      </c>
      <c r="J45" s="42">
        <f t="shared" si="9"/>
        <v>-2.6163970455666336E-2</v>
      </c>
      <c r="K45" s="12">
        <f t="shared" si="3"/>
        <v>2.6163970455666336E-2</v>
      </c>
      <c r="L45" s="10">
        <f t="shared" si="4"/>
        <v>80585243336.544312</v>
      </c>
      <c r="M45" s="10">
        <f t="shared" si="5"/>
        <v>-558662.78419051878</v>
      </c>
      <c r="N45" s="10">
        <f t="shared" si="6"/>
        <v>312104106439.50214</v>
      </c>
      <c r="O45"/>
    </row>
    <row r="46" spans="1:15" x14ac:dyDescent="0.2">
      <c r="A46" s="49">
        <v>42978</v>
      </c>
      <c r="B46" s="50">
        <v>10807940.320259472</v>
      </c>
      <c r="C46" s="50">
        <v>55.5</v>
      </c>
      <c r="D46" s="50">
        <v>9.1999998092651367</v>
      </c>
      <c r="E46" s="50">
        <v>31</v>
      </c>
      <c r="F46" s="78">
        <v>0</v>
      </c>
      <c r="G46" s="50">
        <v>11698</v>
      </c>
      <c r="H46" s="50">
        <f t="shared" si="7"/>
        <v>10564627.540613193</v>
      </c>
      <c r="I46" s="33">
        <f t="shared" si="8"/>
        <v>-243312.77964627929</v>
      </c>
      <c r="J46" s="42">
        <f t="shared" si="9"/>
        <v>-2.2512409620747974E-2</v>
      </c>
      <c r="K46" s="12">
        <f t="shared" si="3"/>
        <v>2.2512409620747974E-2</v>
      </c>
      <c r="L46" s="10">
        <f>I46*I46</f>
        <v>59201108739.19886</v>
      </c>
      <c r="M46" s="10">
        <f t="shared" si="5"/>
        <v>40562.621430573985</v>
      </c>
      <c r="N46" s="10">
        <f t="shared" si="6"/>
        <v>1645326257.32006</v>
      </c>
      <c r="O46"/>
    </row>
    <row r="47" spans="1:15" x14ac:dyDescent="0.2">
      <c r="A47" s="49">
        <v>43008</v>
      </c>
      <c r="B47" s="50">
        <v>10198925.472581804</v>
      </c>
      <c r="C47" s="50">
        <v>112.69999694824219</v>
      </c>
      <c r="D47" s="50">
        <v>33.299999237060547</v>
      </c>
      <c r="E47" s="50">
        <v>30</v>
      </c>
      <c r="F47" s="78">
        <v>1</v>
      </c>
      <c r="G47" s="50">
        <v>11707</v>
      </c>
      <c r="H47" s="50">
        <f t="shared" si="7"/>
        <v>10660803.913983893</v>
      </c>
      <c r="I47" s="33">
        <f t="shared" si="8"/>
        <v>461878.44140208885</v>
      </c>
      <c r="J47" s="42">
        <f t="shared" si="9"/>
        <v>4.5286970930788338E-2</v>
      </c>
      <c r="K47" s="12">
        <f t="shared" si="3"/>
        <v>4.5286970930788338E-2</v>
      </c>
      <c r="L47" s="10">
        <f t="shared" si="4"/>
        <v>213331694632.02283</v>
      </c>
      <c r="M47" s="10">
        <f t="shared" si="5"/>
        <v>705191.22104836814</v>
      </c>
      <c r="N47" s="10">
        <f t="shared" si="6"/>
        <v>497294658243.68842</v>
      </c>
      <c r="O47"/>
    </row>
    <row r="48" spans="1:15" x14ac:dyDescent="0.2">
      <c r="A48" s="49">
        <v>43039</v>
      </c>
      <c r="B48" s="50">
        <v>11219277.513318542</v>
      </c>
      <c r="C48" s="50">
        <v>266.29998779296875</v>
      </c>
      <c r="D48" s="50">
        <v>1.8999999761581421</v>
      </c>
      <c r="E48" s="50">
        <v>31</v>
      </c>
      <c r="F48" s="78">
        <v>1</v>
      </c>
      <c r="G48" s="50">
        <v>11712</v>
      </c>
      <c r="H48" s="50">
        <f t="shared" si="7"/>
        <v>11697774.043539196</v>
      </c>
      <c r="I48" s="33">
        <f t="shared" si="8"/>
        <v>478496.53022065386</v>
      </c>
      <c r="J48" s="42">
        <f t="shared" si="9"/>
        <v>4.2649495892460518E-2</v>
      </c>
      <c r="K48" s="12">
        <f t="shared" si="3"/>
        <v>4.2649495892460518E-2</v>
      </c>
      <c r="L48" s="10">
        <f t="shared" si="4"/>
        <v>228958929433.20511</v>
      </c>
      <c r="M48" s="10">
        <f t="shared" si="5"/>
        <v>16618.088818565011</v>
      </c>
      <c r="N48" s="10">
        <f t="shared" si="6"/>
        <v>276160875.98171544</v>
      </c>
      <c r="O48"/>
    </row>
    <row r="49" spans="1:15" x14ac:dyDescent="0.2">
      <c r="A49" s="49">
        <v>43069</v>
      </c>
      <c r="B49" s="50">
        <v>13812874.724365022</v>
      </c>
      <c r="C49" s="50">
        <v>497.39999389648438</v>
      </c>
      <c r="D49" s="50">
        <v>0</v>
      </c>
      <c r="E49" s="50">
        <v>30</v>
      </c>
      <c r="F49" s="78">
        <v>0</v>
      </c>
      <c r="G49" s="50">
        <v>11718</v>
      </c>
      <c r="H49" s="50">
        <f t="shared" si="7"/>
        <v>14160184.34511587</v>
      </c>
      <c r="I49" s="33">
        <f t="shared" si="8"/>
        <v>347309.6207508482</v>
      </c>
      <c r="J49" s="42">
        <f t="shared" si="9"/>
        <v>2.5143905789445579E-2</v>
      </c>
      <c r="K49" s="12">
        <f t="shared" si="3"/>
        <v>2.5143905789445579E-2</v>
      </c>
      <c r="L49" s="10">
        <f t="shared" si="4"/>
        <v>120623972666.09801</v>
      </c>
      <c r="M49" s="10">
        <f t="shared" si="5"/>
        <v>-131186.90946980566</v>
      </c>
      <c r="N49" s="10">
        <f t="shared" si="6"/>
        <v>17210005216.238987</v>
      </c>
      <c r="O49"/>
    </row>
    <row r="50" spans="1:15" x14ac:dyDescent="0.2">
      <c r="A50" s="49">
        <v>43100</v>
      </c>
      <c r="B50" s="50">
        <v>18153015.581181239</v>
      </c>
      <c r="C50" s="50">
        <v>849.9000244140625</v>
      </c>
      <c r="D50" s="50">
        <v>0</v>
      </c>
      <c r="E50" s="50">
        <v>31</v>
      </c>
      <c r="F50" s="78">
        <v>0</v>
      </c>
      <c r="G50" s="50">
        <v>11724</v>
      </c>
      <c r="H50" s="50">
        <f t="shared" si="7"/>
        <v>18008948.985984851</v>
      </c>
      <c r="I50" s="33">
        <f t="shared" si="8"/>
        <v>-144066.59519638866</v>
      </c>
      <c r="J50" s="42">
        <f t="shared" si="9"/>
        <v>-7.9362348669902959E-3</v>
      </c>
      <c r="K50" s="12">
        <f t="shared" si="3"/>
        <v>7.9362348669902959E-3</v>
      </c>
      <c r="L50" s="10">
        <f t="shared" si="4"/>
        <v>20755183851.480118</v>
      </c>
      <c r="M50" s="10">
        <f t="shared" si="5"/>
        <v>-491376.21594723687</v>
      </c>
      <c r="N50" s="10">
        <f t="shared" si="6"/>
        <v>241450585598.62555</v>
      </c>
      <c r="O50"/>
    </row>
    <row r="51" spans="1:15" x14ac:dyDescent="0.2">
      <c r="A51" s="49">
        <v>43131</v>
      </c>
      <c r="B51" s="50">
        <v>18500365.628647164</v>
      </c>
      <c r="C51" s="50">
        <v>860.4000244140625</v>
      </c>
      <c r="D51" s="50">
        <v>0</v>
      </c>
      <c r="E51" s="50">
        <v>31</v>
      </c>
      <c r="F51" s="78">
        <v>0</v>
      </c>
      <c r="G51" s="50">
        <v>11725</v>
      </c>
      <c r="H51" s="50">
        <f t="shared" si="7"/>
        <v>18112436.174634393</v>
      </c>
      <c r="I51" s="33">
        <f t="shared" si="8"/>
        <v>-387929.45401277021</v>
      </c>
      <c r="J51" s="42">
        <f t="shared" si="9"/>
        <v>-2.0968745256151864E-2</v>
      </c>
      <c r="K51" s="12">
        <f t="shared" si="3"/>
        <v>2.0968745256151864E-2</v>
      </c>
      <c r="L51" s="10">
        <f t="shared" si="4"/>
        <v>150489261290.646</v>
      </c>
      <c r="M51" s="10">
        <f t="shared" si="5"/>
        <v>-243862.85881638154</v>
      </c>
      <c r="N51" s="10">
        <f t="shared" si="6"/>
        <v>59469093910.098434</v>
      </c>
      <c r="O51"/>
    </row>
    <row r="52" spans="1:15" x14ac:dyDescent="0.2">
      <c r="A52" s="49">
        <v>43159</v>
      </c>
      <c r="B52" s="50">
        <v>15893887.33727774</v>
      </c>
      <c r="C52" s="50">
        <v>769</v>
      </c>
      <c r="D52" s="50">
        <v>0</v>
      </c>
      <c r="E52" s="50">
        <v>28</v>
      </c>
      <c r="F52" s="78">
        <v>0</v>
      </c>
      <c r="G52" s="50">
        <v>11725</v>
      </c>
      <c r="H52" s="50">
        <f t="shared" si="7"/>
        <v>15904990.295863686</v>
      </c>
      <c r="I52" s="33">
        <f t="shared" si="8"/>
        <v>11102.958585945889</v>
      </c>
      <c r="J52" s="42">
        <f t="shared" si="9"/>
        <v>6.985678424877757E-4</v>
      </c>
      <c r="K52" s="12">
        <f t="shared" si="3"/>
        <v>6.985678424877757E-4</v>
      </c>
      <c r="L52" s="10">
        <f t="shared" si="4"/>
        <v>123275689.36122954</v>
      </c>
      <c r="M52" s="10">
        <f t="shared" si="5"/>
        <v>399032.4125987161</v>
      </c>
      <c r="N52" s="10">
        <f t="shared" si="6"/>
        <v>159226866304.35199</v>
      </c>
      <c r="O52"/>
    </row>
    <row r="53" spans="1:15" x14ac:dyDescent="0.2">
      <c r="A53" s="49">
        <v>43190</v>
      </c>
      <c r="B53" s="50">
        <v>15193629.57870448</v>
      </c>
      <c r="C53" s="50">
        <v>737.70001220703125</v>
      </c>
      <c r="D53" s="50">
        <v>0</v>
      </c>
      <c r="E53" s="50">
        <v>31</v>
      </c>
      <c r="F53" s="78">
        <v>1</v>
      </c>
      <c r="G53" s="50">
        <v>11721</v>
      </c>
      <c r="H53" s="50">
        <f t="shared" si="7"/>
        <v>16200914.410346126</v>
      </c>
      <c r="I53" s="33">
        <f t="shared" si="8"/>
        <v>1007284.8316416461</v>
      </c>
      <c r="J53" s="42">
        <f t="shared" si="9"/>
        <v>6.6296524238912941E-2</v>
      </c>
      <c r="K53" s="12">
        <f t="shared" si="3"/>
        <v>6.6296524238912941E-2</v>
      </c>
      <c r="L53" s="10">
        <f t="shared" si="4"/>
        <v>1014622732055.3394</v>
      </c>
      <c r="M53" s="10">
        <f t="shared" si="5"/>
        <v>996181.87305570021</v>
      </c>
      <c r="N53" s="10">
        <f t="shared" si="6"/>
        <v>992378324204.76318</v>
      </c>
      <c r="O53"/>
    </row>
    <row r="54" spans="1:15" x14ac:dyDescent="0.2">
      <c r="A54" s="49">
        <v>43220</v>
      </c>
      <c r="B54" s="50">
        <v>13837634.778933216</v>
      </c>
      <c r="C54" s="50">
        <v>585.9000244140625</v>
      </c>
      <c r="D54" s="50">
        <v>0</v>
      </c>
      <c r="E54" s="50">
        <v>30</v>
      </c>
      <c r="F54" s="78">
        <v>1</v>
      </c>
      <c r="G54" s="50">
        <v>11721</v>
      </c>
      <c r="H54" s="50">
        <f t="shared" si="7"/>
        <v>14297813.938976614</v>
      </c>
      <c r="I54" s="33">
        <f t="shared" si="8"/>
        <v>460179.16004339792</v>
      </c>
      <c r="J54" s="42">
        <f t="shared" si="9"/>
        <v>3.3255622611458639E-2</v>
      </c>
      <c r="K54" s="12">
        <f t="shared" si="3"/>
        <v>3.3255622611458639E-2</v>
      </c>
      <c r="L54" s="10">
        <f t="shared" si="4"/>
        <v>211764859338.24722</v>
      </c>
      <c r="M54" s="10">
        <f t="shared" si="5"/>
        <v>-547105.67159824818</v>
      </c>
      <c r="N54" s="10">
        <f t="shared" si="6"/>
        <v>299324615894.97021</v>
      </c>
      <c r="O54"/>
    </row>
    <row r="55" spans="1:15" x14ac:dyDescent="0.2">
      <c r="A55" s="49">
        <v>43251</v>
      </c>
      <c r="B55" s="50">
        <v>10923910.99195011</v>
      </c>
      <c r="C55" s="50">
        <v>214</v>
      </c>
      <c r="D55" s="50">
        <v>5.5999999046325684</v>
      </c>
      <c r="E55" s="50">
        <v>31</v>
      </c>
      <c r="F55" s="78">
        <v>1</v>
      </c>
      <c r="G55" s="50">
        <v>11697</v>
      </c>
      <c r="H55" s="50">
        <f t="shared" ref="H55:H86" si="10">$Q$18+$Q$19*C55+$Q$20*D55+$Q$21*E55+$Q$22*F55+$Q$23*G55</f>
        <v>11263098.201091669</v>
      </c>
      <c r="I55" s="33">
        <f t="shared" ref="I55:I86" si="11">H55-B55</f>
        <v>339187.2091415599</v>
      </c>
      <c r="J55" s="42">
        <f t="shared" ref="J55:J86" si="12">I55/B55</f>
        <v>3.1049979205387962E-2</v>
      </c>
      <c r="K55" s="12">
        <f t="shared" si="3"/>
        <v>3.1049979205387962E-2</v>
      </c>
      <c r="L55" s="10">
        <f t="shared" si="4"/>
        <v>115047962845.2403</v>
      </c>
      <c r="M55" s="10">
        <f t="shared" si="5"/>
        <v>-120991.95090183802</v>
      </c>
      <c r="N55" s="10">
        <f t="shared" si="6"/>
        <v>14639052183.032782</v>
      </c>
      <c r="O55"/>
    </row>
    <row r="56" spans="1:15" x14ac:dyDescent="0.2">
      <c r="A56" s="49">
        <v>43281</v>
      </c>
      <c r="B56" s="50">
        <v>10383979.679301962</v>
      </c>
      <c r="C56" s="50">
        <v>104.5</v>
      </c>
      <c r="D56" s="50">
        <v>17.100000381469727</v>
      </c>
      <c r="E56" s="50">
        <v>30</v>
      </c>
      <c r="F56" s="78">
        <v>0</v>
      </c>
      <c r="G56" s="50">
        <v>11711</v>
      </c>
      <c r="H56" s="50">
        <f t="shared" si="10"/>
        <v>10850835.92891521</v>
      </c>
      <c r="I56" s="33">
        <f t="shared" si="11"/>
        <v>466856.24961324781</v>
      </c>
      <c r="J56" s="42">
        <f t="shared" si="12"/>
        <v>4.4959279970839761E-2</v>
      </c>
      <c r="K56" s="12">
        <f t="shared" ref="K56:K119" si="13">ABS(J56)</f>
        <v>4.4959279970839761E-2</v>
      </c>
      <c r="L56" s="10">
        <f t="shared" ref="L56:L119" si="14">I56*I56</f>
        <v>217954757802.94714</v>
      </c>
      <c r="M56" s="10">
        <f t="shared" si="5"/>
        <v>127669.04047168791</v>
      </c>
      <c r="N56" s="10">
        <f t="shared" si="6"/>
        <v>16299383894.961487</v>
      </c>
      <c r="O56"/>
    </row>
    <row r="57" spans="1:15" x14ac:dyDescent="0.2">
      <c r="A57" s="49">
        <v>43312</v>
      </c>
      <c r="B57" s="50">
        <v>11536033.348314788</v>
      </c>
      <c r="C57" s="50">
        <v>19.600000381469727</v>
      </c>
      <c r="D57" s="50">
        <v>59.599998474121094</v>
      </c>
      <c r="E57" s="50">
        <v>31</v>
      </c>
      <c r="F57" s="78">
        <v>0</v>
      </c>
      <c r="G57" s="50">
        <v>11710</v>
      </c>
      <c r="H57" s="50">
        <f t="shared" si="10"/>
        <v>11686774.546573751</v>
      </c>
      <c r="I57" s="33">
        <f t="shared" si="11"/>
        <v>150741.19825896248</v>
      </c>
      <c r="J57" s="42">
        <f t="shared" si="12"/>
        <v>1.3066987040305594E-2</v>
      </c>
      <c r="K57" s="12">
        <f t="shared" si="13"/>
        <v>1.3066987040305594E-2</v>
      </c>
      <c r="L57" s="10">
        <f t="shared" si="14"/>
        <v>22722908852.547832</v>
      </c>
      <c r="M57" s="10">
        <f t="shared" ref="M57:M120" si="15">I57-I56</f>
        <v>-316115.05135428533</v>
      </c>
      <c r="N57" s="10">
        <f t="shared" ref="N57:N120" si="16">M57*M57</f>
        <v>99928725692.722458</v>
      </c>
      <c r="O57"/>
    </row>
    <row r="58" spans="1:15" x14ac:dyDescent="0.2">
      <c r="A58" s="49">
        <v>43343</v>
      </c>
      <c r="B58" s="50">
        <v>11552224.858122021</v>
      </c>
      <c r="C58" s="50">
        <v>24.600000381469727</v>
      </c>
      <c r="D58" s="50">
        <v>45.5</v>
      </c>
      <c r="E58" s="50">
        <v>31</v>
      </c>
      <c r="F58" s="78">
        <v>0</v>
      </c>
      <c r="G58" s="50">
        <v>11708</v>
      </c>
      <c r="H58" s="50">
        <f t="shared" si="10"/>
        <v>11327675.148445703</v>
      </c>
      <c r="I58" s="33">
        <f t="shared" si="11"/>
        <v>-224549.70967631787</v>
      </c>
      <c r="J58" s="42">
        <f t="shared" si="12"/>
        <v>-1.9437789034935874E-2</v>
      </c>
      <c r="K58" s="12">
        <f t="shared" si="13"/>
        <v>1.9437789034935874E-2</v>
      </c>
      <c r="L58" s="10">
        <f t="shared" si="14"/>
        <v>50422572115.718643</v>
      </c>
      <c r="M58" s="10">
        <f t="shared" si="15"/>
        <v>-375290.90793528035</v>
      </c>
      <c r="N58" s="10">
        <f t="shared" si="16"/>
        <v>140843265578.88708</v>
      </c>
      <c r="O58"/>
    </row>
    <row r="59" spans="1:15" x14ac:dyDescent="0.2">
      <c r="A59" s="49">
        <v>43373</v>
      </c>
      <c r="B59" s="50">
        <v>10951532.343607357</v>
      </c>
      <c r="C59" s="50">
        <v>135</v>
      </c>
      <c r="D59" s="50">
        <v>22.5</v>
      </c>
      <c r="E59" s="50">
        <v>30</v>
      </c>
      <c r="F59" s="78">
        <v>1</v>
      </c>
      <c r="G59" s="50">
        <v>11719</v>
      </c>
      <c r="H59" s="50">
        <f t="shared" si="10"/>
        <v>10596893.814966112</v>
      </c>
      <c r="I59" s="33">
        <f t="shared" si="11"/>
        <v>-354638.5286412444</v>
      </c>
      <c r="J59" s="42">
        <f t="shared" si="12"/>
        <v>-3.2382548625558734E-2</v>
      </c>
      <c r="K59" s="12">
        <f t="shared" si="13"/>
        <v>3.2382548625558734E-2</v>
      </c>
      <c r="L59" s="10">
        <f t="shared" si="14"/>
        <v>125768485996.82672</v>
      </c>
      <c r="M59" s="10">
        <f t="shared" si="15"/>
        <v>-130088.81896492653</v>
      </c>
      <c r="N59" s="10">
        <f t="shared" si="16"/>
        <v>16923100819.689426</v>
      </c>
      <c r="O59"/>
    </row>
    <row r="60" spans="1:15" x14ac:dyDescent="0.2">
      <c r="A60" s="49">
        <v>43404</v>
      </c>
      <c r="B60" s="50">
        <v>13527921.456909008</v>
      </c>
      <c r="C60" s="50">
        <v>376.39999389648438</v>
      </c>
      <c r="D60" s="50">
        <v>0</v>
      </c>
      <c r="E60" s="50">
        <v>31</v>
      </c>
      <c r="F60" s="78">
        <v>1</v>
      </c>
      <c r="G60" s="50">
        <v>11716</v>
      </c>
      <c r="H60" s="50">
        <f t="shared" si="10"/>
        <v>12712672.877107223</v>
      </c>
      <c r="I60" s="33">
        <f t="shared" si="11"/>
        <v>-815248.57980178483</v>
      </c>
      <c r="J60" s="42">
        <f t="shared" si="12"/>
        <v>-6.0264142011662802E-2</v>
      </c>
      <c r="K60" s="12">
        <f t="shared" si="13"/>
        <v>6.0264142011662802E-2</v>
      </c>
      <c r="L60" s="10">
        <f t="shared" si="14"/>
        <v>664630246868.82715</v>
      </c>
      <c r="M60" s="10">
        <f t="shared" si="15"/>
        <v>-460610.05116054043</v>
      </c>
      <c r="N60" s="10">
        <f t="shared" si="16"/>
        <v>212161619230.11566</v>
      </c>
      <c r="O60"/>
    </row>
    <row r="61" spans="1:15" x14ac:dyDescent="0.2">
      <c r="A61" s="49">
        <v>43434</v>
      </c>
      <c r="B61" s="50">
        <v>15298282.676674653</v>
      </c>
      <c r="C61" s="50">
        <v>604.0999755859375</v>
      </c>
      <c r="D61" s="50">
        <v>0</v>
      </c>
      <c r="E61" s="50">
        <v>30</v>
      </c>
      <c r="F61" s="78">
        <v>0</v>
      </c>
      <c r="G61" s="50">
        <v>11726</v>
      </c>
      <c r="H61" s="50">
        <f t="shared" si="10"/>
        <v>15206466.66162109</v>
      </c>
      <c r="I61" s="33">
        <f t="shared" si="11"/>
        <v>-91816.01505356282</v>
      </c>
      <c r="J61" s="42">
        <f t="shared" si="12"/>
        <v>-6.0017203887567745E-3</v>
      </c>
      <c r="K61" s="12">
        <f t="shared" si="13"/>
        <v>6.0017203887567745E-3</v>
      </c>
      <c r="L61" s="10">
        <f t="shared" si="14"/>
        <v>8430180620.3160744</v>
      </c>
      <c r="M61" s="10">
        <f t="shared" si="15"/>
        <v>723432.56474822201</v>
      </c>
      <c r="N61" s="10">
        <f t="shared" si="16"/>
        <v>523354675738.19043</v>
      </c>
      <c r="O61"/>
    </row>
    <row r="62" spans="1:15" x14ac:dyDescent="0.2">
      <c r="A62" s="49">
        <v>43465</v>
      </c>
      <c r="B62" s="50">
        <v>16584020.388725907</v>
      </c>
      <c r="C62" s="50">
        <v>686.5999755859375</v>
      </c>
      <c r="D62" s="50">
        <v>0</v>
      </c>
      <c r="E62" s="50">
        <v>31</v>
      </c>
      <c r="F62" s="78">
        <v>0</v>
      </c>
      <c r="G62" s="50">
        <v>11723</v>
      </c>
      <c r="H62" s="50">
        <f t="shared" si="10"/>
        <v>16435451.39483263</v>
      </c>
      <c r="I62" s="33">
        <f t="shared" si="11"/>
        <v>-148568.9938932769</v>
      </c>
      <c r="J62" s="42">
        <f t="shared" si="12"/>
        <v>-8.9585631475873357E-3</v>
      </c>
      <c r="K62" s="12">
        <f t="shared" si="13"/>
        <v>8.9585631475873357E-3</v>
      </c>
      <c r="L62" s="10">
        <f t="shared" si="14"/>
        <v>22072745946.460548</v>
      </c>
      <c r="M62" s="10">
        <f t="shared" si="15"/>
        <v>-56752.97883971408</v>
      </c>
      <c r="N62" s="10">
        <f t="shared" si="16"/>
        <v>3220900607.1810341</v>
      </c>
      <c r="O62"/>
    </row>
    <row r="63" spans="1:15" x14ac:dyDescent="0.2">
      <c r="A63" s="49">
        <v>43496</v>
      </c>
      <c r="B63" s="101">
        <v>19637337.168973975</v>
      </c>
      <c r="C63" s="50">
        <v>1069.6000000000001</v>
      </c>
      <c r="D63" s="50">
        <v>0</v>
      </c>
      <c r="E63" s="50">
        <v>31</v>
      </c>
      <c r="F63" s="78">
        <v>0</v>
      </c>
      <c r="G63" s="50">
        <f>'Rate Class Customer Model'!N3</f>
        <v>11723.666672897911</v>
      </c>
      <c r="H63" s="50">
        <f t="shared" si="10"/>
        <v>20121745.0329744</v>
      </c>
      <c r="I63" s="33">
        <f t="shared" si="11"/>
        <v>484407.86400042474</v>
      </c>
      <c r="J63" s="42">
        <f t="shared" si="12"/>
        <v>2.4667696023764632E-2</v>
      </c>
      <c r="K63" s="12">
        <f t="shared" si="13"/>
        <v>2.4667696023764632E-2</v>
      </c>
      <c r="L63" s="10">
        <f t="shared" si="14"/>
        <v>234650978705.45398</v>
      </c>
      <c r="M63" s="10">
        <f t="shared" si="15"/>
        <v>632976.85789370164</v>
      </c>
      <c r="N63" s="10">
        <f t="shared" si="16"/>
        <v>400659702628.98334</v>
      </c>
      <c r="O63"/>
    </row>
    <row r="64" spans="1:15" x14ac:dyDescent="0.2">
      <c r="A64" s="49">
        <v>43524</v>
      </c>
      <c r="B64" s="101">
        <v>16729584.527256118</v>
      </c>
      <c r="C64" s="50">
        <v>889.29999999999984</v>
      </c>
      <c r="D64" s="50">
        <v>0</v>
      </c>
      <c r="E64" s="50">
        <v>28</v>
      </c>
      <c r="F64" s="78">
        <v>0</v>
      </c>
      <c r="G64" s="50">
        <f>'Rate Class Customer Model'!N4</f>
        <v>11724.333383708708</v>
      </c>
      <c r="H64" s="50">
        <f t="shared" si="10"/>
        <v>17060686.555796005</v>
      </c>
      <c r="I64" s="33">
        <f t="shared" si="11"/>
        <v>331102.0285398867</v>
      </c>
      <c r="J64" s="42">
        <f t="shared" si="12"/>
        <v>1.979140773044601E-2</v>
      </c>
      <c r="K64" s="12">
        <f t="shared" si="13"/>
        <v>1.979140773044601E-2</v>
      </c>
      <c r="L64" s="10">
        <f t="shared" si="14"/>
        <v>109628553303.22795</v>
      </c>
      <c r="M64" s="10">
        <f t="shared" si="15"/>
        <v>-153305.83546053804</v>
      </c>
      <c r="N64" s="10">
        <f t="shared" si="16"/>
        <v>23502679186.253563</v>
      </c>
      <c r="O64"/>
    </row>
    <row r="65" spans="1:15" x14ac:dyDescent="0.2">
      <c r="A65" s="49">
        <v>43555</v>
      </c>
      <c r="B65" s="101">
        <v>16465957.668928627</v>
      </c>
      <c r="C65" s="50">
        <v>804.70000000000016</v>
      </c>
      <c r="D65" s="50">
        <v>0</v>
      </c>
      <c r="E65" s="50">
        <v>31</v>
      </c>
      <c r="F65" s="78">
        <v>1</v>
      </c>
      <c r="G65" s="50">
        <f>'Rate Class Customer Model'!N5</f>
        <v>11725.000132434547</v>
      </c>
      <c r="H65" s="50">
        <f t="shared" si="10"/>
        <v>16855375.47122658</v>
      </c>
      <c r="I65" s="33">
        <f t="shared" si="11"/>
        <v>389417.80229795352</v>
      </c>
      <c r="J65" s="42">
        <f t="shared" si="12"/>
        <v>2.3649872672318814E-2</v>
      </c>
      <c r="K65" s="12">
        <f t="shared" si="13"/>
        <v>2.3649872672318814E-2</v>
      </c>
      <c r="L65" s="10">
        <f t="shared" si="14"/>
        <v>151646224746.56802</v>
      </c>
      <c r="M65" s="10">
        <f t="shared" si="15"/>
        <v>58315.773758066818</v>
      </c>
      <c r="N65" s="10">
        <f t="shared" si="16"/>
        <v>3400729469.0020347</v>
      </c>
    </row>
    <row r="66" spans="1:15" x14ac:dyDescent="0.2">
      <c r="A66" s="49">
        <v>43585</v>
      </c>
      <c r="B66" s="101">
        <v>13831744.211382609</v>
      </c>
      <c r="C66" s="50">
        <v>501.4</v>
      </c>
      <c r="D66" s="50">
        <v>0</v>
      </c>
      <c r="E66" s="50">
        <v>30</v>
      </c>
      <c r="F66" s="78">
        <v>1</v>
      </c>
      <c r="G66" s="50">
        <f>'Rate Class Customer Model'!N6</f>
        <v>11725.666919077583</v>
      </c>
      <c r="H66" s="50">
        <f t="shared" si="10"/>
        <v>13496419.947398676</v>
      </c>
      <c r="I66" s="33">
        <f t="shared" si="11"/>
        <v>-335324.26398393326</v>
      </c>
      <c r="J66" s="42">
        <f t="shared" si="12"/>
        <v>-2.4243093196300119E-2</v>
      </c>
      <c r="K66" s="12">
        <f t="shared" si="13"/>
        <v>2.4243093196300119E-2</v>
      </c>
      <c r="L66" s="10">
        <f t="shared" si="14"/>
        <v>112442362016.36656</v>
      </c>
      <c r="M66" s="10">
        <f t="shared" si="15"/>
        <v>-724742.06628188677</v>
      </c>
      <c r="N66" s="10">
        <f t="shared" si="16"/>
        <v>525251062638.53876</v>
      </c>
    </row>
    <row r="67" spans="1:15" x14ac:dyDescent="0.2">
      <c r="A67" s="49">
        <v>43616</v>
      </c>
      <c r="B67" s="101">
        <v>12978325.525520403</v>
      </c>
      <c r="C67" s="50">
        <v>377.40000000000003</v>
      </c>
      <c r="D67" s="50">
        <v>0</v>
      </c>
      <c r="E67" s="50">
        <v>31</v>
      </c>
      <c r="F67" s="78">
        <v>1</v>
      </c>
      <c r="G67" s="50">
        <f>'Rate Class Customer Model'!N7</f>
        <v>11726.333743639972</v>
      </c>
      <c r="H67" s="50">
        <f t="shared" si="10"/>
        <v>12747839.551986264</v>
      </c>
      <c r="I67" s="33">
        <f t="shared" si="11"/>
        <v>-230485.97353413887</v>
      </c>
      <c r="J67" s="42">
        <f t="shared" si="12"/>
        <v>-1.7759299771061714E-2</v>
      </c>
      <c r="K67" s="12">
        <f t="shared" si="13"/>
        <v>1.7759299771061714E-2</v>
      </c>
      <c r="L67" s="10">
        <f t="shared" si="14"/>
        <v>53123783995.979767</v>
      </c>
      <c r="M67" s="10">
        <f t="shared" si="15"/>
        <v>104838.29044979438</v>
      </c>
      <c r="N67" s="10">
        <f t="shared" si="16"/>
        <v>10991067144.435448</v>
      </c>
    </row>
    <row r="68" spans="1:15" x14ac:dyDescent="0.2">
      <c r="A68" s="49">
        <v>43646</v>
      </c>
      <c r="B68" s="101">
        <v>11178405.775727794</v>
      </c>
      <c r="C68" s="50">
        <v>172.10000000000002</v>
      </c>
      <c r="D68" s="50">
        <v>0</v>
      </c>
      <c r="E68" s="50">
        <v>30</v>
      </c>
      <c r="F68" s="78">
        <v>0</v>
      </c>
      <c r="G68" s="50">
        <f>'Rate Class Customer Model'!N8</f>
        <v>11727.000606123871</v>
      </c>
      <c r="H68" s="50">
        <f t="shared" si="10"/>
        <v>11052891.478556212</v>
      </c>
      <c r="I68" s="33">
        <f t="shared" si="11"/>
        <v>-125514.29717158154</v>
      </c>
      <c r="J68" s="42">
        <f t="shared" si="12"/>
        <v>-1.1228282430408522E-2</v>
      </c>
      <c r="K68" s="12">
        <f t="shared" si="13"/>
        <v>1.1228282430408522E-2</v>
      </c>
      <c r="L68" s="10">
        <f t="shared" si="14"/>
        <v>15753838794.476082</v>
      </c>
      <c r="M68" s="10">
        <f t="shared" si="15"/>
        <v>104971.67636255734</v>
      </c>
      <c r="N68" s="10">
        <f t="shared" si="16"/>
        <v>11019052838.365479</v>
      </c>
    </row>
    <row r="69" spans="1:15" x14ac:dyDescent="0.2">
      <c r="A69" s="49">
        <v>43677</v>
      </c>
      <c r="B69" s="101">
        <v>11573471.881417811</v>
      </c>
      <c r="C69" s="50">
        <v>81.800000000000011</v>
      </c>
      <c r="D69" s="50">
        <v>4</v>
      </c>
      <c r="E69" s="50">
        <v>31</v>
      </c>
      <c r="F69" s="78">
        <v>0</v>
      </c>
      <c r="G69" s="50">
        <f>'Rate Class Customer Model'!N9</f>
        <v>11727.667506531438</v>
      </c>
      <c r="H69" s="50">
        <f t="shared" si="10"/>
        <v>10742637.220331922</v>
      </c>
      <c r="I69" s="33">
        <f t="shared" si="11"/>
        <v>-830834.66108588874</v>
      </c>
      <c r="J69" s="42">
        <f t="shared" si="12"/>
        <v>-7.1787849799839598E-2</v>
      </c>
      <c r="K69" s="12">
        <f t="shared" si="13"/>
        <v>7.1787849799839598E-2</v>
      </c>
      <c r="L69" s="10">
        <f t="shared" si="14"/>
        <v>690286234061.70361</v>
      </c>
      <c r="M69" s="10">
        <f t="shared" si="15"/>
        <v>-705320.36391430721</v>
      </c>
      <c r="N69" s="10">
        <f t="shared" si="16"/>
        <v>497476815752.21075</v>
      </c>
    </row>
    <row r="70" spans="1:15" x14ac:dyDescent="0.2">
      <c r="A70" s="49">
        <v>43708</v>
      </c>
      <c r="B70" s="101">
        <v>11315275.073861357</v>
      </c>
      <c r="C70" s="50">
        <v>101.39999999999998</v>
      </c>
      <c r="D70" s="50">
        <v>0.1</v>
      </c>
      <c r="E70" s="50">
        <v>31</v>
      </c>
      <c r="F70" s="78">
        <v>0</v>
      </c>
      <c r="G70" s="50">
        <f>'Rate Class Customer Model'!N10</f>
        <v>11728.334444864828</v>
      </c>
      <c r="H70" s="50">
        <f t="shared" si="10"/>
        <v>10821584.694824722</v>
      </c>
      <c r="I70" s="33">
        <f t="shared" si="11"/>
        <v>-493690.37903663516</v>
      </c>
      <c r="J70" s="42">
        <f t="shared" si="12"/>
        <v>-4.3630435478946114E-2</v>
      </c>
      <c r="K70" s="12">
        <f t="shared" si="13"/>
        <v>4.3630435478946114E-2</v>
      </c>
      <c r="L70" s="10">
        <f t="shared" si="14"/>
        <v>243730190353.33649</v>
      </c>
      <c r="M70" s="10">
        <f t="shared" si="15"/>
        <v>337144.28204925358</v>
      </c>
      <c r="N70" s="10">
        <f t="shared" si="16"/>
        <v>113666266918.50665</v>
      </c>
    </row>
    <row r="71" spans="1:15" x14ac:dyDescent="0.2">
      <c r="A71" s="49">
        <v>43738</v>
      </c>
      <c r="B71" s="101">
        <v>10677479.646425838</v>
      </c>
      <c r="C71" s="50">
        <v>165.10000000000002</v>
      </c>
      <c r="D71" s="50">
        <v>3.6</v>
      </c>
      <c r="E71" s="50">
        <v>30</v>
      </c>
      <c r="F71" s="78">
        <v>1</v>
      </c>
      <c r="G71" s="50">
        <f>'Rate Class Customer Model'!N11</f>
        <v>11729.001421126197</v>
      </c>
      <c r="H71" s="50">
        <f t="shared" si="10"/>
        <v>10371998.556891922</v>
      </c>
      <c r="I71" s="33">
        <f t="shared" si="11"/>
        <v>-305481.08953391574</v>
      </c>
      <c r="J71" s="42">
        <f t="shared" si="12"/>
        <v>-2.860984985685943E-2</v>
      </c>
      <c r="K71" s="12">
        <f t="shared" si="13"/>
        <v>2.860984985685943E-2</v>
      </c>
      <c r="L71" s="10">
        <f t="shared" si="14"/>
        <v>93318696062.828247</v>
      </c>
      <c r="M71" s="10">
        <f t="shared" si="15"/>
        <v>188209.28950271942</v>
      </c>
      <c r="N71" s="10">
        <f t="shared" si="16"/>
        <v>35422736655.118446</v>
      </c>
    </row>
    <row r="72" spans="1:15" x14ac:dyDescent="0.2">
      <c r="A72" s="49">
        <v>43769</v>
      </c>
      <c r="B72" s="101">
        <v>12864280.841046941</v>
      </c>
      <c r="C72" s="50">
        <v>378.6</v>
      </c>
      <c r="D72" s="50">
        <v>0</v>
      </c>
      <c r="E72" s="50">
        <v>31</v>
      </c>
      <c r="F72" s="78">
        <v>1</v>
      </c>
      <c r="G72" s="50">
        <f>'Rate Class Customer Model'!N12</f>
        <v>11729.668435317704</v>
      </c>
      <c r="H72" s="50">
        <f t="shared" si="10"/>
        <v>12767627.85122454</v>
      </c>
      <c r="I72" s="33">
        <f t="shared" si="11"/>
        <v>-96652.989822400734</v>
      </c>
      <c r="J72" s="42">
        <f t="shared" si="12"/>
        <v>-7.5132835652968206E-3</v>
      </c>
      <c r="K72" s="12">
        <f t="shared" si="13"/>
        <v>7.5132835652968206E-3</v>
      </c>
      <c r="L72" s="10">
        <f t="shared" si="14"/>
        <v>9341800441.6091003</v>
      </c>
      <c r="M72" s="10">
        <f t="shared" si="15"/>
        <v>208828.09971151501</v>
      </c>
      <c r="N72" s="10">
        <f t="shared" si="16"/>
        <v>43609175229.122452</v>
      </c>
    </row>
    <row r="73" spans="1:15" x14ac:dyDescent="0.2">
      <c r="A73" s="49">
        <v>43799</v>
      </c>
      <c r="B73" s="101">
        <v>15602832.024120431</v>
      </c>
      <c r="C73" s="50">
        <v>701.19999999999982</v>
      </c>
      <c r="D73" s="50">
        <v>0</v>
      </c>
      <c r="E73" s="50">
        <v>30</v>
      </c>
      <c r="F73" s="78">
        <v>0</v>
      </c>
      <c r="G73" s="50">
        <f>'Rate Class Customer Model'!N13</f>
        <v>11730.335487441505</v>
      </c>
      <c r="H73" s="50">
        <f t="shared" si="10"/>
        <v>16151333.672652211</v>
      </c>
      <c r="I73" s="33">
        <f t="shared" si="11"/>
        <v>548501.64853177965</v>
      </c>
      <c r="J73" s="42">
        <f t="shared" si="12"/>
        <v>3.5153980231527875E-2</v>
      </c>
      <c r="K73" s="12">
        <f t="shared" si="13"/>
        <v>3.5153980231527875E-2</v>
      </c>
      <c r="L73" s="10">
        <f t="shared" si="14"/>
        <v>300854058442.07996</v>
      </c>
      <c r="M73" s="10">
        <f t="shared" si="15"/>
        <v>645154.63835418038</v>
      </c>
      <c r="N73" s="10">
        <f t="shared" si="16"/>
        <v>416224507389.91327</v>
      </c>
    </row>
    <row r="74" spans="1:15" x14ac:dyDescent="0.2">
      <c r="A74" s="49">
        <v>43830</v>
      </c>
      <c r="B74" s="101">
        <v>17908576.829616662</v>
      </c>
      <c r="C74" s="50">
        <v>839.2</v>
      </c>
      <c r="D74" s="50">
        <v>0</v>
      </c>
      <c r="E74" s="50">
        <v>31</v>
      </c>
      <c r="F74" s="78">
        <v>0</v>
      </c>
      <c r="G74" s="50">
        <f>'Rate Class Customer Model'!N14</f>
        <v>11731.002577499758</v>
      </c>
      <c r="H74" s="50">
        <f t="shared" si="10"/>
        <v>17923320.703084458</v>
      </c>
      <c r="I74" s="33">
        <f t="shared" si="11"/>
        <v>14743.873467795551</v>
      </c>
      <c r="J74" s="42">
        <f t="shared" si="12"/>
        <v>8.2328560265115987E-4</v>
      </c>
      <c r="K74" s="12">
        <f t="shared" si="13"/>
        <v>8.2328560265115987E-4</v>
      </c>
      <c r="L74" s="10">
        <f t="shared" si="14"/>
        <v>217381804.83436561</v>
      </c>
      <c r="M74" s="10">
        <f t="shared" si="15"/>
        <v>-533757.7750639841</v>
      </c>
      <c r="N74" s="10">
        <f t="shared" si="16"/>
        <v>284897362441.25464</v>
      </c>
    </row>
    <row r="75" spans="1:15" x14ac:dyDescent="0.2">
      <c r="A75" s="49">
        <v>43861</v>
      </c>
      <c r="B75" s="101">
        <v>16877589.302005738</v>
      </c>
      <c r="C75" s="50">
        <v>839.8000000000003</v>
      </c>
      <c r="D75" s="50">
        <v>0</v>
      </c>
      <c r="E75" s="50">
        <v>31</v>
      </c>
      <c r="F75" s="78">
        <v>0</v>
      </c>
      <c r="G75" s="50">
        <f>'Rate Class Customer Model'!O3</f>
        <v>11760.271208546033</v>
      </c>
      <c r="H75" s="50">
        <f t="shared" si="10"/>
        <v>18001448.215976626</v>
      </c>
      <c r="I75" s="33">
        <f t="shared" si="11"/>
        <v>1123858.9139708877</v>
      </c>
      <c r="J75" s="42">
        <f t="shared" si="12"/>
        <v>6.658882935593935E-2</v>
      </c>
      <c r="K75" s="12">
        <f t="shared" si="13"/>
        <v>6.658882935593935E-2</v>
      </c>
      <c r="L75" s="10">
        <f t="shared" si="14"/>
        <v>1263058858511.823</v>
      </c>
      <c r="M75" s="10">
        <f t="shared" si="15"/>
        <v>1109115.0405030921</v>
      </c>
      <c r="N75" s="10">
        <f t="shared" si="16"/>
        <v>1230136173070.1755</v>
      </c>
      <c r="O75" s="43"/>
    </row>
    <row r="76" spans="1:15" x14ac:dyDescent="0.2">
      <c r="A76" s="49">
        <v>43890</v>
      </c>
      <c r="B76" s="101">
        <v>16224556.038270883</v>
      </c>
      <c r="C76" s="50">
        <v>827.59999999999991</v>
      </c>
      <c r="D76" s="50">
        <v>0</v>
      </c>
      <c r="E76" s="50">
        <v>29</v>
      </c>
      <c r="F76" s="78">
        <v>0</v>
      </c>
      <c r="G76" s="50">
        <f>'Rate Class Customer Model'!O4</f>
        <v>11789.612864276914</v>
      </c>
      <c r="H76" s="50">
        <f t="shared" si="10"/>
        <v>17071191.780654915</v>
      </c>
      <c r="I76" s="33">
        <f t="shared" si="11"/>
        <v>846635.74238403141</v>
      </c>
      <c r="J76" s="42">
        <f t="shared" si="12"/>
        <v>5.2182367294794765E-2</v>
      </c>
      <c r="K76" s="12">
        <f t="shared" si="13"/>
        <v>5.2182367294794765E-2</v>
      </c>
      <c r="L76" s="10">
        <f t="shared" si="14"/>
        <v>716792080282.16003</v>
      </c>
      <c r="M76" s="10">
        <f t="shared" si="15"/>
        <v>-277223.17158685625</v>
      </c>
      <c r="N76" s="10">
        <f t="shared" si="16"/>
        <v>76852686864.675537</v>
      </c>
    </row>
    <row r="77" spans="1:15" x14ac:dyDescent="0.2">
      <c r="A77" s="49">
        <v>43921</v>
      </c>
      <c r="B77" s="101">
        <v>15621328.105639601</v>
      </c>
      <c r="C77" s="50">
        <v>691.29999999999984</v>
      </c>
      <c r="D77" s="50">
        <v>0</v>
      </c>
      <c r="E77" s="50">
        <v>31</v>
      </c>
      <c r="F77" s="78">
        <v>1</v>
      </c>
      <c r="G77" s="50">
        <f>'Rate Class Customer Model'!O5</f>
        <v>11819.027726887616</v>
      </c>
      <c r="H77" s="50">
        <f t="shared" si="10"/>
        <v>15996858.988814434</v>
      </c>
      <c r="I77" s="33">
        <f t="shared" si="11"/>
        <v>375530.88317483291</v>
      </c>
      <c r="J77" s="42">
        <f t="shared" si="12"/>
        <v>2.4039625865054266E-2</v>
      </c>
      <c r="K77" s="12">
        <f t="shared" si="13"/>
        <v>2.4039625865054266E-2</v>
      </c>
      <c r="L77" s="10">
        <f t="shared" si="14"/>
        <v>141023444218.07001</v>
      </c>
      <c r="M77" s="10">
        <f t="shared" si="15"/>
        <v>-471104.8592091985</v>
      </c>
      <c r="N77" s="10">
        <f t="shared" si="16"/>
        <v>221939788370.51874</v>
      </c>
    </row>
    <row r="78" spans="1:15" x14ac:dyDescent="0.2">
      <c r="A78" s="49">
        <v>43951</v>
      </c>
      <c r="B78" s="101">
        <v>14016017.50036696</v>
      </c>
      <c r="C78" s="50">
        <v>557.99999999999977</v>
      </c>
      <c r="D78" s="50">
        <v>0</v>
      </c>
      <c r="E78" s="50">
        <v>30</v>
      </c>
      <c r="F78" s="78">
        <v>1</v>
      </c>
      <c r="G78" s="50">
        <f>'Rate Class Customer Model'!O6</f>
        <v>11848.515979027929</v>
      </c>
      <c r="H78" s="50">
        <f t="shared" si="10"/>
        <v>14344635.500975614</v>
      </c>
      <c r="I78" s="33">
        <f t="shared" si="11"/>
        <v>328618.00060865469</v>
      </c>
      <c r="J78" s="42">
        <f t="shared" si="12"/>
        <v>2.3445889718677292E-2</v>
      </c>
      <c r="K78" s="12">
        <f t="shared" si="13"/>
        <v>2.3445889718677292E-2</v>
      </c>
      <c r="L78" s="10">
        <f t="shared" si="14"/>
        <v>107989790324.02977</v>
      </c>
      <c r="M78" s="10">
        <f t="shared" si="15"/>
        <v>-46912.882566178218</v>
      </c>
      <c r="N78" s="10">
        <f t="shared" si="16"/>
        <v>2200818550.6680284</v>
      </c>
    </row>
    <row r="79" spans="1:15" x14ac:dyDescent="0.2">
      <c r="A79" s="49">
        <v>43982</v>
      </c>
      <c r="B79" s="101">
        <v>12658122.826417059</v>
      </c>
      <c r="C79" s="50">
        <v>332.00000000000011</v>
      </c>
      <c r="D79" s="50">
        <v>3.8000000000000003</v>
      </c>
      <c r="E79" s="50">
        <v>31</v>
      </c>
      <c r="F79" s="78">
        <v>1</v>
      </c>
      <c r="G79" s="50">
        <f>'Rate Class Customer Model'!O7</f>
        <v>11878.07780380335</v>
      </c>
      <c r="H79" s="50">
        <f t="shared" si="10"/>
        <v>12794607.18093379</v>
      </c>
      <c r="I79" s="33">
        <f t="shared" si="11"/>
        <v>136484.35451673158</v>
      </c>
      <c r="J79" s="42">
        <f t="shared" si="12"/>
        <v>1.0782353464914522E-2</v>
      </c>
      <c r="K79" s="12">
        <f t="shared" si="13"/>
        <v>1.0782353464914522E-2</v>
      </c>
      <c r="L79" s="10">
        <f t="shared" si="14"/>
        <v>18627979027.848866</v>
      </c>
      <c r="M79" s="10">
        <f t="shared" si="15"/>
        <v>-192133.64609192312</v>
      </c>
      <c r="N79" s="10">
        <f t="shared" si="16"/>
        <v>36915337960.576363</v>
      </c>
    </row>
    <row r="80" spans="1:15" x14ac:dyDescent="0.2">
      <c r="A80" s="49">
        <v>44012</v>
      </c>
      <c r="B80" s="101">
        <v>11451139.767475672</v>
      </c>
      <c r="C80" s="50">
        <v>148.19999999999999</v>
      </c>
      <c r="D80" s="50">
        <v>6.7</v>
      </c>
      <c r="E80" s="50">
        <v>30</v>
      </c>
      <c r="F80" s="78">
        <v>0</v>
      </c>
      <c r="G80" s="50">
        <f>'Rate Class Customer Model'!O8</f>
        <v>11907.713384776222</v>
      </c>
      <c r="H80" s="50">
        <f t="shared" si="10"/>
        <v>11460847.158420753</v>
      </c>
      <c r="I80" s="33">
        <f t="shared" si="11"/>
        <v>9707.3909450806677</v>
      </c>
      <c r="J80" s="42">
        <f t="shared" si="12"/>
        <v>8.4772268457086503E-4</v>
      </c>
      <c r="K80" s="12">
        <f t="shared" si="13"/>
        <v>8.4772268457086503E-4</v>
      </c>
      <c r="L80" s="10">
        <f t="shared" si="14"/>
        <v>94233438.960634142</v>
      </c>
      <c r="M80" s="10">
        <f t="shared" si="15"/>
        <v>-126776.96357165091</v>
      </c>
      <c r="N80" s="10">
        <f t="shared" si="16"/>
        <v>16072398492.447701</v>
      </c>
    </row>
    <row r="81" spans="1:15" x14ac:dyDescent="0.2">
      <c r="A81" s="49">
        <v>44043</v>
      </c>
      <c r="B81" s="101">
        <v>12242399.646833027</v>
      </c>
      <c r="C81" s="50">
        <v>33.200000000000003</v>
      </c>
      <c r="D81" s="50">
        <v>21.599999999999998</v>
      </c>
      <c r="E81" s="50">
        <v>31</v>
      </c>
      <c r="F81" s="78">
        <v>0</v>
      </c>
      <c r="G81" s="50">
        <f>'Rate Class Customer Model'!O9</f>
        <v>11937.422905966872</v>
      </c>
      <c r="H81" s="50">
        <f t="shared" si="10"/>
        <v>11295728.579250146</v>
      </c>
      <c r="I81" s="33">
        <f t="shared" si="11"/>
        <v>-946671.06758288108</v>
      </c>
      <c r="J81" s="42">
        <f t="shared" si="12"/>
        <v>-7.732724750803037E-2</v>
      </c>
      <c r="K81" s="12">
        <f t="shared" si="13"/>
        <v>7.732724750803037E-2</v>
      </c>
      <c r="L81" s="10">
        <f t="shared" si="14"/>
        <v>896186110198.51184</v>
      </c>
      <c r="M81" s="10">
        <f t="shared" si="15"/>
        <v>-956378.45852796175</v>
      </c>
      <c r="N81" s="10">
        <f t="shared" si="16"/>
        <v>914659755936.32019</v>
      </c>
      <c r="O81"/>
    </row>
    <row r="82" spans="1:15" x14ac:dyDescent="0.2">
      <c r="A82" s="49">
        <v>44074</v>
      </c>
      <c r="B82" s="101">
        <v>11652864.837160856</v>
      </c>
      <c r="C82" s="50">
        <v>69.599999999999994</v>
      </c>
      <c r="D82" s="50">
        <v>11.600000000000001</v>
      </c>
      <c r="E82" s="50">
        <v>31</v>
      </c>
      <c r="F82" s="78">
        <v>0</v>
      </c>
      <c r="G82" s="50">
        <f>'Rate Class Customer Model'!O10</f>
        <v>11967.206551854755</v>
      </c>
      <c r="H82" s="50">
        <f t="shared" si="10"/>
        <v>11434253.476888429</v>
      </c>
      <c r="I82" s="33">
        <f t="shared" si="11"/>
        <v>-218611.36027242616</v>
      </c>
      <c r="J82" s="42">
        <f t="shared" si="12"/>
        <v>-1.8760310303718358E-2</v>
      </c>
      <c r="K82" s="12">
        <f t="shared" si="13"/>
        <v>1.8760310303718358E-2</v>
      </c>
      <c r="L82" s="10">
        <f t="shared" si="14"/>
        <v>47790926840.160507</v>
      </c>
      <c r="M82" s="10">
        <f t="shared" si="15"/>
        <v>728059.70731045492</v>
      </c>
      <c r="N82" s="10">
        <f t="shared" si="16"/>
        <v>530070937408.98529</v>
      </c>
      <c r="O82"/>
    </row>
    <row r="83" spans="1:15" x14ac:dyDescent="0.2">
      <c r="A83" s="49">
        <v>44104</v>
      </c>
      <c r="B83" s="101">
        <v>11808660.748718735</v>
      </c>
      <c r="C83" s="50">
        <v>222.5</v>
      </c>
      <c r="D83" s="50">
        <v>0</v>
      </c>
      <c r="E83" s="50">
        <v>30</v>
      </c>
      <c r="F83" s="78">
        <v>1</v>
      </c>
      <c r="G83" s="50">
        <f>'Rate Class Customer Model'!O11</f>
        <v>11997.064507379599</v>
      </c>
      <c r="H83" s="50">
        <f t="shared" si="10"/>
        <v>11484191.202121988</v>
      </c>
      <c r="I83" s="33">
        <f t="shared" si="11"/>
        <v>-324469.54659674689</v>
      </c>
      <c r="J83" s="42">
        <f t="shared" si="12"/>
        <v>-2.7477251951026922E-2</v>
      </c>
      <c r="K83" s="12">
        <f t="shared" si="13"/>
        <v>2.7477251951026922E-2</v>
      </c>
      <c r="L83" s="10">
        <f t="shared" si="14"/>
        <v>105280486668.6985</v>
      </c>
      <c r="M83" s="10">
        <f t="shared" si="15"/>
        <v>-105858.18632432073</v>
      </c>
      <c r="N83" s="10">
        <f t="shared" si="16"/>
        <v>11205955611.874605</v>
      </c>
      <c r="O83"/>
    </row>
    <row r="84" spans="1:15" x14ac:dyDescent="0.2">
      <c r="A84" s="49">
        <v>44135</v>
      </c>
      <c r="B84" s="101">
        <v>14387318.209093727</v>
      </c>
      <c r="C84" s="50">
        <v>484.19999999999993</v>
      </c>
      <c r="D84" s="50">
        <v>0</v>
      </c>
      <c r="E84" s="50">
        <v>31</v>
      </c>
      <c r="F84" s="78">
        <v>1</v>
      </c>
      <c r="G84" s="50">
        <f>'Rate Class Customer Model'!O12</f>
        <v>12026.996957942549</v>
      </c>
      <c r="H84" s="50">
        <f t="shared" si="10"/>
        <v>14518579.222629415</v>
      </c>
      <c r="I84" s="33">
        <f t="shared" si="11"/>
        <v>131261.0135356877</v>
      </c>
      <c r="J84" s="42">
        <f t="shared" si="12"/>
        <v>9.1233829423972949E-3</v>
      </c>
      <c r="K84" s="12">
        <f t="shared" si="13"/>
        <v>9.1233829423972949E-3</v>
      </c>
      <c r="L84" s="10">
        <f t="shared" si="14"/>
        <v>17229453674.415989</v>
      </c>
      <c r="M84" s="10">
        <f t="shared" si="15"/>
        <v>455730.56013243459</v>
      </c>
      <c r="N84" s="10">
        <f t="shared" si="16"/>
        <v>207690343438.62259</v>
      </c>
      <c r="O84"/>
    </row>
    <row r="85" spans="1:15" x14ac:dyDescent="0.2">
      <c r="A85" s="49">
        <v>44165</v>
      </c>
      <c r="B85" s="101">
        <v>14693987.346136793</v>
      </c>
      <c r="C85" s="50">
        <v>516.6</v>
      </c>
      <c r="D85" s="50">
        <v>0</v>
      </c>
      <c r="E85" s="50">
        <v>30</v>
      </c>
      <c r="F85" s="78">
        <v>0</v>
      </c>
      <c r="G85" s="50">
        <f>'Rate Class Customer Model'!O13</f>
        <v>12057.004089407328</v>
      </c>
      <c r="H85" s="50">
        <f t="shared" si="10"/>
        <v>15182952.480384693</v>
      </c>
      <c r="I85" s="33">
        <f t="shared" si="11"/>
        <v>488965.13424789906</v>
      </c>
      <c r="J85" s="42">
        <f t="shared" si="12"/>
        <v>3.3276545210613184E-2</v>
      </c>
      <c r="K85" s="12">
        <f t="shared" si="13"/>
        <v>3.3276545210613184E-2</v>
      </c>
      <c r="L85" s="10">
        <f t="shared" si="14"/>
        <v>239086902510.06595</v>
      </c>
      <c r="M85" s="10">
        <f t="shared" si="15"/>
        <v>357704.12071221136</v>
      </c>
      <c r="N85" s="10">
        <f t="shared" si="16"/>
        <v>127952237974.49628</v>
      </c>
      <c r="O85"/>
    </row>
    <row r="86" spans="1:15" x14ac:dyDescent="0.2">
      <c r="A86" s="49">
        <v>44196</v>
      </c>
      <c r="B86" s="101">
        <v>17615452.852851637</v>
      </c>
      <c r="C86" s="50">
        <v>740.80000000000007</v>
      </c>
      <c r="D86" s="50">
        <v>0</v>
      </c>
      <c r="E86" s="50">
        <v>31</v>
      </c>
      <c r="F86" s="78">
        <v>0</v>
      </c>
      <c r="G86" s="50">
        <f>'Rate Class Customer Model'!O14</f>
        <v>12087.086088101383</v>
      </c>
      <c r="H86" s="50">
        <f t="shared" si="10"/>
        <v>17856942.055561177</v>
      </c>
      <c r="I86" s="33">
        <f t="shared" si="11"/>
        <v>241489.20270954072</v>
      </c>
      <c r="J86" s="42">
        <f t="shared" si="12"/>
        <v>1.3708940935370152E-2</v>
      </c>
      <c r="K86" s="12">
        <f t="shared" si="13"/>
        <v>1.3708940935370152E-2</v>
      </c>
      <c r="L86" s="10">
        <f t="shared" si="14"/>
        <v>58317035025.28965</v>
      </c>
      <c r="M86" s="10">
        <f t="shared" si="15"/>
        <v>-247475.93153835833</v>
      </c>
      <c r="N86" s="10">
        <f t="shared" si="16"/>
        <v>61244336690.778221</v>
      </c>
      <c r="O86"/>
    </row>
    <row r="87" spans="1:15" x14ac:dyDescent="0.2">
      <c r="A87" s="49">
        <v>44227</v>
      </c>
      <c r="B87" s="101">
        <v>17452895.457562983</v>
      </c>
      <c r="C87" s="50">
        <v>833.7</v>
      </c>
      <c r="D87" s="50">
        <v>0</v>
      </c>
      <c r="E87" s="50">
        <v>31</v>
      </c>
      <c r="F87" s="78">
        <v>0</v>
      </c>
      <c r="G87" s="50">
        <f>'Rate Class Customer Model'!P3</f>
        <v>12099.945622315492</v>
      </c>
      <c r="H87" s="50">
        <f t="shared" ref="H87:H118" si="17">$Q$18+$Q$19*C87+$Q$20*D87+$Q$21*E87+$Q$22*F87+$Q$23*G87</f>
        <v>18782475.16539041</v>
      </c>
      <c r="I87" s="33">
        <f t="shared" ref="I87:I122" si="18">H87-B87</f>
        <v>1329579.7078274265</v>
      </c>
      <c r="J87" s="42">
        <f t="shared" ref="J87:J122" si="19">I87/B87</f>
        <v>7.6181038903276682E-2</v>
      </c>
      <c r="K87" s="12">
        <f t="shared" si="13"/>
        <v>7.6181038903276682E-2</v>
      </c>
      <c r="L87" s="10">
        <f t="shared" si="14"/>
        <v>1767782199466.4648</v>
      </c>
      <c r="M87" s="10">
        <f t="shared" si="15"/>
        <v>1088090.5051178858</v>
      </c>
      <c r="N87" s="10">
        <f t="shared" si="16"/>
        <v>1183940947327.6958</v>
      </c>
      <c r="O87"/>
    </row>
    <row r="88" spans="1:15" x14ac:dyDescent="0.2">
      <c r="A88" s="49">
        <v>44255</v>
      </c>
      <c r="B88" s="101">
        <v>17590996.813644249</v>
      </c>
      <c r="C88" s="50">
        <v>854.7</v>
      </c>
      <c r="D88" s="50">
        <v>0</v>
      </c>
      <c r="E88" s="50">
        <v>28</v>
      </c>
      <c r="F88" s="78">
        <v>0</v>
      </c>
      <c r="G88" s="50">
        <f>'Rate Class Customer Model'!P4</f>
        <v>12112.818837876703</v>
      </c>
      <c r="H88" s="50">
        <f t="shared" si="17"/>
        <v>17688195.888229571</v>
      </c>
      <c r="I88" s="33">
        <f t="shared" si="18"/>
        <v>97199.074585322291</v>
      </c>
      <c r="J88" s="42">
        <f t="shared" si="19"/>
        <v>5.5255012331041397E-3</v>
      </c>
      <c r="K88" s="12">
        <f t="shared" si="13"/>
        <v>5.5255012331041397E-3</v>
      </c>
      <c r="L88" s="10">
        <f t="shared" si="14"/>
        <v>9447660100.2430458</v>
      </c>
      <c r="M88" s="10">
        <f t="shared" si="15"/>
        <v>-1232380.6332421042</v>
      </c>
      <c r="N88" s="10">
        <f t="shared" si="16"/>
        <v>1518762025190.2097</v>
      </c>
      <c r="O88"/>
    </row>
    <row r="89" spans="1:15" x14ac:dyDescent="0.2">
      <c r="A89" s="49">
        <v>44286</v>
      </c>
      <c r="B89" s="101">
        <v>16554763.114250053</v>
      </c>
      <c r="C89" s="50">
        <v>665.09999999999991</v>
      </c>
      <c r="D89" s="50">
        <v>0</v>
      </c>
      <c r="E89" s="50">
        <v>31</v>
      </c>
      <c r="F89" s="78">
        <v>1</v>
      </c>
      <c r="G89" s="50">
        <f>'Rate Class Customer Model'!P5</f>
        <v>12125.705749340692</v>
      </c>
      <c r="H89" s="50">
        <f t="shared" si="17"/>
        <v>16502943.563498935</v>
      </c>
      <c r="I89" s="33">
        <f t="shared" si="18"/>
        <v>-51819.550751117989</v>
      </c>
      <c r="J89" s="42">
        <f t="shared" si="19"/>
        <v>-3.1301898066129754E-3</v>
      </c>
      <c r="K89" s="12">
        <f t="shared" si="13"/>
        <v>3.1301898066129754E-3</v>
      </c>
      <c r="L89" s="10">
        <f t="shared" si="14"/>
        <v>2685265840.0476928</v>
      </c>
      <c r="M89" s="10">
        <f t="shared" si="15"/>
        <v>-149018.62533644028</v>
      </c>
      <c r="N89" s="10">
        <f t="shared" si="16"/>
        <v>22206550697.162361</v>
      </c>
      <c r="O89"/>
    </row>
    <row r="90" spans="1:15" x14ac:dyDescent="0.2">
      <c r="A90" s="49">
        <v>44316</v>
      </c>
      <c r="B90" s="101">
        <v>13933387.274153963</v>
      </c>
      <c r="C90" s="50">
        <v>441.40000000000009</v>
      </c>
      <c r="D90" s="50">
        <v>0</v>
      </c>
      <c r="E90" s="50">
        <v>30</v>
      </c>
      <c r="F90" s="78">
        <v>1</v>
      </c>
      <c r="G90" s="50">
        <f>'Rate Class Customer Model'!P6</f>
        <v>12138.606371278627</v>
      </c>
      <c r="H90" s="50">
        <f t="shared" si="17"/>
        <v>13940021.918830181</v>
      </c>
      <c r="I90" s="33">
        <f t="shared" si="18"/>
        <v>6634.6446762178093</v>
      </c>
      <c r="J90" s="42">
        <f t="shared" si="19"/>
        <v>4.7616882712539591E-4</v>
      </c>
      <c r="K90" s="12">
        <f t="shared" si="13"/>
        <v>4.7616882712539591E-4</v>
      </c>
      <c r="L90" s="10">
        <f t="shared" si="14"/>
        <v>44018509.979665317</v>
      </c>
      <c r="M90" s="10">
        <f t="shared" si="15"/>
        <v>58454.195427335799</v>
      </c>
      <c r="N90" s="10">
        <f t="shared" si="16"/>
        <v>3416892963.0571656</v>
      </c>
      <c r="O90"/>
    </row>
    <row r="91" spans="1:15" x14ac:dyDescent="0.2">
      <c r="A91" s="49">
        <v>44347</v>
      </c>
      <c r="B91" s="101">
        <v>12831086.444887567</v>
      </c>
      <c r="C91" s="50">
        <v>318.59999999999991</v>
      </c>
      <c r="D91" s="50">
        <v>0</v>
      </c>
      <c r="E91" s="50">
        <v>31</v>
      </c>
      <c r="F91" s="78">
        <v>1</v>
      </c>
      <c r="G91" s="50">
        <f>'Rate Class Customer Model'!P7</f>
        <v>12151.520718277176</v>
      </c>
      <c r="H91" s="50">
        <f t="shared" si="17"/>
        <v>13233263.304588526</v>
      </c>
      <c r="I91" s="33">
        <f t="shared" si="18"/>
        <v>402176.85970095918</v>
      </c>
      <c r="J91" s="42">
        <f t="shared" si="19"/>
        <v>3.1343944367330095E-2</v>
      </c>
      <c r="K91" s="12">
        <f t="shared" si="13"/>
        <v>3.1343944367330095E-2</v>
      </c>
      <c r="L91" s="10">
        <f t="shared" si="14"/>
        <v>161746226478.92499</v>
      </c>
      <c r="M91" s="10">
        <f t="shared" si="15"/>
        <v>395542.21502474137</v>
      </c>
      <c r="N91" s="10">
        <f t="shared" si="16"/>
        <v>156453643866.67874</v>
      </c>
      <c r="O91"/>
    </row>
    <row r="92" spans="1:15" x14ac:dyDescent="0.2">
      <c r="A92" s="49">
        <v>44377</v>
      </c>
      <c r="B92" s="101">
        <v>11317040.525355047</v>
      </c>
      <c r="C92" s="50">
        <v>110.70000000000002</v>
      </c>
      <c r="D92" s="50">
        <v>8.3000000000000007</v>
      </c>
      <c r="E92" s="50">
        <v>30</v>
      </c>
      <c r="F92" s="78">
        <v>0</v>
      </c>
      <c r="G92" s="50">
        <f>'Rate Class Customer Model'!P8</f>
        <v>12164.448804938524</v>
      </c>
      <c r="H92" s="50">
        <f t="shared" si="17"/>
        <v>11780403.006845329</v>
      </c>
      <c r="I92" s="33">
        <f t="shared" si="18"/>
        <v>463362.48149028234</v>
      </c>
      <c r="J92" s="42">
        <f t="shared" si="19"/>
        <v>4.0943785652454878E-2</v>
      </c>
      <c r="K92" s="12">
        <f t="shared" si="13"/>
        <v>4.0943785652454878E-2</v>
      </c>
      <c r="L92" s="10">
        <f t="shared" si="14"/>
        <v>214704789252.83224</v>
      </c>
      <c r="M92" s="10">
        <f t="shared" si="15"/>
        <v>61185.621789323166</v>
      </c>
      <c r="N92" s="10">
        <f t="shared" si="16"/>
        <v>3743680313.7460976</v>
      </c>
      <c r="O92"/>
    </row>
    <row r="93" spans="1:15" x14ac:dyDescent="0.2">
      <c r="A93" s="49">
        <v>44408</v>
      </c>
      <c r="B93" s="101">
        <v>11477471.325529911</v>
      </c>
      <c r="C93" s="50">
        <v>52.1</v>
      </c>
      <c r="D93" s="50">
        <v>4.2</v>
      </c>
      <c r="E93" s="50">
        <v>31</v>
      </c>
      <c r="F93" s="78">
        <v>0</v>
      </c>
      <c r="G93" s="50">
        <f>'Rate Class Customer Model'!P9</f>
        <v>12177.390645880392</v>
      </c>
      <c r="H93" s="50">
        <f t="shared" si="17"/>
        <v>11574378.889037251</v>
      </c>
      <c r="I93" s="33">
        <f t="shared" si="18"/>
        <v>96907.563507340848</v>
      </c>
      <c r="J93" s="42">
        <f t="shared" si="19"/>
        <v>8.4432851765688603E-3</v>
      </c>
      <c r="K93" s="12">
        <f t="shared" si="13"/>
        <v>8.4432851765688603E-3</v>
      </c>
      <c r="L93" s="10">
        <f t="shared" si="14"/>
        <v>9391075864.9293003</v>
      </c>
      <c r="M93" s="10">
        <f t="shared" si="15"/>
        <v>-366454.91798294149</v>
      </c>
      <c r="N93" s="10">
        <f t="shared" si="16"/>
        <v>134289206913.88438</v>
      </c>
      <c r="O93"/>
    </row>
    <row r="94" spans="1:15" x14ac:dyDescent="0.2">
      <c r="A94" s="49">
        <v>44439</v>
      </c>
      <c r="B94" s="101">
        <v>12694000.176225178</v>
      </c>
      <c r="C94" s="50">
        <v>35.699999999999996</v>
      </c>
      <c r="D94" s="50">
        <v>25.599999999999998</v>
      </c>
      <c r="E94" s="50">
        <v>31</v>
      </c>
      <c r="F94" s="78">
        <v>0</v>
      </c>
      <c r="G94" s="50">
        <f>'Rate Class Customer Model'!P10</f>
        <v>12190.346255736056</v>
      </c>
      <c r="H94" s="50">
        <f t="shared" si="17"/>
        <v>12059149.317655675</v>
      </c>
      <c r="I94" s="33">
        <f t="shared" si="18"/>
        <v>-634850.85856950283</v>
      </c>
      <c r="J94" s="42">
        <f t="shared" si="19"/>
        <v>-5.0011883547829664E-2</v>
      </c>
      <c r="K94" s="12">
        <f t="shared" si="13"/>
        <v>5.0011883547829664E-2</v>
      </c>
      <c r="L94" s="10">
        <f t="shared" si="14"/>
        <v>403035612626.43488</v>
      </c>
      <c r="M94" s="10">
        <f t="shared" si="15"/>
        <v>-731758.42207684368</v>
      </c>
      <c r="N94" s="10">
        <f t="shared" si="16"/>
        <v>535470388280.39209</v>
      </c>
      <c r="O94"/>
    </row>
    <row r="95" spans="1:15" x14ac:dyDescent="0.2">
      <c r="A95" s="49">
        <v>44469</v>
      </c>
      <c r="B95" s="101">
        <v>11594352.060112733</v>
      </c>
      <c r="C95" s="50">
        <v>171.4</v>
      </c>
      <c r="D95" s="50">
        <v>3.1</v>
      </c>
      <c r="E95" s="50">
        <v>30</v>
      </c>
      <c r="F95" s="78">
        <v>1</v>
      </c>
      <c r="G95" s="50">
        <f>'Rate Class Customer Model'!P11</f>
        <v>12203.31564915436</v>
      </c>
      <c r="H95" s="50">
        <f t="shared" si="17"/>
        <v>11590899.238412224</v>
      </c>
      <c r="I95" s="33">
        <f t="shared" si="18"/>
        <v>-3452.8217005096376</v>
      </c>
      <c r="J95" s="42">
        <f t="shared" si="19"/>
        <v>-2.9780204039069568E-4</v>
      </c>
      <c r="K95" s="12">
        <f t="shared" si="13"/>
        <v>2.9780204039069568E-4</v>
      </c>
      <c r="L95" s="10">
        <f t="shared" si="14"/>
        <v>11921977.695510266</v>
      </c>
      <c r="M95" s="10">
        <f t="shared" si="15"/>
        <v>631398.03686899319</v>
      </c>
      <c r="N95" s="10">
        <f t="shared" si="16"/>
        <v>398663480962.01849</v>
      </c>
      <c r="O95"/>
    </row>
    <row r="96" spans="1:15" x14ac:dyDescent="0.2">
      <c r="A96" s="49">
        <v>44500</v>
      </c>
      <c r="B96" s="101">
        <v>12658155.038210209</v>
      </c>
      <c r="C96" s="50">
        <v>267.60000000000008</v>
      </c>
      <c r="D96" s="50">
        <v>0.7</v>
      </c>
      <c r="E96" s="50">
        <v>31</v>
      </c>
      <c r="F96" s="78">
        <v>1</v>
      </c>
      <c r="G96" s="50">
        <f>'Rate Class Customer Model'!P12</f>
        <v>12216.298840799727</v>
      </c>
      <c r="H96" s="50">
        <f t="shared" si="17"/>
        <v>12922727.393108297</v>
      </c>
      <c r="I96" s="33">
        <f t="shared" si="18"/>
        <v>264572.35489808768</v>
      </c>
      <c r="J96" s="42">
        <f t="shared" si="19"/>
        <v>2.0901336261046198E-2</v>
      </c>
      <c r="K96" s="12">
        <f t="shared" si="13"/>
        <v>2.0901336261046198E-2</v>
      </c>
      <c r="L96" s="10">
        <f t="shared" si="14"/>
        <v>69998530976.319656</v>
      </c>
      <c r="M96" s="10">
        <f t="shared" si="15"/>
        <v>268025.17659859732</v>
      </c>
      <c r="N96" s="10">
        <f t="shared" si="16"/>
        <v>71837495290.709274</v>
      </c>
      <c r="O96"/>
    </row>
    <row r="97" spans="1:15" x14ac:dyDescent="0.2">
      <c r="A97" s="49">
        <v>44530</v>
      </c>
      <c r="B97" s="101">
        <v>15329852.596808957</v>
      </c>
      <c r="C97" s="50">
        <v>561.70000000000016</v>
      </c>
      <c r="D97" s="50">
        <v>0</v>
      </c>
      <c r="E97" s="50">
        <v>30</v>
      </c>
      <c r="F97" s="78">
        <v>0</v>
      </c>
      <c r="G97" s="50">
        <f>'Rate Class Customer Model'!P13</f>
        <v>12229.29584535219</v>
      </c>
      <c r="H97" s="50">
        <f t="shared" si="17"/>
        <v>16042760.163457379</v>
      </c>
      <c r="I97" s="33">
        <f t="shared" si="18"/>
        <v>712907.56664842181</v>
      </c>
      <c r="J97" s="42">
        <f t="shared" si="19"/>
        <v>4.6504528477776738E-2</v>
      </c>
      <c r="K97" s="12">
        <f t="shared" si="13"/>
        <v>4.6504528477776738E-2</v>
      </c>
      <c r="L97" s="10">
        <f t="shared" si="14"/>
        <v>508237198584.57397</v>
      </c>
      <c r="M97" s="10">
        <f t="shared" si="15"/>
        <v>448335.21175033413</v>
      </c>
      <c r="N97" s="10">
        <f t="shared" si="16"/>
        <v>201004462095.21695</v>
      </c>
      <c r="O97"/>
    </row>
    <row r="98" spans="1:15" x14ac:dyDescent="0.2">
      <c r="A98" s="49">
        <v>44561</v>
      </c>
      <c r="B98" s="101">
        <v>18409920.351779565</v>
      </c>
      <c r="C98" s="50">
        <v>786.10000000000036</v>
      </c>
      <c r="D98" s="50">
        <v>0</v>
      </c>
      <c r="E98" s="50">
        <v>31</v>
      </c>
      <c r="F98" s="78">
        <v>0</v>
      </c>
      <c r="G98" s="50">
        <f>'Rate Class Customer Model'!P14</f>
        <v>12242.306677507393</v>
      </c>
      <c r="H98" s="50">
        <f t="shared" si="17"/>
        <v>18676472.064755518</v>
      </c>
      <c r="I98" s="33">
        <f t="shared" si="18"/>
        <v>266551.71297595277</v>
      </c>
      <c r="J98" s="42">
        <f t="shared" si="19"/>
        <v>1.4478699955385031E-2</v>
      </c>
      <c r="K98" s="12">
        <f t="shared" si="13"/>
        <v>1.4478699955385031E-2</v>
      </c>
      <c r="L98" s="10">
        <f t="shared" si="14"/>
        <v>71049815690.414703</v>
      </c>
      <c r="M98" s="10">
        <f t="shared" si="15"/>
        <v>-446355.85367246903</v>
      </c>
      <c r="N98" s="10">
        <f t="shared" si="16"/>
        <v>199233548107.67859</v>
      </c>
      <c r="O98"/>
    </row>
    <row r="99" spans="1:15" x14ac:dyDescent="0.2">
      <c r="A99" s="49">
        <v>44592</v>
      </c>
      <c r="B99" s="102">
        <v>22162743.122581124</v>
      </c>
      <c r="C99" s="50">
        <v>1077.8</v>
      </c>
      <c r="D99" s="50">
        <v>0</v>
      </c>
      <c r="E99" s="50">
        <v>31</v>
      </c>
      <c r="F99" s="78">
        <v>0</v>
      </c>
      <c r="G99" s="50">
        <f>'Rate Class Customer Model'!Q3</f>
        <v>12248.095606731329</v>
      </c>
      <c r="H99" s="50">
        <f t="shared" si="17"/>
        <v>21497078.064060342</v>
      </c>
      <c r="I99" s="33">
        <f t="shared" si="18"/>
        <v>-665665.05852078274</v>
      </c>
      <c r="J99" s="42">
        <f t="shared" si="19"/>
        <v>-3.0035318951224566E-2</v>
      </c>
      <c r="K99" s="12">
        <f t="shared" si="13"/>
        <v>3.0035318951224566E-2</v>
      </c>
      <c r="L99" s="10">
        <f t="shared" si="14"/>
        <v>443109970135.47711</v>
      </c>
      <c r="M99" s="10">
        <f t="shared" si="15"/>
        <v>-932216.77149673551</v>
      </c>
      <c r="N99" s="10">
        <f t="shared" si="16"/>
        <v>869028109059.79675</v>
      </c>
      <c r="O99"/>
    </row>
    <row r="100" spans="1:15" x14ac:dyDescent="0.2">
      <c r="A100" s="49">
        <v>44620</v>
      </c>
      <c r="B100" s="102">
        <v>19238227.121655107</v>
      </c>
      <c r="C100" s="50">
        <v>936.7</v>
      </c>
      <c r="D100" s="50">
        <v>0</v>
      </c>
      <c r="E100" s="50">
        <v>28</v>
      </c>
      <c r="F100" s="78">
        <v>0</v>
      </c>
      <c r="G100" s="50">
        <f>'Rate Class Customer Model'!Q4</f>
        <v>12253.887273323511</v>
      </c>
      <c r="H100" s="50">
        <f t="shared" si="17"/>
        <v>18825811.999094345</v>
      </c>
      <c r="I100" s="33">
        <f t="shared" si="18"/>
        <v>-412415.12256076187</v>
      </c>
      <c r="J100" s="42">
        <f t="shared" si="19"/>
        <v>-2.1437272777413852E-2</v>
      </c>
      <c r="K100" s="12">
        <f t="shared" si="13"/>
        <v>2.1437272777413852E-2</v>
      </c>
      <c r="L100" s="10">
        <f t="shared" si="14"/>
        <v>170086233316.80823</v>
      </c>
      <c r="M100" s="10">
        <f t="shared" si="15"/>
        <v>253249.93596002087</v>
      </c>
      <c r="N100" s="10">
        <f t="shared" si="16"/>
        <v>64135530063.754669</v>
      </c>
      <c r="O100"/>
    </row>
    <row r="101" spans="1:15" x14ac:dyDescent="0.2">
      <c r="A101" s="49">
        <v>44651</v>
      </c>
      <c r="B101" s="102">
        <v>17994953.778368797</v>
      </c>
      <c r="C101" s="50">
        <v>746.3</v>
      </c>
      <c r="D101" s="50">
        <v>0</v>
      </c>
      <c r="E101" s="50">
        <v>31</v>
      </c>
      <c r="F101" s="78">
        <v>1</v>
      </c>
      <c r="G101" s="50">
        <f>'Rate Class Customer Model'!Q5</f>
        <v>12259.681678578338</v>
      </c>
      <c r="H101" s="50">
        <f t="shared" si="17"/>
        <v>17615329.844579227</v>
      </c>
      <c r="I101" s="33">
        <f t="shared" si="18"/>
        <v>-379623.93378956988</v>
      </c>
      <c r="J101" s="42">
        <f t="shared" si="19"/>
        <v>-2.1096132752833441E-2</v>
      </c>
      <c r="K101" s="12">
        <f t="shared" si="13"/>
        <v>2.1096132752833441E-2</v>
      </c>
      <c r="L101" s="10">
        <f t="shared" si="14"/>
        <v>144114331105.86774</v>
      </c>
      <c r="M101" s="10">
        <f t="shared" si="15"/>
        <v>32791.188771191984</v>
      </c>
      <c r="N101" s="10">
        <f t="shared" si="16"/>
        <v>1075262061.0279472</v>
      </c>
      <c r="O101"/>
    </row>
    <row r="102" spans="1:15" x14ac:dyDescent="0.2">
      <c r="A102" s="49">
        <v>44681</v>
      </c>
      <c r="B102" s="102">
        <v>15595081.734180048</v>
      </c>
      <c r="C102" s="50">
        <v>520.50000000000011</v>
      </c>
      <c r="D102" s="50">
        <v>0</v>
      </c>
      <c r="E102" s="50">
        <v>30</v>
      </c>
      <c r="F102" s="78">
        <v>1</v>
      </c>
      <c r="G102" s="50">
        <f>'Rate Class Customer Model'!Q6</f>
        <v>12265.478823790821</v>
      </c>
      <c r="H102" s="50">
        <f t="shared" si="17"/>
        <v>15014644.620813778</v>
      </c>
      <c r="I102" s="33">
        <f t="shared" si="18"/>
        <v>-580437.11336627044</v>
      </c>
      <c r="J102" s="42">
        <f t="shared" si="19"/>
        <v>-3.7219241505744405E-2</v>
      </c>
      <c r="K102" s="12">
        <f t="shared" si="13"/>
        <v>3.7219241505744405E-2</v>
      </c>
      <c r="L102" s="10">
        <f t="shared" si="14"/>
        <v>336907242572.96869</v>
      </c>
      <c r="M102" s="10">
        <f t="shared" si="15"/>
        <v>-200813.17957670055</v>
      </c>
      <c r="N102" s="10">
        <f t="shared" si="16"/>
        <v>40325933091.704185</v>
      </c>
      <c r="O102"/>
    </row>
    <row r="103" spans="1:15" x14ac:dyDescent="0.2">
      <c r="A103" s="49">
        <v>44712</v>
      </c>
      <c r="B103" s="102">
        <v>12720859.49045869</v>
      </c>
      <c r="C103" s="50">
        <v>261.8</v>
      </c>
      <c r="D103" s="50">
        <v>4.0999999999999996</v>
      </c>
      <c r="E103" s="50">
        <v>31</v>
      </c>
      <c r="F103" s="78">
        <v>1</v>
      </c>
      <c r="G103" s="50">
        <f>'Rate Class Customer Model'!Q7</f>
        <v>12271.278710256585</v>
      </c>
      <c r="H103" s="50">
        <f t="shared" si="17"/>
        <v>13099843.069709063</v>
      </c>
      <c r="I103" s="33">
        <f t="shared" si="18"/>
        <v>378983.57925037295</v>
      </c>
      <c r="J103" s="42">
        <f t="shared" si="19"/>
        <v>2.9792293479432776E-2</v>
      </c>
      <c r="K103" s="12">
        <f t="shared" si="13"/>
        <v>2.9792293479432776E-2</v>
      </c>
      <c r="L103" s="10">
        <f t="shared" si="14"/>
        <v>143628553341.42371</v>
      </c>
      <c r="M103" s="10">
        <f t="shared" si="15"/>
        <v>959420.69261664338</v>
      </c>
      <c r="N103" s="10">
        <f t="shared" si="16"/>
        <v>920488065420.99976</v>
      </c>
      <c r="O103"/>
    </row>
    <row r="104" spans="1:15" x14ac:dyDescent="0.2">
      <c r="A104" s="49">
        <v>44742</v>
      </c>
      <c r="B104" s="102">
        <v>11908199.157498442</v>
      </c>
      <c r="C104" s="50">
        <v>187.39999999999995</v>
      </c>
      <c r="D104" s="50">
        <v>9.5</v>
      </c>
      <c r="E104" s="50">
        <v>30</v>
      </c>
      <c r="F104" s="78">
        <v>0</v>
      </c>
      <c r="G104" s="50">
        <f>'Rate Class Customer Model'!Q8</f>
        <v>12277.081339271866</v>
      </c>
      <c r="H104" s="50">
        <f t="shared" si="17"/>
        <v>12830968.622349519</v>
      </c>
      <c r="I104" s="33">
        <f t="shared" si="18"/>
        <v>922769.46485107765</v>
      </c>
      <c r="J104" s="42">
        <f t="shared" si="19"/>
        <v>7.7490261344010311E-2</v>
      </c>
      <c r="K104" s="12">
        <f t="shared" si="13"/>
        <v>7.7490261344010311E-2</v>
      </c>
      <c r="L104" s="10">
        <f t="shared" si="14"/>
        <v>851503485261.54419</v>
      </c>
      <c r="M104" s="10">
        <f t="shared" si="15"/>
        <v>543785.8856007047</v>
      </c>
      <c r="N104" s="10">
        <f t="shared" si="16"/>
        <v>295703089378.54272</v>
      </c>
      <c r="O104"/>
    </row>
    <row r="105" spans="1:15" x14ac:dyDescent="0.2">
      <c r="A105" s="49">
        <v>44773</v>
      </c>
      <c r="B105" s="102">
        <v>12418091.508869512</v>
      </c>
      <c r="C105" s="50">
        <v>122.49999999999999</v>
      </c>
      <c r="D105" s="50">
        <v>0.3</v>
      </c>
      <c r="E105" s="50">
        <v>31</v>
      </c>
      <c r="F105" s="78">
        <v>0</v>
      </c>
      <c r="G105" s="50">
        <f>'Rate Class Customer Model'!Q9</f>
        <v>12282.886712133512</v>
      </c>
      <c r="H105" s="50">
        <f t="shared" si="17"/>
        <v>12401195.889165543</v>
      </c>
      <c r="I105" s="33">
        <f t="shared" si="18"/>
        <v>-16895.619703968987</v>
      </c>
      <c r="J105" s="42">
        <f t="shared" si="19"/>
        <v>-1.360564921904581E-3</v>
      </c>
      <c r="K105" s="12">
        <f t="shared" si="13"/>
        <v>1.360564921904581E-3</v>
      </c>
      <c r="L105" s="10">
        <f t="shared" si="14"/>
        <v>285461965.18114507</v>
      </c>
      <c r="M105" s="10">
        <f t="shared" si="15"/>
        <v>-939665.08455504663</v>
      </c>
      <c r="N105" s="10">
        <f t="shared" si="16"/>
        <v>882970471131.8429</v>
      </c>
      <c r="O105"/>
    </row>
    <row r="106" spans="1:15" x14ac:dyDescent="0.2">
      <c r="A106" s="49">
        <v>44804</v>
      </c>
      <c r="B106" s="102">
        <v>12602919.186790247</v>
      </c>
      <c r="C106" s="50">
        <v>59.2</v>
      </c>
      <c r="D106" s="50">
        <v>5.9</v>
      </c>
      <c r="E106" s="50">
        <v>31</v>
      </c>
      <c r="F106" s="78">
        <v>0</v>
      </c>
      <c r="G106" s="50">
        <f>'Rate Class Customer Model'!Q10</f>
        <v>12288.694830138986</v>
      </c>
      <c r="H106" s="50">
        <f t="shared" si="17"/>
        <v>11966339.458744671</v>
      </c>
      <c r="I106" s="33">
        <f t="shared" si="18"/>
        <v>-636579.72804557532</v>
      </c>
      <c r="J106" s="42">
        <f t="shared" si="19"/>
        <v>-5.0510498290967903E-2</v>
      </c>
      <c r="K106" s="12">
        <f t="shared" si="13"/>
        <v>5.0510498290967903E-2</v>
      </c>
      <c r="L106" s="10">
        <f t="shared" si="14"/>
        <v>405233750158.57861</v>
      </c>
      <c r="M106" s="10">
        <f t="shared" si="15"/>
        <v>-619684.10834160633</v>
      </c>
      <c r="N106" s="10">
        <f t="shared" si="16"/>
        <v>384008394131.13171</v>
      </c>
      <c r="O106"/>
    </row>
    <row r="107" spans="1:15" x14ac:dyDescent="0.2">
      <c r="A107" s="49">
        <v>44834</v>
      </c>
      <c r="B107" s="102">
        <v>12161797.657023493</v>
      </c>
      <c r="C107" s="50">
        <v>165.39999999999998</v>
      </c>
      <c r="D107" s="50">
        <v>4.5</v>
      </c>
      <c r="E107" s="50">
        <v>30</v>
      </c>
      <c r="F107" s="78">
        <v>1</v>
      </c>
      <c r="G107" s="50">
        <f>'Rate Class Customer Model'!Q11</f>
        <v>12294.505694586363</v>
      </c>
      <c r="H107" s="50">
        <f t="shared" si="17"/>
        <v>11798548.468986295</v>
      </c>
      <c r="I107" s="33">
        <f t="shared" si="18"/>
        <v>-363249.18803719804</v>
      </c>
      <c r="J107" s="42">
        <f t="shared" si="19"/>
        <v>-2.9868050618932964E-2</v>
      </c>
      <c r="K107" s="12">
        <f t="shared" si="13"/>
        <v>2.9868050618932964E-2</v>
      </c>
      <c r="L107" s="10">
        <f t="shared" si="14"/>
        <v>131949972609.68365</v>
      </c>
      <c r="M107" s="10">
        <f t="shared" si="15"/>
        <v>273330.54000837728</v>
      </c>
      <c r="N107" s="10">
        <f t="shared" si="16"/>
        <v>74709584101.271133</v>
      </c>
      <c r="O107"/>
    </row>
    <row r="108" spans="1:15" x14ac:dyDescent="0.2">
      <c r="A108" s="49">
        <v>44865</v>
      </c>
      <c r="B108" s="102">
        <v>13987895.288616804</v>
      </c>
      <c r="C108" s="50">
        <v>327.30000000000007</v>
      </c>
      <c r="D108" s="50">
        <v>0</v>
      </c>
      <c r="E108" s="50">
        <v>31</v>
      </c>
      <c r="F108" s="78">
        <v>1</v>
      </c>
      <c r="G108" s="50">
        <f>'Rate Class Customer Model'!Q12</f>
        <v>12300.319306774334</v>
      </c>
      <c r="H108" s="50">
        <f t="shared" si="17"/>
        <v>13684807.723703405</v>
      </c>
      <c r="I108" s="33">
        <f t="shared" si="18"/>
        <v>-303087.56491339952</v>
      </c>
      <c r="J108" s="42">
        <f t="shared" si="19"/>
        <v>-2.1667846281352196E-2</v>
      </c>
      <c r="K108" s="12">
        <f t="shared" si="13"/>
        <v>2.1667846281352196E-2</v>
      </c>
      <c r="L108" s="10">
        <f t="shared" si="14"/>
        <v>91862072005.134171</v>
      </c>
      <c r="M108" s="10">
        <f t="shared" si="15"/>
        <v>60161.623123798519</v>
      </c>
      <c r="N108" s="10">
        <f t="shared" si="16"/>
        <v>3619420896.8899689</v>
      </c>
      <c r="O108"/>
    </row>
    <row r="109" spans="1:15" x14ac:dyDescent="0.2">
      <c r="A109" s="49">
        <v>44895</v>
      </c>
      <c r="B109" s="102">
        <v>16008051.534415141</v>
      </c>
      <c r="C109" s="50">
        <v>521.30000000000007</v>
      </c>
      <c r="D109" s="50">
        <v>0</v>
      </c>
      <c r="E109" s="50">
        <v>30</v>
      </c>
      <c r="F109" s="78">
        <v>0</v>
      </c>
      <c r="G109" s="50">
        <f>'Rate Class Customer Model'!Q13</f>
        <v>12306.135668002202</v>
      </c>
      <c r="H109" s="50">
        <f t="shared" si="17"/>
        <v>15844048.970843114</v>
      </c>
      <c r="I109" s="33">
        <f t="shared" si="18"/>
        <v>-164002.56357202679</v>
      </c>
      <c r="J109" s="42">
        <f t="shared" si="19"/>
        <v>-1.0245004722744895E-2</v>
      </c>
      <c r="K109" s="12">
        <f t="shared" si="13"/>
        <v>1.0245004722744895E-2</v>
      </c>
      <c r="L109" s="10">
        <f t="shared" si="14"/>
        <v>26896840858.19669</v>
      </c>
      <c r="M109" s="10">
        <f t="shared" si="15"/>
        <v>139085.00134137273</v>
      </c>
      <c r="N109" s="10">
        <f t="shared" si="16"/>
        <v>19344637598.129654</v>
      </c>
      <c r="O109"/>
    </row>
    <row r="110" spans="1:15" x14ac:dyDescent="0.2">
      <c r="A110" s="49">
        <v>44926</v>
      </c>
      <c r="B110" s="102">
        <v>19282960.89114967</v>
      </c>
      <c r="C110" s="50">
        <v>775.0999999999998</v>
      </c>
      <c r="D110" s="50">
        <v>0</v>
      </c>
      <c r="E110" s="50">
        <v>31</v>
      </c>
      <c r="F110" s="78">
        <v>0</v>
      </c>
      <c r="G110" s="50">
        <f>'Rate Class Customer Model'!Q14</f>
        <v>12311.954779569885</v>
      </c>
      <c r="H110" s="50">
        <f t="shared" si="17"/>
        <v>18742824.38604264</v>
      </c>
      <c r="I110" s="33">
        <f t="shared" si="18"/>
        <v>-540136.50510703027</v>
      </c>
      <c r="J110" s="42">
        <f t="shared" si="19"/>
        <v>-2.801107714505284E-2</v>
      </c>
      <c r="K110" s="12">
        <f t="shared" si="13"/>
        <v>2.801107714505284E-2</v>
      </c>
      <c r="L110" s="10">
        <f t="shared" si="14"/>
        <v>291747444149.23694</v>
      </c>
      <c r="M110" s="10">
        <f t="shared" si="15"/>
        <v>-376133.94153500348</v>
      </c>
      <c r="N110" s="10">
        <f t="shared" si="16"/>
        <v>141476741974.65741</v>
      </c>
      <c r="O110"/>
    </row>
    <row r="111" spans="1:15" x14ac:dyDescent="0.2">
      <c r="A111" s="49">
        <v>44957</v>
      </c>
      <c r="B111" s="101">
        <v>19081011.878466591</v>
      </c>
      <c r="C111" s="50">
        <v>832.80000000000007</v>
      </c>
      <c r="D111" s="50">
        <v>0</v>
      </c>
      <c r="E111" s="64">
        <v>31</v>
      </c>
      <c r="F111" s="79">
        <v>0</v>
      </c>
      <c r="G111" s="50">
        <f>'Rate Class Customer Model'!R3</f>
        <v>12322.390778290615</v>
      </c>
      <c r="H111" s="50">
        <f t="shared" si="17"/>
        <v>19323725.222296059</v>
      </c>
      <c r="I111" s="33">
        <f t="shared" si="18"/>
        <v>242713.34382946789</v>
      </c>
      <c r="J111" s="42">
        <f t="shared" si="19"/>
        <v>1.2720150554666134E-2</v>
      </c>
      <c r="K111" s="12">
        <f t="shared" si="13"/>
        <v>1.2720150554666134E-2</v>
      </c>
      <c r="L111" s="10">
        <f t="shared" si="14"/>
        <v>58909767272.8815</v>
      </c>
      <c r="M111" s="10">
        <f t="shared" si="15"/>
        <v>782849.84893649817</v>
      </c>
      <c r="N111" s="10">
        <f t="shared" si="16"/>
        <v>612853885979.89795</v>
      </c>
      <c r="O111"/>
    </row>
    <row r="112" spans="1:15" x14ac:dyDescent="0.2">
      <c r="A112" s="49">
        <v>44985</v>
      </c>
      <c r="B112" s="101">
        <v>17710604.167356033</v>
      </c>
      <c r="C112" s="50">
        <v>795.6</v>
      </c>
      <c r="D112" s="50">
        <v>0</v>
      </c>
      <c r="E112" s="64">
        <v>28</v>
      </c>
      <c r="F112" s="79">
        <v>0</v>
      </c>
      <c r="G112" s="50">
        <f>'Rate Class Customer Model'!R4</f>
        <v>12332.83562289092</v>
      </c>
      <c r="H112" s="50">
        <f t="shared" si="17"/>
        <v>17663530.589139402</v>
      </c>
      <c r="I112" s="33">
        <f t="shared" si="18"/>
        <v>-47073.578216630965</v>
      </c>
      <c r="J112" s="42">
        <f t="shared" si="19"/>
        <v>-2.65793181146222E-3</v>
      </c>
      <c r="K112" s="12">
        <f t="shared" si="13"/>
        <v>2.65793181146222E-3</v>
      </c>
      <c r="L112" s="10">
        <f t="shared" si="14"/>
        <v>2215921766.1172733</v>
      </c>
      <c r="M112" s="10">
        <f t="shared" si="15"/>
        <v>-289786.92204609886</v>
      </c>
      <c r="N112" s="10">
        <f t="shared" si="16"/>
        <v>83976460188.951782</v>
      </c>
      <c r="O112"/>
    </row>
    <row r="113" spans="1:15" x14ac:dyDescent="0.2">
      <c r="A113" s="49">
        <v>45016</v>
      </c>
      <c r="B113" s="101">
        <v>18023302.972973619</v>
      </c>
      <c r="C113" s="50">
        <v>766.4000000000002</v>
      </c>
      <c r="D113" s="50">
        <v>0</v>
      </c>
      <c r="E113" s="64">
        <v>31</v>
      </c>
      <c r="F113" s="79">
        <v>1</v>
      </c>
      <c r="G113" s="50">
        <f>'Rate Class Customer Model'!R5</f>
        <v>12343.289320868842</v>
      </c>
      <c r="H113" s="50">
        <f t="shared" si="17"/>
        <v>18015388.707452789</v>
      </c>
      <c r="I113" s="33">
        <f t="shared" si="18"/>
        <v>-7914.2655208297074</v>
      </c>
      <c r="J113" s="42">
        <f t="shared" si="19"/>
        <v>-4.3911293799462513E-4</v>
      </c>
      <c r="K113" s="12">
        <f t="shared" si="13"/>
        <v>4.3911293799462513E-4</v>
      </c>
      <c r="L113" s="10">
        <f t="shared" si="14"/>
        <v>62635598.734193921</v>
      </c>
      <c r="M113" s="10">
        <f t="shared" si="15"/>
        <v>39159.312695801258</v>
      </c>
      <c r="N113" s="10">
        <f t="shared" si="16"/>
        <v>1533451770.8075416</v>
      </c>
      <c r="O113"/>
    </row>
    <row r="114" spans="1:15" x14ac:dyDescent="0.2">
      <c r="A114" s="49">
        <v>45046</v>
      </c>
      <c r="B114" s="101">
        <v>15469398.642065378</v>
      </c>
      <c r="C114" s="50">
        <v>504.49999999999994</v>
      </c>
      <c r="D114" s="50">
        <v>0</v>
      </c>
      <c r="E114" s="64">
        <v>30</v>
      </c>
      <c r="F114" s="79">
        <v>1</v>
      </c>
      <c r="G114" s="50">
        <f>'Rate Class Customer Model'!R6</f>
        <v>12353.751879728783</v>
      </c>
      <c r="H114" s="50">
        <f t="shared" si="17"/>
        <v>15078937.423888</v>
      </c>
      <c r="I114" s="33">
        <f t="shared" si="18"/>
        <v>-390461.21817737818</v>
      </c>
      <c r="J114" s="42">
        <f t="shared" si="19"/>
        <v>-2.5240878925675305E-2</v>
      </c>
      <c r="K114" s="12">
        <f t="shared" si="13"/>
        <v>2.5240878925675305E-2</v>
      </c>
      <c r="L114" s="10">
        <f t="shared" si="14"/>
        <v>152459962900.56213</v>
      </c>
      <c r="M114" s="10">
        <f t="shared" si="15"/>
        <v>-382546.95265654847</v>
      </c>
      <c r="N114" s="10">
        <f t="shared" si="16"/>
        <v>146342170986.81152</v>
      </c>
      <c r="O114"/>
    </row>
    <row r="115" spans="1:15" x14ac:dyDescent="0.2">
      <c r="A115" s="49">
        <v>45077</v>
      </c>
      <c r="B115" s="101">
        <v>12870441.957142392</v>
      </c>
      <c r="C115" s="50">
        <v>289.2</v>
      </c>
      <c r="D115" s="50">
        <v>0.6</v>
      </c>
      <c r="E115" s="64">
        <v>31</v>
      </c>
      <c r="F115" s="79">
        <v>1</v>
      </c>
      <c r="G115" s="50">
        <f>'Rate Class Customer Model'!R7</f>
        <v>12364.223306981505</v>
      </c>
      <c r="H115" s="50">
        <f t="shared" si="17"/>
        <v>13493362.237895295</v>
      </c>
      <c r="I115" s="33">
        <f t="shared" si="18"/>
        <v>622920.28075290285</v>
      </c>
      <c r="J115" s="42">
        <f t="shared" si="19"/>
        <v>4.839929217871311E-2</v>
      </c>
      <c r="K115" s="12">
        <f t="shared" si="13"/>
        <v>4.839929217871311E-2</v>
      </c>
      <c r="L115" s="10">
        <f t="shared" si="14"/>
        <v>388029676173.27533</v>
      </c>
      <c r="M115" s="10">
        <f t="shared" si="15"/>
        <v>1013381.498930281</v>
      </c>
      <c r="N115" s="10">
        <f t="shared" si="16"/>
        <v>1026942062374.1832</v>
      </c>
      <c r="O115"/>
    </row>
    <row r="116" spans="1:15" x14ac:dyDescent="0.2">
      <c r="A116" s="49">
        <v>45107</v>
      </c>
      <c r="B116" s="101">
        <v>12816752.293074707</v>
      </c>
      <c r="C116" s="50">
        <v>86.800000000000011</v>
      </c>
      <c r="D116" s="50">
        <v>6.8000000000000007</v>
      </c>
      <c r="E116" s="64">
        <v>30</v>
      </c>
      <c r="F116" s="79">
        <v>0</v>
      </c>
      <c r="G116" s="50">
        <f>'Rate Class Customer Model'!R8</f>
        <v>12374.703610144135</v>
      </c>
      <c r="H116" s="50">
        <f t="shared" si="17"/>
        <v>12027452.702687755</v>
      </c>
      <c r="I116" s="33">
        <f t="shared" si="18"/>
        <v>-789299.59038695134</v>
      </c>
      <c r="J116" s="42">
        <f t="shared" si="19"/>
        <v>-6.1583431772605501E-2</v>
      </c>
      <c r="K116" s="12">
        <f t="shared" si="13"/>
        <v>6.1583431772605501E-2</v>
      </c>
      <c r="L116" s="10">
        <f t="shared" si="14"/>
        <v>622993843385.00916</v>
      </c>
      <c r="M116" s="10">
        <f t="shared" si="15"/>
        <v>-1412219.8711398542</v>
      </c>
      <c r="N116" s="10">
        <f t="shared" si="16"/>
        <v>1994364964442.2664</v>
      </c>
      <c r="O116"/>
    </row>
    <row r="117" spans="1:15" x14ac:dyDescent="0.2">
      <c r="A117" s="49">
        <v>45138</v>
      </c>
      <c r="B117" s="101">
        <v>12409200.653169904</v>
      </c>
      <c r="C117" s="50">
        <v>79.2</v>
      </c>
      <c r="D117" s="50">
        <v>2.4000000000000004</v>
      </c>
      <c r="E117" s="64">
        <v>31</v>
      </c>
      <c r="F117" s="79">
        <v>0</v>
      </c>
      <c r="G117" s="50">
        <f>'Rate Class Customer Model'!R9</f>
        <v>12385.192796740173</v>
      </c>
      <c r="H117" s="50">
        <f t="shared" si="17"/>
        <v>12297451.361198615</v>
      </c>
      <c r="I117" s="33">
        <f t="shared" si="18"/>
        <v>-111749.29197128862</v>
      </c>
      <c r="J117" s="42">
        <f t="shared" si="19"/>
        <v>-9.0053578062453607E-3</v>
      </c>
      <c r="K117" s="12">
        <f t="shared" si="13"/>
        <v>9.0053578062453607E-3</v>
      </c>
      <c r="L117" s="10">
        <f t="shared" si="14"/>
        <v>12487904256.084312</v>
      </c>
      <c r="M117" s="10">
        <f t="shared" si="15"/>
        <v>677550.29841566272</v>
      </c>
      <c r="N117" s="10">
        <f t="shared" si="16"/>
        <v>459074406883.15363</v>
      </c>
      <c r="O117"/>
    </row>
    <row r="118" spans="1:15" x14ac:dyDescent="0.2">
      <c r="A118" s="49">
        <v>45169</v>
      </c>
      <c r="B118" s="101">
        <v>12545642.276217211</v>
      </c>
      <c r="C118" s="50">
        <v>82.1</v>
      </c>
      <c r="D118" s="50">
        <v>3.6</v>
      </c>
      <c r="E118" s="64">
        <v>31</v>
      </c>
      <c r="F118" s="79">
        <v>0</v>
      </c>
      <c r="G118" s="50">
        <f>'Rate Class Customer Model'!R10</f>
        <v>12395.690874299495</v>
      </c>
      <c r="H118" s="50">
        <f t="shared" si="17"/>
        <v>12385537.841060445</v>
      </c>
      <c r="I118" s="33">
        <f t="shared" si="18"/>
        <v>-160104.43515676633</v>
      </c>
      <c r="J118" s="42">
        <f t="shared" si="19"/>
        <v>-1.2761756762368117E-2</v>
      </c>
      <c r="K118" s="12">
        <f t="shared" si="13"/>
        <v>1.2761756762368117E-2</v>
      </c>
      <c r="L118" s="10">
        <f t="shared" si="14"/>
        <v>25633430156.867191</v>
      </c>
      <c r="M118" s="10">
        <f t="shared" si="15"/>
        <v>-48355.143185477704</v>
      </c>
      <c r="N118" s="10">
        <f t="shared" si="16"/>
        <v>2338219872.4880509</v>
      </c>
      <c r="O118"/>
    </row>
    <row r="119" spans="1:15" x14ac:dyDescent="0.2">
      <c r="A119" s="49">
        <v>45199</v>
      </c>
      <c r="B119" s="101">
        <v>11633931.924809527</v>
      </c>
      <c r="C119" s="50">
        <v>112.7</v>
      </c>
      <c r="D119" s="50">
        <v>10.3</v>
      </c>
      <c r="E119" s="50">
        <v>30</v>
      </c>
      <c r="F119" s="78">
        <v>1</v>
      </c>
      <c r="G119" s="90">
        <f>'Rate Class Customer Model'!R11</f>
        <v>12406.19785035836</v>
      </c>
      <c r="H119" s="90">
        <f>$Q$18+$Q$19*C119+$Q$20*D119+$Q$21*E119+$Q$22*F119+$Q$23*G119</f>
        <v>11733131.746772829</v>
      </c>
      <c r="I119" s="33">
        <f t="shared" si="18"/>
        <v>99199.821963302791</v>
      </c>
      <c r="J119" s="42">
        <f t="shared" si="19"/>
        <v>8.5267665828229356E-3</v>
      </c>
      <c r="K119" s="12">
        <f t="shared" si="13"/>
        <v>8.5267665828229356E-3</v>
      </c>
      <c r="L119" s="10">
        <f t="shared" si="14"/>
        <v>9840604677.5509701</v>
      </c>
      <c r="M119" s="10">
        <f t="shared" si="15"/>
        <v>259304.25712006912</v>
      </c>
      <c r="N119" s="10">
        <f t="shared" si="16"/>
        <v>67238697760.590912</v>
      </c>
      <c r="O119"/>
    </row>
    <row r="120" spans="1:15" x14ac:dyDescent="0.2">
      <c r="A120" s="49">
        <v>45230</v>
      </c>
      <c r="B120" s="101">
        <v>13631226.44609955</v>
      </c>
      <c r="C120" s="50">
        <v>344.3</v>
      </c>
      <c r="D120" s="50">
        <v>3.7</v>
      </c>
      <c r="E120" s="50">
        <v>31</v>
      </c>
      <c r="F120" s="78">
        <v>1</v>
      </c>
      <c r="G120" s="90">
        <f>'Rate Class Customer Model'!R12</f>
        <v>12416.713732459413</v>
      </c>
      <c r="H120" s="90">
        <f t="shared" ref="H120:H146" si="20">$Q$18+$Q$19*C120+$Q$20*D120+$Q$21*E120+$Q$22*F120+$Q$23*G120</f>
        <v>14241652.533007206</v>
      </c>
      <c r="I120" s="33">
        <f t="shared" si="18"/>
        <v>610426.08690765686</v>
      </c>
      <c r="J120" s="42">
        <f t="shared" si="19"/>
        <v>4.478145010072257E-2</v>
      </c>
      <c r="K120" s="12">
        <f t="shared" ref="K120:K122" si="21">ABS(J120)</f>
        <v>4.478145010072257E-2</v>
      </c>
      <c r="L120" s="10">
        <f t="shared" ref="L120:L122" si="22">I120*I120</f>
        <v>372620007577.39423</v>
      </c>
      <c r="M120" s="10">
        <f t="shared" si="15"/>
        <v>511226.26494435407</v>
      </c>
      <c r="N120" s="10">
        <f t="shared" si="16"/>
        <v>261352293968.9549</v>
      </c>
      <c r="O120"/>
    </row>
    <row r="121" spans="1:15" x14ac:dyDescent="0.2">
      <c r="A121" s="49">
        <v>45260</v>
      </c>
      <c r="B121" s="101">
        <v>16717072.082629107</v>
      </c>
      <c r="C121" s="50">
        <v>586.4</v>
      </c>
      <c r="D121" s="50">
        <v>0</v>
      </c>
      <c r="E121" s="50">
        <v>30</v>
      </c>
      <c r="F121" s="78">
        <v>0</v>
      </c>
      <c r="G121" s="90">
        <f>'Rate Class Customer Model'!R13</f>
        <v>12427.238528151698</v>
      </c>
      <c r="H121" s="90">
        <f t="shared" si="20"/>
        <v>16769721.842338659</v>
      </c>
      <c r="I121" s="33">
        <f t="shared" si="18"/>
        <v>52649.75970955193</v>
      </c>
      <c r="J121" s="42">
        <f t="shared" si="19"/>
        <v>3.1494605903064133E-3</v>
      </c>
      <c r="K121" s="12">
        <f t="shared" si="21"/>
        <v>3.1494605903064133E-3</v>
      </c>
      <c r="L121" s="10">
        <f t="shared" si="22"/>
        <v>2771997197.4735579</v>
      </c>
      <c r="M121" s="10">
        <f t="shared" ref="M121:M122" si="23">I121-I120</f>
        <v>-557776.32719810493</v>
      </c>
      <c r="N121" s="10">
        <f t="shared" ref="N121:N122" si="24">M121*M121</f>
        <v>311114431182.60742</v>
      </c>
      <c r="O121"/>
    </row>
    <row r="122" spans="1:15" x14ac:dyDescent="0.2">
      <c r="A122" s="49">
        <v>45291</v>
      </c>
      <c r="B122" s="101">
        <v>17923915.79789133</v>
      </c>
      <c r="C122" s="50">
        <v>603.9</v>
      </c>
      <c r="D122" s="50">
        <v>0</v>
      </c>
      <c r="E122" s="50">
        <v>31</v>
      </c>
      <c r="F122" s="78">
        <v>0</v>
      </c>
      <c r="G122" s="90">
        <f>'Rate Class Customer Model'!R14</f>
        <v>12437.772244990652</v>
      </c>
      <c r="H122" s="90">
        <f t="shared" si="20"/>
        <v>17406831.937366012</v>
      </c>
      <c r="I122" s="33">
        <f t="shared" si="18"/>
        <v>-517083.86052531749</v>
      </c>
      <c r="J122" s="42">
        <f t="shared" si="19"/>
        <v>-2.8848822230360519E-2</v>
      </c>
      <c r="K122" s="12">
        <f t="shared" si="21"/>
        <v>2.8848822230360519E-2</v>
      </c>
      <c r="L122" s="10">
        <f t="shared" si="22"/>
        <v>267375718815.76599</v>
      </c>
      <c r="M122" s="10">
        <f t="shared" si="23"/>
        <v>-569733.62023486942</v>
      </c>
      <c r="N122" s="10">
        <f t="shared" si="24"/>
        <v>324596398025.93042</v>
      </c>
      <c r="O122"/>
    </row>
    <row r="123" spans="1:15" x14ac:dyDescent="0.2">
      <c r="A123" s="49">
        <v>45322</v>
      </c>
      <c r="B123" s="100"/>
      <c r="C123" s="58">
        <f t="shared" ref="C123:D130" si="25">(C3+C15+C27+C39+C51+C63+C75+C87+C99+C111)/10</f>
        <v>895.70000488281255</v>
      </c>
      <c r="D123" s="58">
        <f t="shared" si="25"/>
        <v>0</v>
      </c>
      <c r="E123" s="64">
        <v>31</v>
      </c>
      <c r="F123" s="79">
        <v>0</v>
      </c>
      <c r="G123" s="50">
        <f>'Rate Class Customer Model'!S3</f>
        <v>12429</v>
      </c>
      <c r="H123" s="50">
        <f t="shared" si="20"/>
        <v>20192403.233969055</v>
      </c>
      <c r="I123" s="33"/>
      <c r="J123"/>
      <c r="K123" s="12">
        <f>AVERAGE(K3:K122)</f>
        <v>2.939202646339702E-2</v>
      </c>
      <c r="L123" s="83">
        <f>SUM(L3:L122)</f>
        <v>31610404284918.414</v>
      </c>
      <c r="M123" s="10"/>
      <c r="N123" s="10">
        <f>SUM(N3:N122)</f>
        <v>28819912020672.063</v>
      </c>
    </row>
    <row r="124" spans="1:15" x14ac:dyDescent="0.2">
      <c r="A124" s="49">
        <v>45351</v>
      </c>
      <c r="B124" s="100"/>
      <c r="C124" s="58">
        <f t="shared" si="25"/>
        <v>837.00000366210929</v>
      </c>
      <c r="D124" s="58">
        <f t="shared" si="25"/>
        <v>0</v>
      </c>
      <c r="E124" s="64">
        <v>29</v>
      </c>
      <c r="F124" s="79">
        <v>0</v>
      </c>
      <c r="G124" s="50">
        <f>'Rate Class Customer Model'!S4</f>
        <v>12434</v>
      </c>
      <c r="H124" s="50">
        <f t="shared" si="20"/>
        <v>18754619.081193835</v>
      </c>
      <c r="I124" s="33"/>
      <c r="J124"/>
      <c r="K124"/>
      <c r="L124"/>
      <c r="M124" s="10"/>
      <c r="N124" s="10"/>
      <c r="O124"/>
    </row>
    <row r="125" spans="1:15" x14ac:dyDescent="0.2">
      <c r="A125" s="49">
        <v>45382</v>
      </c>
      <c r="B125" s="100"/>
      <c r="C125" s="58">
        <f t="shared" si="25"/>
        <v>738.80999877929696</v>
      </c>
      <c r="D125" s="58">
        <f t="shared" si="25"/>
        <v>0</v>
      </c>
      <c r="E125" s="64">
        <v>31</v>
      </c>
      <c r="F125" s="79">
        <v>1</v>
      </c>
      <c r="G125" s="50">
        <f>'Rate Class Customer Model'!S5</f>
        <v>12439</v>
      </c>
      <c r="H125" s="50">
        <f t="shared" si="20"/>
        <v>17986566.700151384</v>
      </c>
      <c r="I125" s="33"/>
      <c r="J125"/>
      <c r="K125"/>
      <c r="L125"/>
      <c r="M125" s="10"/>
      <c r="N125" s="10"/>
      <c r="O125"/>
    </row>
    <row r="126" spans="1:15" x14ac:dyDescent="0.2">
      <c r="A126" s="49">
        <v>45412</v>
      </c>
      <c r="B126" s="100"/>
      <c r="C126" s="58">
        <f t="shared" si="25"/>
        <v>498.90000427246093</v>
      </c>
      <c r="D126" s="58">
        <f t="shared" si="25"/>
        <v>0</v>
      </c>
      <c r="E126" s="64">
        <v>30</v>
      </c>
      <c r="F126" s="79">
        <v>1</v>
      </c>
      <c r="G126" s="50">
        <f>'Rate Class Customer Model'!S6</f>
        <v>12437</v>
      </c>
      <c r="H126" s="50">
        <f t="shared" si="20"/>
        <v>15230861.115511121</v>
      </c>
      <c r="I126" s="33"/>
      <c r="J126"/>
      <c r="K126"/>
      <c r="L126"/>
      <c r="M126" s="10"/>
      <c r="N126" s="10"/>
      <c r="O126"/>
    </row>
    <row r="127" spans="1:15" x14ac:dyDescent="0.2">
      <c r="A127" s="49">
        <v>45443</v>
      </c>
      <c r="B127" s="50"/>
      <c r="C127" s="58">
        <f t="shared" si="25"/>
        <v>281.87999725341797</v>
      </c>
      <c r="D127" s="58">
        <f t="shared" si="25"/>
        <v>1.9499999940395356</v>
      </c>
      <c r="E127" s="64">
        <v>31</v>
      </c>
      <c r="F127" s="79">
        <v>1</v>
      </c>
      <c r="G127" s="50">
        <f>'Rate Class Customer Model'!S7</f>
        <v>12427</v>
      </c>
      <c r="H127" s="50">
        <f t="shared" si="20"/>
        <v>13616645.076376025</v>
      </c>
      <c r="I127" s="33"/>
      <c r="J127"/>
      <c r="K127"/>
      <c r="L127" s="83"/>
      <c r="M127" s="83"/>
      <c r="N127" s="10"/>
      <c r="O127"/>
    </row>
    <row r="128" spans="1:15" x14ac:dyDescent="0.2">
      <c r="A128" s="49">
        <v>45473</v>
      </c>
      <c r="B128" s="50"/>
      <c r="C128" s="58">
        <f t="shared" si="25"/>
        <v>126.93000061035154</v>
      </c>
      <c r="D128" s="58">
        <f t="shared" si="25"/>
        <v>7.2900000768899913</v>
      </c>
      <c r="E128" s="64">
        <v>30</v>
      </c>
      <c r="F128" s="79">
        <v>0</v>
      </c>
      <c r="G128" s="50">
        <f>'Rate Class Customer Model'!S8</f>
        <v>12441</v>
      </c>
      <c r="H128" s="50">
        <f t="shared" si="20"/>
        <v>12591393.742616046</v>
      </c>
      <c r="I128" s="33"/>
      <c r="J128"/>
      <c r="K128"/>
      <c r="L128" s="83"/>
      <c r="M128" s="83"/>
      <c r="N128" s="10"/>
      <c r="O128"/>
    </row>
    <row r="129" spans="1:15" x14ac:dyDescent="0.2">
      <c r="A129" s="49">
        <v>45504</v>
      </c>
      <c r="B129" s="50"/>
      <c r="C129" s="58">
        <f t="shared" si="25"/>
        <v>59.829999809265146</v>
      </c>
      <c r="D129" s="58">
        <f t="shared" si="25"/>
        <v>18.570000028610231</v>
      </c>
      <c r="E129" s="64">
        <v>31</v>
      </c>
      <c r="F129" s="79">
        <v>0</v>
      </c>
      <c r="G129" s="50">
        <f>'Rate Class Customer Model'!S9</f>
        <v>12443.197818250159</v>
      </c>
      <c r="H129" s="50">
        <f t="shared" si="20"/>
        <v>12715809.767030742</v>
      </c>
      <c r="I129" s="33"/>
      <c r="J129"/>
      <c r="K129"/>
      <c r="L129" s="83"/>
      <c r="M129" s="83"/>
      <c r="N129" s="10"/>
      <c r="O129"/>
    </row>
    <row r="130" spans="1:15" x14ac:dyDescent="0.2">
      <c r="A130" s="49">
        <v>45535</v>
      </c>
      <c r="B130" s="50"/>
      <c r="C130" s="58">
        <f t="shared" si="25"/>
        <v>54.610000228881837</v>
      </c>
      <c r="D130" s="58">
        <f t="shared" si="25"/>
        <v>20.229999904632567</v>
      </c>
      <c r="E130" s="64">
        <v>31</v>
      </c>
      <c r="F130" s="79">
        <v>0</v>
      </c>
      <c r="G130" s="50">
        <f>'Rate Class Customer Model'!S10</f>
        <v>12445.404535316051</v>
      </c>
      <c r="H130" s="50">
        <f t="shared" si="20"/>
        <v>12718404.077347942</v>
      </c>
      <c r="I130" s="33"/>
      <c r="J130"/>
      <c r="K130"/>
      <c r="L130" s="103"/>
      <c r="M130" s="10"/>
      <c r="N130" s="10"/>
      <c r="O130"/>
    </row>
    <row r="131" spans="1:15" x14ac:dyDescent="0.2">
      <c r="A131" s="49">
        <v>45565</v>
      </c>
      <c r="B131" s="50"/>
      <c r="C131" s="58">
        <f>C119</f>
        <v>112.7</v>
      </c>
      <c r="D131" s="58">
        <f>D119</f>
        <v>10.3</v>
      </c>
      <c r="E131" s="64">
        <v>30</v>
      </c>
      <c r="F131" s="79">
        <v>1</v>
      </c>
      <c r="G131" s="50">
        <f>'Rate Class Customer Model'!S11</f>
        <v>12447.620150615094</v>
      </c>
      <c r="H131" s="50">
        <f t="shared" si="20"/>
        <v>11835532.154572081</v>
      </c>
      <c r="I131" s="33"/>
      <c r="J131"/>
      <c r="K131"/>
      <c r="L131"/>
      <c r="M131" s="10"/>
      <c r="N131" s="113"/>
    </row>
    <row r="132" spans="1:15" x14ac:dyDescent="0.2">
      <c r="A132" s="49">
        <v>45596</v>
      </c>
      <c r="B132" s="50"/>
      <c r="C132" s="58">
        <f t="shared" ref="C132:D146" si="26">C120</f>
        <v>344.3</v>
      </c>
      <c r="D132" s="58">
        <f t="shared" si="26"/>
        <v>3.7</v>
      </c>
      <c r="E132" s="64">
        <v>31</v>
      </c>
      <c r="F132" s="79">
        <v>1</v>
      </c>
      <c r="G132" s="50">
        <f>'Rate Class Customer Model'!S12</f>
        <v>12449.844663578551</v>
      </c>
      <c r="H132" s="50">
        <f t="shared" si="20"/>
        <v>14323555.779237887</v>
      </c>
      <c r="I132" s="33"/>
      <c r="J132"/>
      <c r="K132"/>
      <c r="L132"/>
      <c r="M132" s="10"/>
      <c r="N132" s="10"/>
      <c r="O132"/>
    </row>
    <row r="133" spans="1:15" x14ac:dyDescent="0.2">
      <c r="A133" s="49">
        <v>45626</v>
      </c>
      <c r="B133" s="50"/>
      <c r="C133" s="58">
        <f t="shared" si="26"/>
        <v>586.4</v>
      </c>
      <c r="D133" s="58">
        <f t="shared" si="26"/>
        <v>0</v>
      </c>
      <c r="E133" s="64">
        <v>30</v>
      </c>
      <c r="F133" s="79">
        <v>0</v>
      </c>
      <c r="G133" s="50">
        <f>'Rate Class Customer Model'!S13</f>
        <v>12452.078073651561</v>
      </c>
      <c r="H133" s="50">
        <f t="shared" si="20"/>
        <v>16831127.886256281</v>
      </c>
      <c r="I133" s="33"/>
      <c r="L133"/>
      <c r="M133" s="10"/>
      <c r="N133" s="10"/>
      <c r="O133"/>
    </row>
    <row r="134" spans="1:15" x14ac:dyDescent="0.2">
      <c r="A134" s="49">
        <v>45657</v>
      </c>
      <c r="B134" s="50"/>
      <c r="C134" s="58">
        <f t="shared" si="26"/>
        <v>603.9</v>
      </c>
      <c r="D134" s="58">
        <f t="shared" si="26"/>
        <v>0</v>
      </c>
      <c r="E134" s="64">
        <v>31</v>
      </c>
      <c r="F134" s="79">
        <v>0</v>
      </c>
      <c r="G134" s="50">
        <f>'Rate Class Customer Model'!S14</f>
        <v>12454.320380293106</v>
      </c>
      <c r="H134" s="50">
        <f t="shared" si="20"/>
        <v>17447740.718210768</v>
      </c>
      <c r="I134" s="33"/>
      <c r="L134"/>
      <c r="M134" s="10"/>
      <c r="N134" s="10"/>
      <c r="O134"/>
    </row>
    <row r="135" spans="1:15" x14ac:dyDescent="0.2">
      <c r="A135" s="49">
        <v>45688</v>
      </c>
      <c r="B135" s="10"/>
      <c r="C135" s="58">
        <f t="shared" si="26"/>
        <v>895.70000488281255</v>
      </c>
      <c r="D135" s="58">
        <f t="shared" si="26"/>
        <v>0</v>
      </c>
      <c r="E135" s="64">
        <v>31</v>
      </c>
      <c r="F135" s="79">
        <v>0</v>
      </c>
      <c r="G135" s="50">
        <f>'Rate Class Customer Model'!T3</f>
        <v>12456.730918006413</v>
      </c>
      <c r="H135" s="50">
        <f t="shared" si="20"/>
        <v>20260957.06354646</v>
      </c>
      <c r="I135" s="33"/>
      <c r="L135"/>
      <c r="M135" s="10"/>
      <c r="N135" s="10"/>
      <c r="O135"/>
    </row>
    <row r="136" spans="1:15" x14ac:dyDescent="0.2">
      <c r="A136" s="49">
        <v>45716</v>
      </c>
      <c r="B136" s="10"/>
      <c r="C136" s="58">
        <f t="shared" si="26"/>
        <v>837.00000366210929</v>
      </c>
      <c r="D136" s="58">
        <f t="shared" si="26"/>
        <v>0</v>
      </c>
      <c r="E136" s="64">
        <v>28</v>
      </c>
      <c r="F136" s="79">
        <v>0</v>
      </c>
      <c r="G136" s="50">
        <f>'Rate Class Customer Model'!T4</f>
        <v>12459.141922280071</v>
      </c>
      <c r="H136" s="50">
        <f t="shared" si="20"/>
        <v>18374061.493319243</v>
      </c>
      <c r="I136" s="33"/>
      <c r="L136"/>
      <c r="M136" s="10"/>
      <c r="N136" s="10"/>
      <c r="O136"/>
    </row>
    <row r="137" spans="1:15" x14ac:dyDescent="0.2">
      <c r="A137" s="49">
        <v>45747</v>
      </c>
      <c r="B137" s="10"/>
      <c r="C137" s="58">
        <f t="shared" si="26"/>
        <v>738.80999877929696</v>
      </c>
      <c r="D137" s="58">
        <f t="shared" si="26"/>
        <v>0</v>
      </c>
      <c r="E137" s="64">
        <v>31</v>
      </c>
      <c r="F137" s="79">
        <v>1</v>
      </c>
      <c r="G137" s="50">
        <f>'Rate Class Customer Model'!T5</f>
        <v>12461.55339320438</v>
      </c>
      <c r="H137" s="50">
        <f t="shared" si="20"/>
        <v>18042321.128251016</v>
      </c>
      <c r="I137" s="33"/>
      <c r="L137"/>
      <c r="M137" s="10"/>
      <c r="N137" s="10"/>
      <c r="O137"/>
    </row>
    <row r="138" spans="1:15" x14ac:dyDescent="0.2">
      <c r="A138" s="49">
        <v>45777</v>
      </c>
      <c r="B138" s="10"/>
      <c r="C138" s="58">
        <f t="shared" si="26"/>
        <v>498.90000427246093</v>
      </c>
      <c r="D138" s="58">
        <f t="shared" si="26"/>
        <v>0</v>
      </c>
      <c r="E138" s="64">
        <v>30</v>
      </c>
      <c r="F138" s="79">
        <v>1</v>
      </c>
      <c r="G138" s="50">
        <f>'Rate Class Customer Model'!T6</f>
        <v>12463.965330869662</v>
      </c>
      <c r="H138" s="50">
        <f t="shared" si="20"/>
        <v>15297522.330856016</v>
      </c>
      <c r="I138" s="33"/>
      <c r="L138"/>
      <c r="M138" s="10"/>
      <c r="N138" s="10"/>
      <c r="O138"/>
    </row>
    <row r="139" spans="1:15" x14ac:dyDescent="0.2">
      <c r="A139" s="49">
        <v>45808</v>
      </c>
      <c r="B139" s="10"/>
      <c r="C139" s="58">
        <f t="shared" si="26"/>
        <v>281.87999725341797</v>
      </c>
      <c r="D139" s="58">
        <f t="shared" si="26"/>
        <v>1.9499999940395356</v>
      </c>
      <c r="E139" s="64">
        <v>31</v>
      </c>
      <c r="F139" s="79">
        <v>1</v>
      </c>
      <c r="G139" s="50">
        <f>'Rate Class Customer Model'!T7</f>
        <v>12466.377735366254</v>
      </c>
      <c r="H139" s="50">
        <f t="shared" si="20"/>
        <v>13713991.098560292</v>
      </c>
      <c r="I139" s="33"/>
      <c r="L139"/>
      <c r="M139" s="10"/>
      <c r="N139" s="10"/>
      <c r="O139"/>
    </row>
    <row r="140" spans="1:15" x14ac:dyDescent="0.2">
      <c r="A140" s="49">
        <v>45838</v>
      </c>
      <c r="B140" s="10"/>
      <c r="C140" s="58">
        <f t="shared" si="26"/>
        <v>126.93000061035154</v>
      </c>
      <c r="D140" s="58">
        <f t="shared" si="26"/>
        <v>7.2900000768899913</v>
      </c>
      <c r="E140" s="64">
        <v>30</v>
      </c>
      <c r="F140" s="79">
        <v>0</v>
      </c>
      <c r="G140" s="50">
        <f>'Rate Class Customer Model'!T8</f>
        <v>12468.790606784512</v>
      </c>
      <c r="H140" s="50">
        <f t="shared" si="20"/>
        <v>12660095.129310764</v>
      </c>
      <c r="I140" s="33"/>
      <c r="L140"/>
      <c r="M140" s="10"/>
      <c r="N140" s="10"/>
      <c r="O140"/>
    </row>
    <row r="141" spans="1:15" x14ac:dyDescent="0.2">
      <c r="A141" s="49">
        <v>45869</v>
      </c>
      <c r="B141" s="10"/>
      <c r="C141" s="58">
        <f t="shared" si="26"/>
        <v>59.829999809265146</v>
      </c>
      <c r="D141" s="58">
        <f t="shared" si="26"/>
        <v>18.570000028610231</v>
      </c>
      <c r="E141" s="64">
        <v>31</v>
      </c>
      <c r="F141" s="79">
        <v>0</v>
      </c>
      <c r="G141" s="50">
        <f>'Rate Class Customer Model'!T9</f>
        <v>12471.203945214809</v>
      </c>
      <c r="H141" s="50">
        <f t="shared" si="20"/>
        <v>12785043.942928337</v>
      </c>
      <c r="I141" s="33"/>
      <c r="L141"/>
      <c r="M141" s="10"/>
      <c r="N141" s="10"/>
      <c r="O141"/>
    </row>
    <row r="142" spans="1:15" x14ac:dyDescent="0.2">
      <c r="A142" s="49">
        <v>45900</v>
      </c>
      <c r="B142" s="10"/>
      <c r="C142" s="58">
        <f t="shared" si="26"/>
        <v>54.610000228881837</v>
      </c>
      <c r="D142" s="58">
        <f t="shared" si="26"/>
        <v>20.229999904632567</v>
      </c>
      <c r="E142" s="64">
        <v>31</v>
      </c>
      <c r="F142" s="79">
        <v>0</v>
      </c>
      <c r="G142" s="50">
        <f>'Rate Class Customer Model'!T10</f>
        <v>12473.617750747535</v>
      </c>
      <c r="H142" s="50">
        <f t="shared" si="20"/>
        <v>12788150.198340882</v>
      </c>
      <c r="I142" s="33"/>
      <c r="L142"/>
      <c r="M142" s="10"/>
      <c r="N142" s="10"/>
      <c r="O142"/>
    </row>
    <row r="143" spans="1:15" x14ac:dyDescent="0.2">
      <c r="A143" s="49">
        <v>45930</v>
      </c>
      <c r="B143" s="10"/>
      <c r="C143" s="58">
        <f t="shared" si="26"/>
        <v>112.7</v>
      </c>
      <c r="D143" s="58">
        <f t="shared" si="26"/>
        <v>10.3</v>
      </c>
      <c r="E143" s="64">
        <v>30</v>
      </c>
      <c r="F143" s="79">
        <v>1</v>
      </c>
      <c r="G143" s="50">
        <f>'Rate Class Customer Model'!T11</f>
        <v>12476.032023473097</v>
      </c>
      <c r="H143" s="50">
        <f t="shared" si="20"/>
        <v>11905769.378216535</v>
      </c>
      <c r="I143" s="33"/>
      <c r="L143"/>
      <c r="M143" s="10"/>
      <c r="N143" s="10"/>
      <c r="O143"/>
    </row>
    <row r="144" spans="1:15" x14ac:dyDescent="0.2">
      <c r="A144" s="49">
        <v>45961</v>
      </c>
      <c r="B144" s="10"/>
      <c r="C144" s="58">
        <f t="shared" si="26"/>
        <v>344.3</v>
      </c>
      <c r="D144" s="58">
        <f t="shared" si="26"/>
        <v>3.7</v>
      </c>
      <c r="E144" s="64">
        <v>31</v>
      </c>
      <c r="F144" s="79">
        <v>1</v>
      </c>
      <c r="G144" s="50">
        <f>'Rate Class Customer Model'!T12</f>
        <v>12478.446763481923</v>
      </c>
      <c r="H144" s="50">
        <f t="shared" si="20"/>
        <v>14394263.264719551</v>
      </c>
      <c r="I144" s="33"/>
      <c r="L144"/>
      <c r="M144" s="10"/>
      <c r="N144" s="10"/>
      <c r="O144"/>
    </row>
    <row r="145" spans="1:15" x14ac:dyDescent="0.2">
      <c r="A145" s="49">
        <v>45991</v>
      </c>
      <c r="B145" s="10"/>
      <c r="C145" s="58">
        <f t="shared" si="26"/>
        <v>586.4</v>
      </c>
      <c r="D145" s="58">
        <f t="shared" si="26"/>
        <v>0</v>
      </c>
      <c r="E145" s="64">
        <v>30</v>
      </c>
      <c r="F145" s="79">
        <v>0</v>
      </c>
      <c r="G145" s="50">
        <f>'Rate Class Customer Model'!T13</f>
        <v>12480.861970864453</v>
      </c>
      <c r="H145" s="50">
        <f t="shared" si="20"/>
        <v>16902284.794356108</v>
      </c>
      <c r="I145" s="33"/>
      <c r="L145"/>
      <c r="M145" s="10"/>
      <c r="N145" s="10"/>
      <c r="O145"/>
    </row>
    <row r="146" spans="1:15" x14ac:dyDescent="0.2">
      <c r="A146" s="49">
        <v>46022</v>
      </c>
      <c r="B146" s="10"/>
      <c r="C146" s="58">
        <f t="shared" si="26"/>
        <v>603.9</v>
      </c>
      <c r="D146" s="58">
        <f t="shared" si="26"/>
        <v>0</v>
      </c>
      <c r="E146" s="64">
        <v>31</v>
      </c>
      <c r="F146" s="79">
        <v>0</v>
      </c>
      <c r="G146" s="50">
        <f>'Rate Class Customer Model'!T14</f>
        <v>12483.277645711149</v>
      </c>
      <c r="H146" s="50">
        <f t="shared" si="20"/>
        <v>17519326.211270794</v>
      </c>
      <c r="I146" s="33"/>
      <c r="L146"/>
      <c r="M146" s="10"/>
      <c r="N146" s="10"/>
      <c r="O146"/>
    </row>
    <row r="147" spans="1:15" x14ac:dyDescent="0.2">
      <c r="A147" s="34"/>
      <c r="E147" s="10"/>
      <c r="F147" s="60"/>
      <c r="L147"/>
      <c r="O147"/>
    </row>
    <row r="148" spans="1:15" x14ac:dyDescent="0.2">
      <c r="A148" s="34"/>
      <c r="E148" s="10"/>
      <c r="F148" s="60"/>
      <c r="O148"/>
    </row>
    <row r="149" spans="1:15" x14ac:dyDescent="0.2">
      <c r="A149" s="34"/>
      <c r="C149" s="67" t="s">
        <v>66</v>
      </c>
      <c r="D149" s="66"/>
      <c r="E149" s="10"/>
      <c r="F149" s="60"/>
      <c r="O149"/>
    </row>
    <row r="150" spans="1:15" x14ac:dyDescent="0.2">
      <c r="A150" s="34"/>
      <c r="C150"/>
      <c r="D150"/>
      <c r="E150" s="10"/>
      <c r="F150" s="60"/>
      <c r="H150" s="33">
        <f>SUM(H2:H146)</f>
        <v>2052151884.7634346</v>
      </c>
      <c r="O150"/>
    </row>
    <row r="151" spans="1:15" x14ac:dyDescent="0.2">
      <c r="A151" s="34"/>
      <c r="E151" s="10"/>
      <c r="F151" s="60"/>
      <c r="O151"/>
    </row>
    <row r="152" spans="1:15" x14ac:dyDescent="0.2">
      <c r="H152" s="6"/>
      <c r="I152" t="s">
        <v>105</v>
      </c>
      <c r="J152" t="s">
        <v>106</v>
      </c>
      <c r="K152" s="5" t="s">
        <v>107</v>
      </c>
      <c r="L152" s="5" t="s">
        <v>108</v>
      </c>
      <c r="M152" s="5" t="s">
        <v>82</v>
      </c>
      <c r="N152" s="5" t="s">
        <v>109</v>
      </c>
      <c r="O152"/>
    </row>
    <row r="153" spans="1:15" x14ac:dyDescent="0.2">
      <c r="A153" s="25">
        <v>2014</v>
      </c>
      <c r="B153" s="6">
        <f>SUM(B3:B14)</f>
        <v>171745150.64851713</v>
      </c>
      <c r="C153" s="42"/>
      <c r="H153" s="6">
        <f>SUM(H3:H14)</f>
        <v>164187706.6251857</v>
      </c>
      <c r="I153" s="37">
        <f>H153-B153</f>
        <v>-7557444.0233314335</v>
      </c>
      <c r="J153" s="96">
        <f>I153/B153</f>
        <v>-4.40038277342574E-2</v>
      </c>
      <c r="K153" s="13">
        <f>ABS(J153)</f>
        <v>4.40038277342574E-2</v>
      </c>
      <c r="L153" s="36" t="e">
        <f>#REF!</f>
        <v>#REF!</v>
      </c>
      <c r="M153" s="17" t="e">
        <f>L153/H153</f>
        <v>#REF!</v>
      </c>
      <c r="N153" s="35" t="e">
        <f>B153*M153</f>
        <v>#REF!</v>
      </c>
      <c r="O153"/>
    </row>
    <row r="154" spans="1:15" x14ac:dyDescent="0.2">
      <c r="A154" s="25">
        <v>2015</v>
      </c>
      <c r="B154" s="6">
        <f>SUM(B15:B26)</f>
        <v>161340666.03215581</v>
      </c>
      <c r="C154" s="42">
        <f t="shared" ref="C154:C160" si="27">B154/B153-1</f>
        <v>-6.0580951351892787E-2</v>
      </c>
      <c r="H154" s="6">
        <f>SUM(H15:H26)</f>
        <v>160701526.82074359</v>
      </c>
      <c r="I154" s="37">
        <f t="shared" ref="I154:I162" si="28">H154-B154</f>
        <v>-639139.21141222119</v>
      </c>
      <c r="J154" s="96">
        <f t="shared" ref="J154:J162" si="29">I154/B154</f>
        <v>-3.9614266330401677E-3</v>
      </c>
      <c r="K154" s="13">
        <f t="shared" ref="K154:K162" si="30">ABS(J154)</f>
        <v>3.9614266330401677E-3</v>
      </c>
      <c r="L154" s="36" t="e">
        <f>#REF!</f>
        <v>#REF!</v>
      </c>
      <c r="M154" s="17" t="e">
        <f t="shared" ref="M154:M162" si="31">L154/H154</f>
        <v>#REF!</v>
      </c>
      <c r="N154" s="35" t="e">
        <f t="shared" ref="N154:N162" si="32">B154*M154</f>
        <v>#REF!</v>
      </c>
      <c r="O154"/>
    </row>
    <row r="155" spans="1:15" x14ac:dyDescent="0.2">
      <c r="A155" s="25">
        <v>2016</v>
      </c>
      <c r="B155" s="6">
        <f>SUM(B27:B38)</f>
        <v>153621850.24421027</v>
      </c>
      <c r="C155" s="42">
        <f t="shared" si="27"/>
        <v>-4.784172507634965E-2</v>
      </c>
      <c r="H155" s="6">
        <f>SUM(H27:H38)</f>
        <v>156492227.96453741</v>
      </c>
      <c r="I155" s="37">
        <f t="shared" si="28"/>
        <v>2870377.7203271389</v>
      </c>
      <c r="J155" s="96">
        <f t="shared" si="29"/>
        <v>1.8684696973536929E-2</v>
      </c>
      <c r="K155" s="13">
        <f t="shared" si="30"/>
        <v>1.8684696973536929E-2</v>
      </c>
      <c r="L155" s="36" t="e">
        <f>#REF!</f>
        <v>#REF!</v>
      </c>
      <c r="M155" s="17" t="e">
        <f t="shared" si="31"/>
        <v>#REF!</v>
      </c>
      <c r="N155" s="35" t="e">
        <f t="shared" si="32"/>
        <v>#REF!</v>
      </c>
      <c r="O155"/>
    </row>
    <row r="156" spans="1:15" x14ac:dyDescent="0.2">
      <c r="A156" s="25">
        <v>2017</v>
      </c>
      <c r="B156" s="6">
        <f>SUM(B39:B50)</f>
        <v>153601438.30796361</v>
      </c>
      <c r="C156" s="42">
        <f t="shared" si="27"/>
        <v>-1.328713084383093E-4</v>
      </c>
      <c r="H156" s="6">
        <f>SUM(H39:H50)</f>
        <v>157178402.83688119</v>
      </c>
      <c r="I156" s="37">
        <f t="shared" si="28"/>
        <v>3576964.5289175808</v>
      </c>
      <c r="J156" s="96">
        <f t="shared" si="29"/>
        <v>2.3287311423125717E-2</v>
      </c>
      <c r="K156" s="13">
        <f t="shared" si="30"/>
        <v>2.3287311423125717E-2</v>
      </c>
      <c r="L156" s="36" t="e">
        <f>#REF!</f>
        <v>#REF!</v>
      </c>
      <c r="M156" s="17" t="e">
        <f t="shared" si="31"/>
        <v>#REF!</v>
      </c>
      <c r="N156" s="35" t="e">
        <f t="shared" si="32"/>
        <v>#REF!</v>
      </c>
      <c r="O156"/>
    </row>
    <row r="157" spans="1:15" x14ac:dyDescent="0.2">
      <c r="A157" s="25">
        <v>2018</v>
      </c>
      <c r="B157" s="6">
        <f>SUM(B51:B62)</f>
        <v>164183423.06716841</v>
      </c>
      <c r="C157" s="42">
        <f t="shared" si="27"/>
        <v>6.8892484834604417E-2</v>
      </c>
      <c r="H157" s="6">
        <f>SUM(H51:H62)</f>
        <v>164596023.3933742</v>
      </c>
      <c r="I157" s="37">
        <f t="shared" si="28"/>
        <v>412600.32620579004</v>
      </c>
      <c r="J157" s="96">
        <f t="shared" si="29"/>
        <v>2.5130449743211458E-3</v>
      </c>
      <c r="K157" s="13">
        <f t="shared" si="30"/>
        <v>2.5130449743211458E-3</v>
      </c>
      <c r="L157" s="36" t="e">
        <f>#REF!</f>
        <v>#REF!</v>
      </c>
      <c r="M157" s="17" t="e">
        <f t="shared" si="31"/>
        <v>#REF!</v>
      </c>
      <c r="N157" s="35" t="e">
        <f t="shared" si="32"/>
        <v>#REF!</v>
      </c>
      <c r="O157"/>
    </row>
    <row r="158" spans="1:15" x14ac:dyDescent="0.2">
      <c r="A158" s="25">
        <v>2019</v>
      </c>
      <c r="B158" s="6">
        <f>SUM(B63:B74)</f>
        <v>170763271.17427856</v>
      </c>
      <c r="C158" s="42">
        <f t="shared" si="27"/>
        <v>4.0076202482502099E-2</v>
      </c>
      <c r="H158" s="6">
        <f>SUM(H63:H74)</f>
        <v>170113460.73694792</v>
      </c>
      <c r="I158" s="37">
        <f t="shared" si="28"/>
        <v>-649810.4373306334</v>
      </c>
      <c r="J158" s="96">
        <f t="shared" si="29"/>
        <v>-3.8053290550252236E-3</v>
      </c>
      <c r="K158" s="13">
        <f t="shared" si="30"/>
        <v>3.8053290550252236E-3</v>
      </c>
      <c r="L158" s="36" t="e">
        <f>#REF!</f>
        <v>#REF!</v>
      </c>
      <c r="M158" s="17" t="e">
        <f t="shared" si="31"/>
        <v>#REF!</v>
      </c>
      <c r="N158" s="35" t="e">
        <f t="shared" si="32"/>
        <v>#REF!</v>
      </c>
      <c r="O158"/>
    </row>
    <row r="159" spans="1:15" x14ac:dyDescent="0.2">
      <c r="A159" s="25">
        <v>2020</v>
      </c>
      <c r="B159" s="6">
        <f>SUM(B75:B86)</f>
        <v>169249437.18097067</v>
      </c>
      <c r="C159" s="42">
        <f t="shared" si="27"/>
        <v>-8.8651030335609171E-3</v>
      </c>
      <c r="H159" s="6">
        <f>SUM(H75:H86)</f>
        <v>171442235.84261203</v>
      </c>
      <c r="I159" s="37">
        <f t="shared" si="28"/>
        <v>2192798.6616413593</v>
      </c>
      <c r="J159" s="96">
        <f t="shared" si="29"/>
        <v>1.2956017450720975E-2</v>
      </c>
      <c r="K159" s="13">
        <f t="shared" si="30"/>
        <v>1.2956017450720975E-2</v>
      </c>
      <c r="L159" s="36" t="e">
        <f>#REF!</f>
        <v>#REF!</v>
      </c>
      <c r="M159" s="17" t="e">
        <f t="shared" si="31"/>
        <v>#REF!</v>
      </c>
      <c r="N159" s="35" t="e">
        <f t="shared" si="32"/>
        <v>#REF!</v>
      </c>
      <c r="O159"/>
    </row>
    <row r="160" spans="1:15" x14ac:dyDescent="0.2">
      <c r="A160" s="25">
        <v>2021</v>
      </c>
      <c r="B160" s="6">
        <f>SUM(B87:B98)</f>
        <v>171843921.17852038</v>
      </c>
      <c r="C160" s="42">
        <f t="shared" si="27"/>
        <v>1.5329350813589659E-2</v>
      </c>
      <c r="D160" s="54" t="s">
        <v>9</v>
      </c>
      <c r="H160" s="6">
        <f>SUM(H87:H98)</f>
        <v>174793689.91380933</v>
      </c>
      <c r="I160" s="37">
        <f t="shared" si="28"/>
        <v>2949768.7352889478</v>
      </c>
      <c r="J160" s="96">
        <f t="shared" si="29"/>
        <v>1.7165394708519105E-2</v>
      </c>
      <c r="K160" s="13">
        <f t="shared" si="30"/>
        <v>1.7165394708519105E-2</v>
      </c>
      <c r="L160" s="36" t="e">
        <f>#REF!</f>
        <v>#REF!</v>
      </c>
      <c r="M160" s="17" t="e">
        <f t="shared" si="31"/>
        <v>#REF!</v>
      </c>
      <c r="N160" s="35" t="e">
        <f t="shared" si="32"/>
        <v>#REF!</v>
      </c>
      <c r="O160"/>
    </row>
    <row r="161" spans="1:17" x14ac:dyDescent="0.2">
      <c r="A161" s="25">
        <v>2022</v>
      </c>
      <c r="B161" s="6">
        <f>SUM(B99:B110)</f>
        <v>186081780.47160706</v>
      </c>
      <c r="C161" s="42">
        <f>B161/B160-1</f>
        <v>8.2853435812231258E-2</v>
      </c>
      <c r="D161" s="5">
        <f>AVERAGE(C154:C162)</f>
        <v>6.8356993542365574E-3</v>
      </c>
      <c r="H161" s="6">
        <f>SUM(H99:H110)</f>
        <v>183321441.11809194</v>
      </c>
      <c r="I161" s="37">
        <f t="shared" si="28"/>
        <v>-2760339.3535151184</v>
      </c>
      <c r="J161" s="96">
        <f t="shared" si="29"/>
        <v>-1.4834011940982581E-2</v>
      </c>
      <c r="K161" s="13">
        <f t="shared" si="30"/>
        <v>1.4834011940982581E-2</v>
      </c>
      <c r="L161" s="36" t="e">
        <f>#REF!</f>
        <v>#REF!</v>
      </c>
      <c r="M161" s="17" t="e">
        <f t="shared" si="31"/>
        <v>#REF!</v>
      </c>
      <c r="N161" s="35" t="e">
        <f t="shared" si="32"/>
        <v>#REF!</v>
      </c>
      <c r="O161"/>
    </row>
    <row r="162" spans="1:17" x14ac:dyDescent="0.2">
      <c r="A162" s="25">
        <v>2023</v>
      </c>
      <c r="B162" s="6">
        <f>SUM(B111:B122)</f>
        <v>180832501.09189534</v>
      </c>
      <c r="C162" s="42">
        <f>B162/B161-1</f>
        <v>-2.8209528984556753E-2</v>
      </c>
      <c r="F162" s="1"/>
      <c r="G162" s="42"/>
      <c r="H162" s="6">
        <f>SUM(H111:H122)</f>
        <v>180436724.14510307</v>
      </c>
      <c r="I162" s="37">
        <f t="shared" si="28"/>
        <v>-395776.94679227471</v>
      </c>
      <c r="J162" s="96">
        <f t="shared" si="29"/>
        <v>-2.1886383498680309E-3</v>
      </c>
      <c r="K162" s="13">
        <f t="shared" si="30"/>
        <v>2.1886383498680309E-3</v>
      </c>
      <c r="L162" s="36" t="e">
        <f>#REF!</f>
        <v>#REF!</v>
      </c>
      <c r="M162" s="17" t="e">
        <f t="shared" si="31"/>
        <v>#REF!</v>
      </c>
      <c r="N162" s="35" t="e">
        <f t="shared" si="32"/>
        <v>#REF!</v>
      </c>
      <c r="O162"/>
    </row>
    <row r="163" spans="1:17" x14ac:dyDescent="0.2">
      <c r="A163" s="25">
        <v>2024</v>
      </c>
      <c r="F163" s="54" t="s">
        <v>9</v>
      </c>
      <c r="G163" s="42">
        <f>H163/H162-1</f>
        <v>2.1103992024970708E-2</v>
      </c>
      <c r="H163" s="15">
        <f>SUM(H123:H134)</f>
        <v>184244659.33247316</v>
      </c>
      <c r="I163" s="24"/>
      <c r="J163" s="5"/>
      <c r="K163" s="5"/>
      <c r="L163" s="36" t="e">
        <f>#REF!</f>
        <v>#REF!</v>
      </c>
      <c r="M163" s="5"/>
      <c r="N163" s="5"/>
      <c r="O163"/>
    </row>
    <row r="164" spans="1:17" x14ac:dyDescent="0.2">
      <c r="A164" s="25">
        <v>2025</v>
      </c>
      <c r="F164" s="5">
        <f>AVERAGE(G162:G164)</f>
        <v>1.16351392163343E-2</v>
      </c>
      <c r="G164" s="42">
        <f>H164/H163-1</f>
        <v>2.1662864076978927E-3</v>
      </c>
      <c r="H164" s="15">
        <f>SUM(H135:H146)</f>
        <v>184643786.03367603</v>
      </c>
      <c r="I164" s="24"/>
      <c r="J164" s="5"/>
      <c r="K164" s="5"/>
      <c r="L164" s="36" t="e">
        <f>#REF!</f>
        <v>#REF!</v>
      </c>
      <c r="M164" s="5"/>
      <c r="N164" s="5"/>
      <c r="O164"/>
    </row>
    <row r="165" spans="1:17" x14ac:dyDescent="0.2">
      <c r="H165" s="6"/>
      <c r="O165"/>
    </row>
    <row r="166" spans="1:17" x14ac:dyDescent="0.2">
      <c r="A166" s="43" t="s">
        <v>7</v>
      </c>
      <c r="B166" s="6">
        <f>SUM(B153:B162)</f>
        <v>1683263439.3972871</v>
      </c>
      <c r="H166" s="6">
        <f>SUM(H153:H162)</f>
        <v>1683263439.3972864</v>
      </c>
      <c r="I166" s="33">
        <f>H166-B166</f>
        <v>0</v>
      </c>
      <c r="J166" s="54" t="s">
        <v>61</v>
      </c>
      <c r="O166"/>
    </row>
    <row r="167" spans="1:17" x14ac:dyDescent="0.2">
      <c r="O167"/>
    </row>
    <row r="168" spans="1:17" x14ac:dyDescent="0.2">
      <c r="H168" s="6">
        <f>SUM(H153:H164)</f>
        <v>2052151884.7634358</v>
      </c>
      <c r="I168" s="33">
        <f>H150-H168</f>
        <v>0</v>
      </c>
      <c r="O168"/>
    </row>
    <row r="169" spans="1:17" x14ac:dyDescent="0.2">
      <c r="H169" s="115"/>
      <c r="I169" s="115"/>
      <c r="J169"/>
      <c r="K169"/>
      <c r="L169"/>
      <c r="M169"/>
      <c r="N169"/>
      <c r="O169"/>
    </row>
    <row r="170" spans="1:17" x14ac:dyDescent="0.2">
      <c r="O170"/>
    </row>
    <row r="171" spans="1:17" x14ac:dyDescent="0.2">
      <c r="O171"/>
    </row>
    <row r="172" spans="1:17" x14ac:dyDescent="0.2">
      <c r="A172"/>
      <c r="B172"/>
      <c r="C172"/>
      <c r="D172"/>
      <c r="E172"/>
      <c r="G172"/>
      <c r="H172"/>
      <c r="I172"/>
      <c r="O172"/>
    </row>
    <row r="173" spans="1:17" x14ac:dyDescent="0.2">
      <c r="A173"/>
      <c r="B173"/>
      <c r="C173"/>
      <c r="D173"/>
      <c r="E173"/>
      <c r="G173"/>
      <c r="H173"/>
      <c r="I173"/>
      <c r="O173"/>
    </row>
    <row r="174" spans="1:17" x14ac:dyDescent="0.2">
      <c r="A174"/>
      <c r="B174"/>
      <c r="C174"/>
      <c r="D174"/>
      <c r="E174"/>
      <c r="G174"/>
      <c r="H174"/>
      <c r="I174"/>
      <c r="O174"/>
    </row>
    <row r="175" spans="1:17" x14ac:dyDescent="0.2">
      <c r="A175"/>
      <c r="B175"/>
      <c r="C175"/>
      <c r="D175"/>
      <c r="E175"/>
      <c r="G175"/>
      <c r="H175"/>
      <c r="I175"/>
      <c r="O175"/>
      <c r="P175" s="6"/>
      <c r="Q175" s="37"/>
    </row>
    <row r="176" spans="1:17" x14ac:dyDescent="0.2">
      <c r="A176"/>
      <c r="B176"/>
      <c r="C176"/>
      <c r="D176"/>
      <c r="E176"/>
      <c r="G176"/>
      <c r="H176"/>
      <c r="I176"/>
      <c r="O176"/>
      <c r="P176" s="6"/>
      <c r="Q176" s="37"/>
    </row>
    <row r="177" spans="1:17" x14ac:dyDescent="0.2">
      <c r="A177"/>
      <c r="B177"/>
      <c r="C177"/>
      <c r="D177"/>
      <c r="E177"/>
      <c r="G177"/>
      <c r="H177"/>
      <c r="I177"/>
      <c r="O177"/>
      <c r="P177" s="6"/>
      <c r="Q177" s="37"/>
    </row>
    <row r="178" spans="1:17" x14ac:dyDescent="0.2">
      <c r="A178"/>
      <c r="B178"/>
      <c r="C178"/>
      <c r="D178"/>
      <c r="E178"/>
      <c r="G178"/>
      <c r="H178"/>
      <c r="I178"/>
      <c r="O178" s="5"/>
      <c r="P178" s="6"/>
      <c r="Q178" s="37"/>
    </row>
    <row r="179" spans="1:17" x14ac:dyDescent="0.2">
      <c r="A179"/>
      <c r="B179"/>
      <c r="C179"/>
      <c r="D179"/>
      <c r="E179"/>
      <c r="G179"/>
      <c r="H179"/>
      <c r="I179"/>
      <c r="O179" s="5"/>
      <c r="P179" s="6"/>
      <c r="Q179" s="37"/>
    </row>
    <row r="180" spans="1:17" x14ac:dyDescent="0.2">
      <c r="A180"/>
      <c r="B180"/>
      <c r="C180"/>
      <c r="D180"/>
      <c r="E180"/>
      <c r="G180"/>
      <c r="H180"/>
      <c r="I180"/>
      <c r="J180"/>
      <c r="K180"/>
      <c r="L180"/>
      <c r="M180"/>
      <c r="N180"/>
      <c r="O180" s="5"/>
      <c r="P180" s="6"/>
      <c r="Q180" s="37"/>
    </row>
    <row r="181" spans="1:17" x14ac:dyDescent="0.2">
      <c r="A181"/>
      <c r="B181"/>
      <c r="C181"/>
      <c r="D181"/>
      <c r="E181"/>
      <c r="G181"/>
      <c r="H181"/>
      <c r="I181"/>
      <c r="J181"/>
      <c r="K181"/>
      <c r="L181"/>
      <c r="M181"/>
      <c r="N181"/>
      <c r="O181" s="5"/>
      <c r="P181" s="6"/>
      <c r="Q181" s="37"/>
    </row>
    <row r="182" spans="1:17" x14ac:dyDescent="0.2">
      <c r="A182"/>
      <c r="B182"/>
      <c r="C182"/>
      <c r="D182"/>
      <c r="E182"/>
      <c r="G182"/>
      <c r="H182"/>
      <c r="I182"/>
      <c r="J182"/>
      <c r="K182"/>
      <c r="L182"/>
      <c r="M182"/>
      <c r="N182"/>
      <c r="O182" s="6"/>
      <c r="P182" s="6"/>
      <c r="Q182" s="37"/>
    </row>
    <row r="183" spans="1:17" x14ac:dyDescent="0.2">
      <c r="A183"/>
      <c r="B183"/>
      <c r="C183"/>
      <c r="D183"/>
      <c r="E183"/>
      <c r="G183"/>
      <c r="H183"/>
      <c r="I183"/>
      <c r="J183"/>
      <c r="K183"/>
      <c r="L183"/>
      <c r="M183"/>
      <c r="N183"/>
      <c r="O183" s="6"/>
      <c r="P183" s="6"/>
      <c r="Q183" s="37"/>
    </row>
    <row r="184" spans="1:17" x14ac:dyDescent="0.2">
      <c r="A184"/>
      <c r="B184"/>
      <c r="C184"/>
      <c r="D184"/>
      <c r="E184"/>
      <c r="G184"/>
      <c r="H184"/>
      <c r="I184"/>
      <c r="J184"/>
      <c r="K184"/>
      <c r="L184"/>
      <c r="M184"/>
      <c r="N184"/>
    </row>
    <row r="185" spans="1:17" x14ac:dyDescent="0.2">
      <c r="A185"/>
      <c r="J185"/>
      <c r="K185"/>
      <c r="L185"/>
      <c r="M185"/>
      <c r="N185"/>
    </row>
    <row r="186" spans="1:17" x14ac:dyDescent="0.2">
      <c r="A186"/>
      <c r="J186"/>
      <c r="K186"/>
      <c r="L186"/>
      <c r="M186"/>
      <c r="N186"/>
    </row>
    <row r="187" spans="1:17" x14ac:dyDescent="0.2">
      <c r="A187"/>
      <c r="J187"/>
      <c r="K187"/>
      <c r="L187"/>
      <c r="M187"/>
      <c r="N187"/>
    </row>
    <row r="188" spans="1:17" x14ac:dyDescent="0.2">
      <c r="A188"/>
      <c r="J188"/>
      <c r="K188"/>
      <c r="L188"/>
      <c r="M188"/>
      <c r="N188"/>
    </row>
    <row r="189" spans="1:17" x14ac:dyDescent="0.2">
      <c r="A189"/>
      <c r="J189"/>
      <c r="K189"/>
      <c r="L189"/>
      <c r="M189"/>
      <c r="N189"/>
    </row>
    <row r="190" spans="1:17" x14ac:dyDescent="0.2">
      <c r="A190"/>
      <c r="J190"/>
      <c r="K190"/>
      <c r="L190"/>
      <c r="M190"/>
      <c r="N190"/>
    </row>
    <row r="191" spans="1:17" x14ac:dyDescent="0.2">
      <c r="A191"/>
      <c r="J191"/>
      <c r="K191"/>
      <c r="L191"/>
      <c r="M191"/>
      <c r="N191"/>
    </row>
    <row r="192" spans="1:17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x14ac:dyDescent="0.2">
      <c r="A195"/>
      <c r="J195"/>
      <c r="K195"/>
      <c r="L195"/>
      <c r="M195"/>
      <c r="N195"/>
      <c r="O195"/>
    </row>
    <row r="196" spans="1:15" x14ac:dyDescent="0.2">
      <c r="A196"/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1:15" x14ac:dyDescent="0.2">
      <c r="A197"/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1:15" x14ac:dyDescent="0.2">
      <c r="O198"/>
    </row>
    <row r="199" spans="1:15" x14ac:dyDescent="0.2">
      <c r="O199"/>
    </row>
    <row r="200" spans="1:15" x14ac:dyDescent="0.2">
      <c r="O200"/>
    </row>
    <row r="201" spans="1:15" x14ac:dyDescent="0.2">
      <c r="O201"/>
    </row>
    <row r="202" spans="1:15" x14ac:dyDescent="0.2">
      <c r="O202"/>
    </row>
    <row r="203" spans="1:15" x14ac:dyDescent="0.2">
      <c r="O203"/>
    </row>
    <row r="204" spans="1:15" x14ac:dyDescent="0.2">
      <c r="O204"/>
    </row>
    <row r="205" spans="1:15" x14ac:dyDescent="0.2">
      <c r="O205"/>
    </row>
    <row r="206" spans="1:15" x14ac:dyDescent="0.2">
      <c r="O206"/>
    </row>
    <row r="207" spans="1:15" x14ac:dyDescent="0.2">
      <c r="O207"/>
    </row>
    <row r="208" spans="1:15" x14ac:dyDescent="0.2">
      <c r="O208"/>
    </row>
    <row r="209" spans="1:14" customFormat="1" x14ac:dyDescent="0.2">
      <c r="A209" s="25"/>
      <c r="B209" s="6"/>
      <c r="C209" s="1"/>
      <c r="D209" s="1"/>
      <c r="E209" s="1"/>
      <c r="F209" s="59"/>
      <c r="G209" s="1"/>
      <c r="H209" s="1"/>
      <c r="I209" s="1"/>
      <c r="J209" s="1"/>
      <c r="K209" s="1"/>
      <c r="L209" s="1"/>
      <c r="M209" s="1"/>
      <c r="N209" s="1"/>
    </row>
  </sheetData>
  <mergeCells count="1">
    <mergeCell ref="H169:I169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T64"/>
  <sheetViews>
    <sheetView workbookViewId="0">
      <selection activeCell="P16" sqref="P16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5.42578125" style="6" customWidth="1"/>
    <col min="10" max="10" width="14.140625" style="6" bestFit="1" customWidth="1"/>
    <col min="11" max="11" width="11.42578125" style="6" customWidth="1"/>
    <col min="12" max="12" width="12.42578125" style="6" customWidth="1"/>
    <col min="13" max="14" width="16.85546875" customWidth="1"/>
    <col min="15" max="15" width="14.42578125" customWidth="1"/>
    <col min="16" max="16" width="12.5703125" bestFit="1" customWidth="1"/>
    <col min="17" max="17" width="11.5703125" bestFit="1" customWidth="1"/>
    <col min="18" max="18" width="14" customWidth="1"/>
    <col min="19" max="19" width="10.140625" bestFit="1" customWidth="1"/>
    <col min="20" max="20" width="12.5703125" style="6" bestFit="1" customWidth="1"/>
  </cols>
  <sheetData>
    <row r="2" spans="1:14" ht="25.5" x14ac:dyDescent="0.2">
      <c r="B2" s="2" t="s">
        <v>4</v>
      </c>
      <c r="C2" s="2" t="s">
        <v>5</v>
      </c>
      <c r="D2" s="2" t="s">
        <v>35</v>
      </c>
      <c r="E2" s="2" t="s">
        <v>6</v>
      </c>
      <c r="F2" s="2" t="s">
        <v>0</v>
      </c>
      <c r="G2" s="7" t="s">
        <v>1</v>
      </c>
      <c r="H2" s="30" t="s">
        <v>83</v>
      </c>
      <c r="I2" s="31" t="s">
        <v>84</v>
      </c>
      <c r="J2" s="48" t="s">
        <v>85</v>
      </c>
      <c r="K2" s="32" t="s">
        <v>86</v>
      </c>
      <c r="L2" s="32" t="s">
        <v>52</v>
      </c>
    </row>
    <row r="3" spans="1:14" x14ac:dyDescent="0.2">
      <c r="A3">
        <v>2014</v>
      </c>
      <c r="B3" s="62">
        <f>'Power Purchased Model'!B153</f>
        <v>171745150.64851713</v>
      </c>
      <c r="C3" s="62">
        <f>'Power Purchased Model'!H153</f>
        <v>164187706.6251857</v>
      </c>
      <c r="D3" s="24">
        <f t="shared" ref="D3:D12" si="0">C3-B3</f>
        <v>-7557444.0233314335</v>
      </c>
      <c r="E3" s="5">
        <f t="shared" ref="E3:E12" si="1">D3/B3</f>
        <v>-4.40038277342574E-2</v>
      </c>
      <c r="F3" s="17">
        <f>1 +(B3-G3)/G3</f>
        <v>1.0882504150567547</v>
      </c>
      <c r="G3" s="6">
        <f t="shared" ref="G3:G12" si="2">SUM(H3:L3)</f>
        <v>157817675.29999998</v>
      </c>
      <c r="H3" s="39">
        <v>85393126</v>
      </c>
      <c r="I3" s="39">
        <v>27212831</v>
      </c>
      <c r="J3" s="39">
        <v>36514881.599999994</v>
      </c>
      <c r="K3" s="39">
        <v>7919568</v>
      </c>
      <c r="L3" s="39">
        <v>777268.7</v>
      </c>
    </row>
    <row r="4" spans="1:14" x14ac:dyDescent="0.2">
      <c r="A4">
        <v>2015</v>
      </c>
      <c r="B4" s="62">
        <f>'Power Purchased Model'!B154</f>
        <v>161340666.03215581</v>
      </c>
      <c r="C4" s="62">
        <f>'Power Purchased Model'!H154</f>
        <v>160701526.82074359</v>
      </c>
      <c r="D4" s="24">
        <f t="shared" si="0"/>
        <v>-639139.21141222119</v>
      </c>
      <c r="E4" s="5">
        <f t="shared" si="1"/>
        <v>-3.9614266330401677E-3</v>
      </c>
      <c r="F4" s="17">
        <f>1 +(B4-G4)/G4</f>
        <v>1.0760157802441874</v>
      </c>
      <c r="G4" s="6">
        <f t="shared" si="2"/>
        <v>149942657.90000004</v>
      </c>
      <c r="H4" s="39">
        <v>80876149.5</v>
      </c>
      <c r="I4" s="39">
        <v>26130351</v>
      </c>
      <c r="J4" s="39">
        <v>35325071.100000009</v>
      </c>
      <c r="K4" s="39">
        <v>6868390</v>
      </c>
      <c r="L4" s="39">
        <v>742696.3</v>
      </c>
    </row>
    <row r="5" spans="1:14" x14ac:dyDescent="0.2">
      <c r="A5">
        <v>2016</v>
      </c>
      <c r="B5" s="62">
        <f>'Power Purchased Model'!B155</f>
        <v>153621850.24421027</v>
      </c>
      <c r="C5" s="62">
        <f>'Power Purchased Model'!H155</f>
        <v>156492227.96453741</v>
      </c>
      <c r="D5" s="24">
        <f t="shared" si="0"/>
        <v>2870377.7203271389</v>
      </c>
      <c r="E5" s="5">
        <f t="shared" si="1"/>
        <v>1.8684696973536929E-2</v>
      </c>
      <c r="F5" s="17">
        <f t="shared" ref="F5:F12" si="3">1 +(B5-G5)/G5</f>
        <v>1.0698923597632897</v>
      </c>
      <c r="G5" s="6">
        <f t="shared" si="2"/>
        <v>143586267.20000002</v>
      </c>
      <c r="H5" s="39">
        <v>75910135.700000003</v>
      </c>
      <c r="I5" s="39">
        <v>24984442</v>
      </c>
      <c r="J5" s="39">
        <v>35902088.099999994</v>
      </c>
      <c r="K5" s="39">
        <v>6205026</v>
      </c>
      <c r="L5" s="39">
        <v>584575.4</v>
      </c>
    </row>
    <row r="6" spans="1:14" x14ac:dyDescent="0.2">
      <c r="A6">
        <v>2017</v>
      </c>
      <c r="B6" s="62">
        <f>'Power Purchased Model'!B156</f>
        <v>153601438.30796361</v>
      </c>
      <c r="C6" s="62">
        <f>'Power Purchased Model'!H156</f>
        <v>157178402.83688119</v>
      </c>
      <c r="D6" s="24">
        <f t="shared" si="0"/>
        <v>3576964.5289175808</v>
      </c>
      <c r="E6" s="5">
        <f t="shared" si="1"/>
        <v>2.3287311423125717E-2</v>
      </c>
      <c r="F6" s="17">
        <f t="shared" si="3"/>
        <v>1.0700135583308512</v>
      </c>
      <c r="G6" s="6">
        <f t="shared" si="2"/>
        <v>143550927.09999999</v>
      </c>
      <c r="H6" s="39">
        <v>76321855.799999997</v>
      </c>
      <c r="I6" s="39">
        <v>25604789</v>
      </c>
      <c r="J6" s="39">
        <v>34999292.600000001</v>
      </c>
      <c r="K6" s="39">
        <v>6042453</v>
      </c>
      <c r="L6" s="39">
        <v>582536.69999999995</v>
      </c>
    </row>
    <row r="7" spans="1:14" x14ac:dyDescent="0.2">
      <c r="A7">
        <v>2018</v>
      </c>
      <c r="B7" s="62">
        <f>'Power Purchased Model'!B157</f>
        <v>164183423.06716841</v>
      </c>
      <c r="C7" s="62">
        <f>'Power Purchased Model'!H157</f>
        <v>164596023.3933742</v>
      </c>
      <c r="D7" s="24">
        <f t="shared" si="0"/>
        <v>412600.32620579004</v>
      </c>
      <c r="E7" s="5">
        <f t="shared" si="1"/>
        <v>2.5130449743211458E-3</v>
      </c>
      <c r="F7" s="17">
        <f t="shared" si="3"/>
        <v>1.0735703205408675</v>
      </c>
      <c r="G7" s="6">
        <f t="shared" si="2"/>
        <v>152932155.37520856</v>
      </c>
      <c r="H7" s="39">
        <v>82424404.340000227</v>
      </c>
      <c r="I7" s="39">
        <v>26132430.019999992</v>
      </c>
      <c r="J7" s="39">
        <v>37751954.725208387</v>
      </c>
      <c r="K7" s="39">
        <v>6046269.2899999535</v>
      </c>
      <c r="L7" s="39">
        <v>577097.00000000012</v>
      </c>
      <c r="M7" s="6"/>
      <c r="N7" s="37"/>
    </row>
    <row r="8" spans="1:14" x14ac:dyDescent="0.2">
      <c r="A8">
        <v>2019</v>
      </c>
      <c r="B8" s="62">
        <f>'Power Purchased Model'!B158</f>
        <v>170763271.17427856</v>
      </c>
      <c r="C8" s="62">
        <f>'Power Purchased Model'!H158</f>
        <v>170113460.73694792</v>
      </c>
      <c r="D8" s="24">
        <f t="shared" si="0"/>
        <v>-649810.4373306334</v>
      </c>
      <c r="E8" s="5">
        <f t="shared" si="1"/>
        <v>-3.8053290550252236E-3</v>
      </c>
      <c r="F8" s="17">
        <f t="shared" si="3"/>
        <v>1.0853379535981937</v>
      </c>
      <c r="G8" s="6">
        <f t="shared" si="2"/>
        <v>157336496.53377673</v>
      </c>
      <c r="H8" s="39">
        <v>86629135.540000111</v>
      </c>
      <c r="I8" s="39">
        <v>26695948.809999999</v>
      </c>
      <c r="J8" s="39">
        <v>37167864.813776672</v>
      </c>
      <c r="K8" s="39">
        <v>6277417.3699999545</v>
      </c>
      <c r="L8" s="39">
        <v>566130.00000000012</v>
      </c>
      <c r="M8" s="6"/>
      <c r="N8" s="37"/>
    </row>
    <row r="9" spans="1:14" x14ac:dyDescent="0.2">
      <c r="A9">
        <v>2020</v>
      </c>
      <c r="B9" s="62">
        <f>'Power Purchased Model'!B159</f>
        <v>169249437.18097067</v>
      </c>
      <c r="C9" s="62">
        <f>'Power Purchased Model'!H159</f>
        <v>171442235.84261203</v>
      </c>
      <c r="D9" s="24">
        <f t="shared" si="0"/>
        <v>2192798.6616413593</v>
      </c>
      <c r="E9" s="5">
        <f t="shared" si="1"/>
        <v>1.2956017450720975E-2</v>
      </c>
      <c r="F9" s="17">
        <f t="shared" si="3"/>
        <v>1.1021225482123147</v>
      </c>
      <c r="G9" s="6">
        <f t="shared" si="2"/>
        <v>153566803.85089642</v>
      </c>
      <c r="H9" s="39">
        <v>91478383.059998766</v>
      </c>
      <c r="I9" s="39">
        <v>27143066.610000066</v>
      </c>
      <c r="J9" s="39">
        <v>27823509.320897639</v>
      </c>
      <c r="K9" s="39">
        <v>6529262.7599999467</v>
      </c>
      <c r="L9" s="39">
        <v>592582.10000000009</v>
      </c>
      <c r="M9" s="6"/>
      <c r="N9" s="37"/>
    </row>
    <row r="10" spans="1:14" x14ac:dyDescent="0.2">
      <c r="A10">
        <v>2021</v>
      </c>
      <c r="B10" s="62">
        <f>'Power Purchased Model'!B160</f>
        <v>171843921.17852038</v>
      </c>
      <c r="C10" s="62">
        <f>'Power Purchased Model'!H160</f>
        <v>174793689.91380933</v>
      </c>
      <c r="D10" s="24">
        <f t="shared" si="0"/>
        <v>2949768.7352889478</v>
      </c>
      <c r="E10" s="5">
        <f t="shared" si="1"/>
        <v>1.7165394708519105E-2</v>
      </c>
      <c r="F10" s="17">
        <f t="shared" si="3"/>
        <v>1.085596874435478</v>
      </c>
      <c r="G10" s="6">
        <f t="shared" si="2"/>
        <v>158294414.09167749</v>
      </c>
      <c r="H10" s="39">
        <v>92005689.629998744</v>
      </c>
      <c r="I10" s="39">
        <v>27745373.102553256</v>
      </c>
      <c r="J10" s="39">
        <v>31525027.7291255</v>
      </c>
      <c r="K10" s="39">
        <v>6424167.5299999965</v>
      </c>
      <c r="L10" s="39">
        <v>594156.09999999986</v>
      </c>
      <c r="M10" s="6"/>
      <c r="N10" s="37"/>
    </row>
    <row r="11" spans="1:14" x14ac:dyDescent="0.2">
      <c r="A11">
        <v>2022</v>
      </c>
      <c r="B11" s="62">
        <f>'Power Purchased Model'!B161</f>
        <v>186081780.47160706</v>
      </c>
      <c r="C11" s="62">
        <f>'Power Purchased Model'!H161</f>
        <v>183321441.11809194</v>
      </c>
      <c r="D11" s="24">
        <f t="shared" si="0"/>
        <v>-2760339.3535151184</v>
      </c>
      <c r="E11" s="5">
        <f t="shared" si="1"/>
        <v>-1.4834011940982581E-2</v>
      </c>
      <c r="F11" s="17">
        <f t="shared" si="3"/>
        <v>1.0908561779344381</v>
      </c>
      <c r="G11" s="6">
        <f t="shared" si="2"/>
        <v>170583239.32670692</v>
      </c>
      <c r="H11" s="39">
        <v>99292265.290000916</v>
      </c>
      <c r="I11" s="39">
        <v>29567137.169999924</v>
      </c>
      <c r="J11" s="39">
        <v>34590064.52670604</v>
      </c>
      <c r="K11" s="39">
        <v>6540797.4400000293</v>
      </c>
      <c r="L11" s="39">
        <v>592974.89999999991</v>
      </c>
      <c r="M11" s="6"/>
      <c r="N11" s="37"/>
    </row>
    <row r="12" spans="1:14" x14ac:dyDescent="0.2">
      <c r="A12" s="46">
        <v>2023</v>
      </c>
      <c r="B12" s="6">
        <v>281399999</v>
      </c>
      <c r="C12" s="62">
        <f>'Power Purchased Model'!H162</f>
        <v>180436724.14510307</v>
      </c>
      <c r="D12" s="24">
        <f t="shared" si="0"/>
        <v>-100963274.85489693</v>
      </c>
      <c r="E12" s="5">
        <f t="shared" si="1"/>
        <v>-0.35878917986384545</v>
      </c>
      <c r="F12" s="17">
        <f t="shared" si="3"/>
        <v>1.6858883329476051</v>
      </c>
      <c r="G12" s="6">
        <f t="shared" si="2"/>
        <v>166914969.09999999</v>
      </c>
      <c r="H12" s="39">
        <v>96395846</v>
      </c>
      <c r="I12" s="39">
        <v>28496501</v>
      </c>
      <c r="J12" s="39">
        <v>35361268.099999994</v>
      </c>
      <c r="K12" s="39">
        <v>6123988</v>
      </c>
      <c r="L12" s="39">
        <v>537366</v>
      </c>
      <c r="M12" s="6"/>
      <c r="N12" s="37"/>
    </row>
    <row r="13" spans="1:14" x14ac:dyDescent="0.2">
      <c r="A13" s="46">
        <v>2024</v>
      </c>
      <c r="B13" s="6"/>
      <c r="C13" s="15">
        <f>'Power Purchased Model'!H163</f>
        <v>184244659.33247316</v>
      </c>
      <c r="G13" s="15">
        <f>C13/$F$16</f>
        <v>169450182.93461293</v>
      </c>
      <c r="H13"/>
      <c r="I13"/>
      <c r="J13"/>
      <c r="K13"/>
      <c r="L13"/>
      <c r="N13" s="37"/>
    </row>
    <row r="14" spans="1:14" x14ac:dyDescent="0.2">
      <c r="A14" s="46">
        <v>2025</v>
      </c>
      <c r="B14" s="6"/>
      <c r="C14" s="15">
        <f>'Power Purchased Model'!H164</f>
        <v>184643786.03367603</v>
      </c>
      <c r="G14" s="15">
        <f>C14/$F$16</f>
        <v>169817260.56268612</v>
      </c>
      <c r="H14"/>
      <c r="I14"/>
      <c r="J14"/>
      <c r="K14"/>
      <c r="L14"/>
      <c r="N14" s="37"/>
    </row>
    <row r="15" spans="1:14" x14ac:dyDescent="0.2">
      <c r="H15" s="35"/>
      <c r="I15" s="35"/>
      <c r="J15" s="35"/>
      <c r="K15" s="35"/>
      <c r="L15" s="35"/>
    </row>
    <row r="16" spans="1:14" x14ac:dyDescent="0.2">
      <c r="A16" s="14" t="s">
        <v>9</v>
      </c>
      <c r="C16" s="36"/>
      <c r="D16" s="38"/>
      <c r="E16" s="54" t="s">
        <v>114</v>
      </c>
      <c r="F16" s="17">
        <v>1.0873087071470975</v>
      </c>
      <c r="H16" s="61"/>
      <c r="I16" s="61"/>
      <c r="J16" s="61"/>
      <c r="K16" s="61"/>
      <c r="L16" s="61"/>
    </row>
    <row r="17" spans="1:14" x14ac:dyDescent="0.2">
      <c r="C17" s="36"/>
      <c r="D17" s="38"/>
      <c r="E17" s="54"/>
      <c r="F17" s="17"/>
    </row>
    <row r="18" spans="1:14" x14ac:dyDescent="0.2">
      <c r="C18" s="80"/>
      <c r="D18" s="38"/>
      <c r="G18" s="80"/>
    </row>
    <row r="19" spans="1:14" x14ac:dyDescent="0.2">
      <c r="A19" s="16" t="s">
        <v>11</v>
      </c>
      <c r="B19" s="11"/>
      <c r="C19" s="80"/>
      <c r="G19" s="80"/>
    </row>
    <row r="21" spans="1:14" x14ac:dyDescent="0.2">
      <c r="A21">
        <v>2023</v>
      </c>
      <c r="H21" s="6">
        <f>H12/'Rate Class Customer Model'!B12</f>
        <v>11360.73612256924</v>
      </c>
      <c r="I21" s="6">
        <f>I12/'Rate Class Customer Model'!C12</f>
        <v>27010.901421800947</v>
      </c>
      <c r="J21" s="6">
        <f>J12/'Rate Class Customer Model'!D12</f>
        <v>752367.40638297854</v>
      </c>
      <c r="K21" s="6">
        <f>K12/'Rate Class Customer Model'!E12</f>
        <v>2192.6201217329035</v>
      </c>
      <c r="L21" s="6">
        <f>L12/'Rate Class Customer Model'!F12</f>
        <v>474.91471498011487</v>
      </c>
    </row>
    <row r="22" spans="1:14" x14ac:dyDescent="0.2">
      <c r="A22">
        <f>A13</f>
        <v>2024</v>
      </c>
      <c r="H22" s="15">
        <f>H21</f>
        <v>11360.73612256924</v>
      </c>
      <c r="I22" s="15">
        <f t="shared" ref="I22:L23" si="4">I21</f>
        <v>27010.901421800947</v>
      </c>
      <c r="J22" s="15">
        <f t="shared" si="4"/>
        <v>752367.40638297854</v>
      </c>
      <c r="K22" s="15">
        <f>K21</f>
        <v>2192.6201217329035</v>
      </c>
      <c r="L22" s="15">
        <f t="shared" si="4"/>
        <v>474.91471498011487</v>
      </c>
    </row>
    <row r="23" spans="1:14" x14ac:dyDescent="0.2">
      <c r="A23">
        <f>A14</f>
        <v>2025</v>
      </c>
      <c r="H23" s="15">
        <f>H22</f>
        <v>11360.73612256924</v>
      </c>
      <c r="I23" s="15">
        <f t="shared" si="4"/>
        <v>27010.901421800947</v>
      </c>
      <c r="J23" s="15">
        <f>J22</f>
        <v>752367.40638297854</v>
      </c>
      <c r="K23" s="15">
        <f t="shared" si="4"/>
        <v>2192.6201217329035</v>
      </c>
      <c r="L23" s="15">
        <f t="shared" si="4"/>
        <v>474.91471498011487</v>
      </c>
    </row>
    <row r="24" spans="1:14" x14ac:dyDescent="0.2">
      <c r="H24"/>
      <c r="I24"/>
      <c r="J24"/>
      <c r="K24"/>
      <c r="L24"/>
    </row>
    <row r="25" spans="1:14" x14ac:dyDescent="0.2">
      <c r="D25" s="6"/>
      <c r="H25" s="18"/>
      <c r="I25" s="18"/>
      <c r="J25" s="18"/>
      <c r="K25" s="18"/>
      <c r="L25" s="18"/>
    </row>
    <row r="26" spans="1:14" x14ac:dyDescent="0.2">
      <c r="A26" s="14" t="s">
        <v>38</v>
      </c>
    </row>
    <row r="27" spans="1:14" x14ac:dyDescent="0.2">
      <c r="A27" s="44">
        <f>A22</f>
        <v>2024</v>
      </c>
      <c r="G27" s="6">
        <f t="shared" ref="G27:G28" si="5">SUM(H27:L27)</f>
        <v>168203474.36640179</v>
      </c>
      <c r="H27" s="6">
        <f>H22*'Rate Class Customer Model'!B13</f>
        <v>97322885.105534375</v>
      </c>
      <c r="I27" s="6">
        <f>I22*'Rate Class Customer Model'!C13</f>
        <v>28945070.693253409</v>
      </c>
      <c r="J27" s="6">
        <f>J22*'Rate Class Customer Model'!D13</f>
        <v>35361268.099999994</v>
      </c>
      <c r="K27" s="6">
        <f>K22*'Rate Class Customer Model'!E13</f>
        <v>6043770.7309812028</v>
      </c>
      <c r="L27" s="6">
        <f>L22*'Rate Class Customer Model'!F13</f>
        <v>530479.73663278832</v>
      </c>
    </row>
    <row r="28" spans="1:14" x14ac:dyDescent="0.2">
      <c r="A28" s="44">
        <f>A23</f>
        <v>2025</v>
      </c>
      <c r="G28" s="6">
        <f t="shared" si="5"/>
        <v>168211823.28139877</v>
      </c>
      <c r="H28" s="6">
        <f>H23*'Rate Class Customer Model'!B14</f>
        <v>98098649.252339989</v>
      </c>
      <c r="I28" s="6">
        <f>I23*'Rate Class Customer Model'!C14</f>
        <v>28916746.672414556</v>
      </c>
      <c r="J28" s="6">
        <f>J23*'Rate Class Customer Model'!D14</f>
        <v>34698919.761346154</v>
      </c>
      <c r="K28" s="6">
        <f>K23*'Rate Class Customer Model'!E14</f>
        <v>5961327.3980811778</v>
      </c>
      <c r="L28" s="6">
        <f>L23*'Rate Class Customer Model'!F14</f>
        <v>536180.1972169095</v>
      </c>
    </row>
    <row r="29" spans="1:14" x14ac:dyDescent="0.2">
      <c r="A29" s="44"/>
    </row>
    <row r="31" spans="1:14" x14ac:dyDescent="0.2">
      <c r="A31" s="14" t="s">
        <v>37</v>
      </c>
      <c r="N31" s="6"/>
    </row>
    <row r="32" spans="1:14" x14ac:dyDescent="0.2">
      <c r="A32" s="44">
        <f>+A27</f>
        <v>2024</v>
      </c>
      <c r="G32" s="15">
        <f>G13</f>
        <v>169450182.93461293</v>
      </c>
      <c r="H32" s="6">
        <f>H27+H40</f>
        <v>98110107.415067628</v>
      </c>
      <c r="I32" s="6">
        <f>I27+I40</f>
        <v>29179200.675898679</v>
      </c>
      <c r="J32" s="6">
        <f>J27+J40</f>
        <v>35586624.376032606</v>
      </c>
      <c r="K32" s="6">
        <f>K27+K40</f>
        <v>6043770.7309812028</v>
      </c>
      <c r="L32" s="6">
        <f>L27+L40</f>
        <v>530479.73663278832</v>
      </c>
      <c r="M32" s="6">
        <f>SUM(H32:L32)</f>
        <v>169450182.93461293</v>
      </c>
      <c r="N32" s="6">
        <f>M32-G32</f>
        <v>0</v>
      </c>
    </row>
    <row r="33" spans="1:20" x14ac:dyDescent="0.2">
      <c r="A33" s="44">
        <f>+A28</f>
        <v>2025</v>
      </c>
      <c r="G33" s="15">
        <f>G14</f>
        <v>169817260.56268612</v>
      </c>
      <c r="H33" s="6">
        <f>H28+H41</f>
        <v>99118974.551530093</v>
      </c>
      <c r="I33" s="6">
        <f>I28+I41</f>
        <v>29217510.122523241</v>
      </c>
      <c r="J33" s="85">
        <f>J28+J41+J44</f>
        <v>172482672.54828715</v>
      </c>
      <c r="K33" s="6">
        <f>K28+K41</f>
        <v>5961327.3980811778</v>
      </c>
      <c r="L33" s="6">
        <f>L28+L41</f>
        <v>536180.1972169095</v>
      </c>
      <c r="M33" s="6">
        <f>SUM(H33:L33)</f>
        <v>307316664.81763858</v>
      </c>
      <c r="N33" s="6">
        <f>M33-G33</f>
        <v>137499404.25495246</v>
      </c>
    </row>
    <row r="34" spans="1:20" x14ac:dyDescent="0.2">
      <c r="N34" s="6"/>
    </row>
    <row r="35" spans="1:20" x14ac:dyDescent="0.2">
      <c r="A35" s="14" t="s">
        <v>39</v>
      </c>
      <c r="H35" s="52">
        <f>(100%+J35)/2</f>
        <v>0.82499999999999996</v>
      </c>
      <c r="I35" s="53">
        <f>H35</f>
        <v>0.82499999999999996</v>
      </c>
      <c r="J35" s="63">
        <v>0.65</v>
      </c>
      <c r="K35" s="53">
        <v>0</v>
      </c>
      <c r="L35" s="53">
        <v>0</v>
      </c>
    </row>
    <row r="36" spans="1:20" x14ac:dyDescent="0.2">
      <c r="A36" s="44">
        <f>+A32</f>
        <v>2024</v>
      </c>
      <c r="G36" s="6">
        <f>G32-G27</f>
        <v>1246708.5682111382</v>
      </c>
      <c r="H36" s="6">
        <f>H27*H$35</f>
        <v>80291380.212065861</v>
      </c>
      <c r="I36" s="6">
        <f t="shared" ref="H36:L37" si="6">I27*I$35</f>
        <v>23879683.321934063</v>
      </c>
      <c r="J36" s="6">
        <f t="shared" si="6"/>
        <v>22984824.264999997</v>
      </c>
      <c r="K36" s="6">
        <f t="shared" si="6"/>
        <v>0</v>
      </c>
      <c r="L36" s="6">
        <f t="shared" si="6"/>
        <v>0</v>
      </c>
      <c r="M36" s="6">
        <f t="shared" ref="M36:M37" si="7">SUM(H36:L36)</f>
        <v>127155887.79899992</v>
      </c>
    </row>
    <row r="37" spans="1:20" x14ac:dyDescent="0.2">
      <c r="A37" s="44">
        <f>+A33</f>
        <v>2025</v>
      </c>
      <c r="G37" s="6">
        <f>G33-G28</f>
        <v>1605437.2812873423</v>
      </c>
      <c r="H37" s="6">
        <f t="shared" si="6"/>
        <v>80931385.633180484</v>
      </c>
      <c r="I37" s="6">
        <f t="shared" si="6"/>
        <v>23856316.004742008</v>
      </c>
      <c r="J37" s="6">
        <f t="shared" si="6"/>
        <v>22554297.844875</v>
      </c>
      <c r="K37" s="6">
        <f t="shared" si="6"/>
        <v>0</v>
      </c>
      <c r="L37" s="6">
        <f t="shared" si="6"/>
        <v>0</v>
      </c>
      <c r="M37" s="6">
        <f t="shared" si="7"/>
        <v>127341999.4827975</v>
      </c>
    </row>
    <row r="38" spans="1:20" ht="12" customHeight="1" x14ac:dyDescent="0.2"/>
    <row r="39" spans="1:20" x14ac:dyDescent="0.2">
      <c r="A39" t="s">
        <v>40</v>
      </c>
    </row>
    <row r="40" spans="1:20" x14ac:dyDescent="0.2">
      <c r="A40" s="44">
        <f>+A36</f>
        <v>2024</v>
      </c>
      <c r="G40" s="6">
        <f>SUM(H40:L40)</f>
        <v>1246708.5682111382</v>
      </c>
      <c r="H40" s="6">
        <f>H36/$M$36*$G$36</f>
        <v>787222.30953325971</v>
      </c>
      <c r="I40" s="6">
        <f t="shared" ref="I40:L40" si="8">I36/$M$36*$G$36</f>
        <v>234129.9826452705</v>
      </c>
      <c r="J40" s="6">
        <f t="shared" si="8"/>
        <v>225356.27603260812</v>
      </c>
      <c r="K40" s="6">
        <f t="shared" si="8"/>
        <v>0</v>
      </c>
      <c r="L40" s="6">
        <f t="shared" si="8"/>
        <v>0</v>
      </c>
    </row>
    <row r="41" spans="1:20" x14ac:dyDescent="0.2">
      <c r="A41" s="44">
        <f>+A37</f>
        <v>2025</v>
      </c>
      <c r="G41" s="6">
        <f>SUM(H41:L41)</f>
        <v>1605437.2812873423</v>
      </c>
      <c r="H41" s="6">
        <f>H37/$M$37*$G$37</f>
        <v>1020325.2991900988</v>
      </c>
      <c r="I41" s="6">
        <f t="shared" ref="I41:L41" si="9">I37/$M$37*$G$37</f>
        <v>300763.45010868629</v>
      </c>
      <c r="J41" s="6">
        <f t="shared" si="9"/>
        <v>284348.5319885572</v>
      </c>
      <c r="K41" s="6">
        <f t="shared" si="9"/>
        <v>0</v>
      </c>
      <c r="L41" s="6">
        <f t="shared" si="9"/>
        <v>0</v>
      </c>
    </row>
    <row r="42" spans="1:20" x14ac:dyDescent="0.2">
      <c r="G42" s="19"/>
    </row>
    <row r="43" spans="1:20" x14ac:dyDescent="0.2">
      <c r="A43" s="14" t="s">
        <v>91</v>
      </c>
    </row>
    <row r="44" spans="1:20" x14ac:dyDescent="0.2">
      <c r="A44" s="44">
        <v>2025</v>
      </c>
      <c r="J44" s="84">
        <v>137499404.25495246</v>
      </c>
    </row>
    <row r="45" spans="1:20" x14ac:dyDescent="0.2">
      <c r="A45" s="14"/>
    </row>
    <row r="47" spans="1:20" x14ac:dyDescent="0.2">
      <c r="B47"/>
      <c r="C47"/>
      <c r="D47"/>
      <c r="E47"/>
      <c r="F47"/>
      <c r="G47"/>
      <c r="H47"/>
      <c r="I47"/>
      <c r="J47"/>
      <c r="K47"/>
      <c r="L47"/>
      <c r="T47"/>
    </row>
    <row r="48" spans="1:20" x14ac:dyDescent="0.2">
      <c r="B48"/>
      <c r="C48"/>
      <c r="D48"/>
      <c r="E48"/>
      <c r="F48"/>
      <c r="G48"/>
      <c r="H48"/>
      <c r="I48"/>
      <c r="J48"/>
      <c r="K48"/>
      <c r="L48"/>
      <c r="T48"/>
    </row>
    <row r="49" customFormat="1" x14ac:dyDescent="0.2"/>
    <row r="50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T83"/>
  <sheetViews>
    <sheetView workbookViewId="0">
      <selection activeCell="R16" sqref="R16"/>
    </sheetView>
  </sheetViews>
  <sheetFormatPr defaultRowHeight="12.75" x14ac:dyDescent="0.2"/>
  <cols>
    <col min="1" max="1" width="11" customWidth="1"/>
    <col min="2" max="2" width="15" style="6" customWidth="1"/>
    <col min="3" max="3" width="17.42578125" style="6" customWidth="1"/>
    <col min="4" max="4" width="17.85546875" style="6" bestFit="1" customWidth="1"/>
    <col min="5" max="5" width="12.5703125" style="6" customWidth="1"/>
    <col min="6" max="6" width="11.42578125" style="6" customWidth="1"/>
    <col min="7" max="7" width="11.5703125" customWidth="1"/>
    <col min="8" max="8" width="20.5703125" bestFit="1" customWidth="1"/>
    <col min="9" max="9" width="12.5703125" customWidth="1"/>
    <col min="10" max="10" width="12.5703125" bestFit="1" customWidth="1"/>
    <col min="11" max="11" width="11.5703125" bestFit="1" customWidth="1"/>
    <col min="12" max="12" width="11.5703125" customWidth="1"/>
    <col min="13" max="13" width="17.42578125" bestFit="1" customWidth="1"/>
    <col min="14" max="14" width="11.5703125" customWidth="1"/>
    <col min="15" max="15" width="10.5703125" bestFit="1" customWidth="1"/>
    <col min="16" max="17" width="9.140625" customWidth="1"/>
    <col min="20" max="20" width="9.85546875" bestFit="1" customWidth="1"/>
  </cols>
  <sheetData>
    <row r="1" spans="1:20" x14ac:dyDescent="0.2">
      <c r="B1" s="116" t="s">
        <v>57</v>
      </c>
      <c r="C1" s="117"/>
      <c r="D1" s="117"/>
      <c r="E1" s="117"/>
      <c r="F1" s="117"/>
      <c r="L1" t="s">
        <v>110</v>
      </c>
      <c r="N1" s="74">
        <v>2019</v>
      </c>
      <c r="O1" s="74">
        <v>2020</v>
      </c>
      <c r="P1" s="74">
        <v>2021</v>
      </c>
      <c r="Q1" s="74">
        <v>2022</v>
      </c>
      <c r="R1" s="74">
        <v>2023</v>
      </c>
      <c r="S1" s="74">
        <v>2024</v>
      </c>
      <c r="T1" s="74">
        <v>2025</v>
      </c>
    </row>
    <row r="2" spans="1:20" ht="25.5" x14ac:dyDescent="0.2">
      <c r="B2" s="9" t="str">
        <f>'Rate Class Energy Model'!H2</f>
        <v>R1(i) Residential</v>
      </c>
      <c r="C2" s="9" t="str">
        <f>'Rate Class Energy Model'!I2</f>
        <v>R1(ii) GS &lt; 50 kW</v>
      </c>
      <c r="D2" s="9" t="str">
        <f>'Rate Class Energy Model'!J2</f>
        <v>R2 GS&gt;50 kW</v>
      </c>
      <c r="E2" s="9" t="str">
        <f>'Rate Class Energy Model'!K2</f>
        <v>Seasonal</v>
      </c>
      <c r="F2" s="9" t="str">
        <f>'Rate Class Energy Model'!L2</f>
        <v>Street Lights</v>
      </c>
      <c r="G2" s="1" t="s">
        <v>7</v>
      </c>
      <c r="I2" s="65" t="s">
        <v>80</v>
      </c>
      <c r="L2" s="33">
        <v>11723</v>
      </c>
      <c r="M2" t="s">
        <v>88</v>
      </c>
      <c r="N2" s="13">
        <v>5.6868796205101028E-5</v>
      </c>
      <c r="O2" s="13">
        <v>2.4949812134908282E-3</v>
      </c>
      <c r="P2" s="13">
        <v>1.063906893719268E-3</v>
      </c>
      <c r="Q2" s="13">
        <v>4.7286262110808586E-4</v>
      </c>
      <c r="R2" s="13">
        <v>8.4763133942374622E-4</v>
      </c>
      <c r="S2" s="13"/>
      <c r="T2" s="13">
        <v>1.9355032147086541E-4</v>
      </c>
    </row>
    <row r="3" spans="1:20" x14ac:dyDescent="0.2">
      <c r="A3" s="4">
        <v>2014</v>
      </c>
      <c r="B3" s="40">
        <v>7397.916666666667</v>
      </c>
      <c r="C3" s="40">
        <v>955.66666666666663</v>
      </c>
      <c r="D3" s="40">
        <v>43.416666666666664</v>
      </c>
      <c r="E3" s="40">
        <v>3254.5</v>
      </c>
      <c r="F3" s="40">
        <v>1018.5833333333334</v>
      </c>
      <c r="G3" s="51">
        <f t="shared" ref="G3:G14" si="0">SUM(B3:F3)</f>
        <v>12670.083333333334</v>
      </c>
      <c r="H3" s="37">
        <f>(B3+C3+E3)</f>
        <v>11608.083333333334</v>
      </c>
      <c r="I3" s="6">
        <f t="shared" ref="I3:I14" si="1">ROUND(B3+C3+D3+E3,0)</f>
        <v>11652</v>
      </c>
      <c r="J3" s="6"/>
      <c r="M3" s="4" t="s">
        <v>68</v>
      </c>
      <c r="N3" s="73">
        <f>L2*(1+N2)</f>
        <v>11723.666672897911</v>
      </c>
      <c r="O3" s="73">
        <f>N14*(1+O2)</f>
        <v>11760.271208546033</v>
      </c>
      <c r="P3" s="73">
        <f>O14*(1+P2)</f>
        <v>12099.945622315492</v>
      </c>
      <c r="Q3" s="73">
        <f>P14*(1+Q2)</f>
        <v>12248.095606731329</v>
      </c>
      <c r="R3" s="73">
        <f>Q14*(1+R2)</f>
        <v>12322.390778290615</v>
      </c>
      <c r="S3" s="73">
        <f>G63</f>
        <v>12429</v>
      </c>
      <c r="T3" s="73">
        <f>S14*(1+T2)</f>
        <v>12456.730918006413</v>
      </c>
    </row>
    <row r="4" spans="1:20" x14ac:dyDescent="0.2">
      <c r="A4" s="4">
        <v>2015</v>
      </c>
      <c r="B4" s="40">
        <v>7479.5</v>
      </c>
      <c r="C4" s="40">
        <v>954.25</v>
      </c>
      <c r="D4" s="40">
        <v>42.166666666666664</v>
      </c>
      <c r="E4" s="40">
        <v>3175.9166666666665</v>
      </c>
      <c r="F4" s="40">
        <v>1022.6666666666666</v>
      </c>
      <c r="G4" s="51">
        <f t="shared" si="0"/>
        <v>12674.499999999998</v>
      </c>
      <c r="H4" s="37">
        <f t="shared" ref="H4:H14" si="2">(B4+C4+E4)</f>
        <v>11609.666666666666</v>
      </c>
      <c r="I4" s="6">
        <f t="shared" si="1"/>
        <v>11652</v>
      </c>
      <c r="J4" s="6"/>
      <c r="M4" s="75" t="s">
        <v>69</v>
      </c>
      <c r="N4" s="73">
        <f t="shared" ref="N4:R13" si="3">N3*(1+N$2)</f>
        <v>11724.333383708708</v>
      </c>
      <c r="O4" s="73">
        <f t="shared" si="3"/>
        <v>11789.612864276914</v>
      </c>
      <c r="P4" s="73">
        <f t="shared" si="3"/>
        <v>12112.818837876703</v>
      </c>
      <c r="Q4" s="73">
        <f t="shared" si="3"/>
        <v>12253.887273323511</v>
      </c>
      <c r="R4" s="73">
        <f t="shared" si="3"/>
        <v>12332.83562289092</v>
      </c>
      <c r="S4" s="73">
        <f t="shared" ref="S4:S14" si="4">G64</f>
        <v>12434</v>
      </c>
      <c r="T4" s="73">
        <f>T3*(1+T$2)</f>
        <v>12459.141922280071</v>
      </c>
    </row>
    <row r="5" spans="1:20" x14ac:dyDescent="0.2">
      <c r="A5" s="4">
        <v>2016</v>
      </c>
      <c r="B5" s="40">
        <v>7543.75</v>
      </c>
      <c r="C5" s="40">
        <v>951.16666666666663</v>
      </c>
      <c r="D5" s="40">
        <v>42.083333333333336</v>
      </c>
      <c r="E5" s="40">
        <v>3139.9166666666665</v>
      </c>
      <c r="F5" s="40">
        <v>1066.3333333333333</v>
      </c>
      <c r="G5" s="51">
        <f t="shared" si="0"/>
        <v>12743.25</v>
      </c>
      <c r="H5" s="37">
        <f t="shared" si="2"/>
        <v>11634.833333333332</v>
      </c>
      <c r="I5" s="6">
        <f t="shared" si="1"/>
        <v>11677</v>
      </c>
      <c r="J5" s="6"/>
      <c r="M5" s="75" t="s">
        <v>70</v>
      </c>
      <c r="N5" s="73">
        <f t="shared" si="3"/>
        <v>11725.000132434547</v>
      </c>
      <c r="O5" s="73">
        <f t="shared" si="3"/>
        <v>11819.027726887616</v>
      </c>
      <c r="P5" s="73">
        <f t="shared" si="3"/>
        <v>12125.705749340692</v>
      </c>
      <c r="Q5" s="73">
        <f t="shared" si="3"/>
        <v>12259.681678578338</v>
      </c>
      <c r="R5" s="73">
        <f t="shared" si="3"/>
        <v>12343.289320868842</v>
      </c>
      <c r="S5" s="73">
        <f t="shared" si="4"/>
        <v>12439</v>
      </c>
      <c r="T5" s="73">
        <f t="shared" ref="T5:T13" si="5">T4*(1+T$2)</f>
        <v>12461.55339320438</v>
      </c>
    </row>
    <row r="6" spans="1:20" x14ac:dyDescent="0.2">
      <c r="A6" s="4">
        <v>2017</v>
      </c>
      <c r="B6" s="40">
        <v>7596.416666666667</v>
      </c>
      <c r="C6" s="40">
        <v>961.16666666666663</v>
      </c>
      <c r="D6" s="40">
        <v>38.166666666666664</v>
      </c>
      <c r="E6" s="40">
        <v>3108.0833333333335</v>
      </c>
      <c r="F6" s="40">
        <v>1070</v>
      </c>
      <c r="G6" s="51">
        <f t="shared" si="0"/>
        <v>12773.833333333334</v>
      </c>
      <c r="H6" s="37">
        <f t="shared" si="2"/>
        <v>11665.666666666668</v>
      </c>
      <c r="I6" s="6">
        <f t="shared" si="1"/>
        <v>11704</v>
      </c>
      <c r="J6" s="6"/>
      <c r="M6" s="75" t="s">
        <v>71</v>
      </c>
      <c r="N6" s="73">
        <f t="shared" si="3"/>
        <v>11725.666919077583</v>
      </c>
      <c r="O6" s="73">
        <f t="shared" si="3"/>
        <v>11848.515979027929</v>
      </c>
      <c r="P6" s="73">
        <f t="shared" si="3"/>
        <v>12138.606371278627</v>
      </c>
      <c r="Q6" s="73">
        <f t="shared" si="3"/>
        <v>12265.478823790821</v>
      </c>
      <c r="R6" s="73">
        <f t="shared" si="3"/>
        <v>12353.751879728783</v>
      </c>
      <c r="S6" s="73">
        <f t="shared" si="4"/>
        <v>12437</v>
      </c>
      <c r="T6" s="73">
        <f t="shared" si="5"/>
        <v>12463.965330869662</v>
      </c>
    </row>
    <row r="7" spans="1:20" x14ac:dyDescent="0.2">
      <c r="A7" s="4">
        <v>2018</v>
      </c>
      <c r="B7" s="40">
        <v>7639.75</v>
      </c>
      <c r="C7" s="40">
        <v>960.91666666666663</v>
      </c>
      <c r="D7" s="40">
        <v>39.75</v>
      </c>
      <c r="E7" s="40">
        <v>3076.4166666666665</v>
      </c>
      <c r="F7" s="40">
        <v>1067.0833333333333</v>
      </c>
      <c r="G7" s="51">
        <f t="shared" si="0"/>
        <v>12783.916666666666</v>
      </c>
      <c r="H7" s="37">
        <f t="shared" si="2"/>
        <v>11677.083333333332</v>
      </c>
      <c r="I7" s="6">
        <f t="shared" si="1"/>
        <v>11717</v>
      </c>
      <c r="J7" s="6"/>
      <c r="M7" s="75" t="s">
        <v>53</v>
      </c>
      <c r="N7" s="73">
        <f t="shared" si="3"/>
        <v>11726.333743639972</v>
      </c>
      <c r="O7" s="73">
        <f t="shared" si="3"/>
        <v>11878.07780380335</v>
      </c>
      <c r="P7" s="73">
        <f t="shared" si="3"/>
        <v>12151.520718277176</v>
      </c>
      <c r="Q7" s="73">
        <f t="shared" si="3"/>
        <v>12271.278710256585</v>
      </c>
      <c r="R7" s="73">
        <f t="shared" si="3"/>
        <v>12364.223306981505</v>
      </c>
      <c r="S7" s="73">
        <f t="shared" si="4"/>
        <v>12427</v>
      </c>
      <c r="T7" s="73">
        <f t="shared" si="5"/>
        <v>12466.377735366254</v>
      </c>
    </row>
    <row r="8" spans="1:20" x14ac:dyDescent="0.2">
      <c r="A8" s="4">
        <v>2019</v>
      </c>
      <c r="B8" s="81">
        <f t="shared" ref="B8:F12" si="6">(B39+B40)/2</f>
        <v>7697.5</v>
      </c>
      <c r="C8" s="81">
        <f t="shared" si="6"/>
        <v>951</v>
      </c>
      <c r="D8" s="81">
        <v>39.5</v>
      </c>
      <c r="E8" s="81">
        <f t="shared" si="6"/>
        <v>3038.5</v>
      </c>
      <c r="F8" s="81">
        <f t="shared" si="6"/>
        <v>1074.5</v>
      </c>
      <c r="G8" s="51">
        <f t="shared" si="0"/>
        <v>12801</v>
      </c>
      <c r="H8" s="37">
        <f>(B8+C8+E8)</f>
        <v>11687</v>
      </c>
      <c r="I8" s="6">
        <f t="shared" si="1"/>
        <v>11727</v>
      </c>
      <c r="J8" s="91"/>
      <c r="M8" s="75" t="s">
        <v>72</v>
      </c>
      <c r="N8" s="73">
        <f t="shared" si="3"/>
        <v>11727.000606123871</v>
      </c>
      <c r="O8" s="73">
        <f t="shared" si="3"/>
        <v>11907.713384776222</v>
      </c>
      <c r="P8" s="73">
        <f t="shared" si="3"/>
        <v>12164.448804938524</v>
      </c>
      <c r="Q8" s="73">
        <f t="shared" si="3"/>
        <v>12277.081339271866</v>
      </c>
      <c r="R8" s="73">
        <f t="shared" si="3"/>
        <v>12374.703610144135</v>
      </c>
      <c r="S8" s="73">
        <f t="shared" si="4"/>
        <v>12441</v>
      </c>
      <c r="T8" s="73">
        <f t="shared" si="5"/>
        <v>12468.790606784512</v>
      </c>
    </row>
    <row r="9" spans="1:20" x14ac:dyDescent="0.2">
      <c r="A9" s="4">
        <v>2020</v>
      </c>
      <c r="B9" s="81">
        <f t="shared" si="6"/>
        <v>7924.5</v>
      </c>
      <c r="C9" s="81">
        <f t="shared" si="6"/>
        <v>968.5</v>
      </c>
      <c r="D9" s="81">
        <v>40.5</v>
      </c>
      <c r="E9" s="81">
        <f t="shared" si="6"/>
        <v>2989.5</v>
      </c>
      <c r="F9" s="81">
        <f t="shared" si="6"/>
        <v>1105</v>
      </c>
      <c r="G9" s="51">
        <f t="shared" si="0"/>
        <v>13028</v>
      </c>
      <c r="H9" s="37">
        <f t="shared" si="2"/>
        <v>11882.5</v>
      </c>
      <c r="I9" s="6">
        <f t="shared" si="1"/>
        <v>11923</v>
      </c>
      <c r="J9" s="6"/>
      <c r="M9" s="75" t="s">
        <v>73</v>
      </c>
      <c r="N9" s="73">
        <f t="shared" si="3"/>
        <v>11727.667506531438</v>
      </c>
      <c r="O9" s="73">
        <f t="shared" si="3"/>
        <v>11937.422905966872</v>
      </c>
      <c r="P9" s="73">
        <f t="shared" si="3"/>
        <v>12177.390645880392</v>
      </c>
      <c r="Q9" s="73">
        <f t="shared" si="3"/>
        <v>12282.886712133512</v>
      </c>
      <c r="R9" s="73">
        <f t="shared" si="3"/>
        <v>12385.192796740173</v>
      </c>
      <c r="S9" s="73">
        <f t="shared" si="4"/>
        <v>12443.197818250159</v>
      </c>
      <c r="T9" s="73">
        <f t="shared" si="5"/>
        <v>12471.203945214809</v>
      </c>
    </row>
    <row r="10" spans="1:20" x14ac:dyDescent="0.2">
      <c r="A10" s="4">
        <v>2021</v>
      </c>
      <c r="B10" s="81">
        <f t="shared" si="6"/>
        <v>8204.5</v>
      </c>
      <c r="C10" s="81">
        <f t="shared" si="6"/>
        <v>998.5</v>
      </c>
      <c r="D10" s="81">
        <v>42.5</v>
      </c>
      <c r="E10" s="81">
        <f t="shared" si="6"/>
        <v>2925</v>
      </c>
      <c r="F10" s="81">
        <f t="shared" si="6"/>
        <v>1141</v>
      </c>
      <c r="G10" s="51">
        <f t="shared" si="0"/>
        <v>13311.5</v>
      </c>
      <c r="H10" s="37">
        <f t="shared" si="2"/>
        <v>12128</v>
      </c>
      <c r="I10" s="6">
        <f>ROUND(B10+C10+D10+E10,0)</f>
        <v>12171</v>
      </c>
      <c r="J10" s="6"/>
      <c r="M10" s="75" t="s">
        <v>74</v>
      </c>
      <c r="N10" s="73">
        <f t="shared" si="3"/>
        <v>11728.334444864828</v>
      </c>
      <c r="O10" s="73">
        <f t="shared" si="3"/>
        <v>11967.206551854755</v>
      </c>
      <c r="P10" s="73">
        <f t="shared" si="3"/>
        <v>12190.346255736056</v>
      </c>
      <c r="Q10" s="73">
        <f t="shared" si="3"/>
        <v>12288.694830138986</v>
      </c>
      <c r="R10" s="73">
        <f t="shared" si="3"/>
        <v>12395.690874299495</v>
      </c>
      <c r="S10" s="73">
        <f t="shared" si="4"/>
        <v>12445.404535316051</v>
      </c>
      <c r="T10" s="73">
        <f t="shared" si="5"/>
        <v>12473.617750747535</v>
      </c>
    </row>
    <row r="11" spans="1:20" x14ac:dyDescent="0.2">
      <c r="A11" s="4">
        <v>2022</v>
      </c>
      <c r="B11" s="81">
        <f t="shared" si="6"/>
        <v>8360.5</v>
      </c>
      <c r="C11" s="81">
        <f t="shared" si="6"/>
        <v>1025</v>
      </c>
      <c r="D11" s="81">
        <v>45.5</v>
      </c>
      <c r="E11" s="81">
        <f t="shared" si="6"/>
        <v>2848.5</v>
      </c>
      <c r="F11" s="81">
        <f t="shared" si="6"/>
        <v>1146</v>
      </c>
      <c r="G11" s="51">
        <f t="shared" si="0"/>
        <v>13425.5</v>
      </c>
      <c r="H11" s="37">
        <f t="shared" si="2"/>
        <v>12234</v>
      </c>
      <c r="I11" s="6">
        <f t="shared" si="1"/>
        <v>12280</v>
      </c>
      <c r="J11" s="6"/>
      <c r="K11" s="106"/>
      <c r="L11" s="106"/>
      <c r="M11" s="75" t="s">
        <v>75</v>
      </c>
      <c r="N11" s="73">
        <f t="shared" si="3"/>
        <v>11729.001421126197</v>
      </c>
      <c r="O11" s="73">
        <f t="shared" si="3"/>
        <v>11997.064507379599</v>
      </c>
      <c r="P11" s="73">
        <f t="shared" si="3"/>
        <v>12203.31564915436</v>
      </c>
      <c r="Q11" s="73">
        <f t="shared" si="3"/>
        <v>12294.505694586363</v>
      </c>
      <c r="R11" s="73">
        <f t="shared" si="3"/>
        <v>12406.19785035836</v>
      </c>
      <c r="S11" s="73">
        <f t="shared" si="4"/>
        <v>12447.620150615094</v>
      </c>
      <c r="T11" s="73">
        <f t="shared" si="5"/>
        <v>12476.032023473097</v>
      </c>
    </row>
    <row r="12" spans="1:20" x14ac:dyDescent="0.2">
      <c r="A12" s="4">
        <v>2023</v>
      </c>
      <c r="B12" s="81">
        <f t="shared" si="6"/>
        <v>8485</v>
      </c>
      <c r="C12" s="81">
        <f>(C43+C44)/2</f>
        <v>1055</v>
      </c>
      <c r="D12" s="81">
        <v>47</v>
      </c>
      <c r="E12" s="81">
        <f t="shared" si="6"/>
        <v>2793</v>
      </c>
      <c r="F12" s="81">
        <f t="shared" si="6"/>
        <v>1131.5</v>
      </c>
      <c r="G12" s="51">
        <f t="shared" si="0"/>
        <v>13511.5</v>
      </c>
      <c r="H12" s="37">
        <f t="shared" si="2"/>
        <v>12333</v>
      </c>
      <c r="I12" s="6">
        <f>ROUND(B12+C12+D12+E12,0)</f>
        <v>12380</v>
      </c>
      <c r="J12" s="42"/>
      <c r="K12" s="76"/>
      <c r="L12" s="76"/>
      <c r="M12" s="75" t="s">
        <v>76</v>
      </c>
      <c r="N12" s="73">
        <f t="shared" si="3"/>
        <v>11729.668435317704</v>
      </c>
      <c r="O12" s="73">
        <f t="shared" si="3"/>
        <v>12026.996957942549</v>
      </c>
      <c r="P12" s="73">
        <f t="shared" si="3"/>
        <v>12216.298840799727</v>
      </c>
      <c r="Q12" s="73">
        <f t="shared" si="3"/>
        <v>12300.319306774334</v>
      </c>
      <c r="R12" s="73">
        <f t="shared" si="3"/>
        <v>12416.713732459413</v>
      </c>
      <c r="S12" s="73">
        <f t="shared" si="4"/>
        <v>12449.844663578551</v>
      </c>
      <c r="T12" s="73">
        <f t="shared" si="5"/>
        <v>12478.446763481923</v>
      </c>
    </row>
    <row r="13" spans="1:20" x14ac:dyDescent="0.2">
      <c r="A13" s="4">
        <v>2024</v>
      </c>
      <c r="B13" s="56">
        <f>B76</f>
        <v>8566.6002674063275</v>
      </c>
      <c r="C13" s="56">
        <f t="shared" ref="C13" si="7">C76</f>
        <v>1071.6069871659804</v>
      </c>
      <c r="D13" s="56">
        <f>D76</f>
        <v>47</v>
      </c>
      <c r="E13" s="56">
        <f>E76</f>
        <v>2756.4148805697369</v>
      </c>
      <c r="F13" s="56">
        <f>F76</f>
        <v>1117</v>
      </c>
      <c r="G13" s="51">
        <f t="shared" si="0"/>
        <v>13558.622135142044</v>
      </c>
      <c r="H13" s="37">
        <f>(B13+C13+E13)</f>
        <v>12394.622135142044</v>
      </c>
      <c r="I13" s="6">
        <f t="shared" si="1"/>
        <v>12442</v>
      </c>
      <c r="J13" s="42"/>
      <c r="K13" s="76"/>
      <c r="L13" s="76"/>
      <c r="M13" s="75" t="s">
        <v>77</v>
      </c>
      <c r="N13" s="73">
        <f t="shared" si="3"/>
        <v>11730.335487441505</v>
      </c>
      <c r="O13" s="73">
        <f t="shared" si="3"/>
        <v>12057.004089407328</v>
      </c>
      <c r="P13" s="73">
        <f t="shared" si="3"/>
        <v>12229.29584535219</v>
      </c>
      <c r="Q13" s="73">
        <f t="shared" si="3"/>
        <v>12306.135668002202</v>
      </c>
      <c r="R13" s="73">
        <f t="shared" si="3"/>
        <v>12427.238528151698</v>
      </c>
      <c r="S13" s="73">
        <f t="shared" si="4"/>
        <v>12452.078073651561</v>
      </c>
      <c r="T13" s="73">
        <f t="shared" si="5"/>
        <v>12480.861970864453</v>
      </c>
    </row>
    <row r="14" spans="1:20" x14ac:dyDescent="0.2">
      <c r="A14" s="4">
        <v>2025</v>
      </c>
      <c r="B14" s="15">
        <f>B13*B31</f>
        <v>8634.8849400222571</v>
      </c>
      <c r="C14" s="15">
        <f>C13*C31</f>
        <v>1070.55837274188</v>
      </c>
      <c r="D14" s="104">
        <f>D13*D31</f>
        <v>46.119647750507838</v>
      </c>
      <c r="E14" s="15">
        <f>E13*E31</f>
        <v>2718.8145082649953</v>
      </c>
      <c r="F14" s="15">
        <f>F13*F31</f>
        <v>1129.0031247807513</v>
      </c>
      <c r="G14" s="51">
        <f t="shared" si="0"/>
        <v>13599.38059356039</v>
      </c>
      <c r="H14" s="37">
        <f t="shared" si="2"/>
        <v>12424.257821029132</v>
      </c>
      <c r="I14" s="6">
        <f t="shared" si="1"/>
        <v>12470</v>
      </c>
      <c r="J14" s="42"/>
      <c r="K14" s="76"/>
      <c r="L14" s="76"/>
      <c r="M14" s="77" t="s">
        <v>78</v>
      </c>
      <c r="N14" s="73">
        <f>N13*(1+N$2)</f>
        <v>11731.002577499758</v>
      </c>
      <c r="O14" s="73">
        <f>O13*(1+O$2)</f>
        <v>12087.086088101383</v>
      </c>
      <c r="P14" s="73">
        <f>P13*(1+P$2)</f>
        <v>12242.306677507393</v>
      </c>
      <c r="Q14" s="73">
        <f>Q13*(1+Q$2)</f>
        <v>12311.954779569885</v>
      </c>
      <c r="R14" s="73">
        <f>R13*(1+R$2)</f>
        <v>12437.772244990652</v>
      </c>
      <c r="S14" s="73">
        <f t="shared" si="4"/>
        <v>12454.320380293106</v>
      </c>
      <c r="T14" s="73">
        <f>T13*(1+T$2)</f>
        <v>12483.277645711149</v>
      </c>
    </row>
    <row r="15" spans="1:20" x14ac:dyDescent="0.2">
      <c r="A15" s="14" t="s">
        <v>116</v>
      </c>
      <c r="B15" s="6">
        <v>8564</v>
      </c>
      <c r="C15" s="6">
        <v>1071</v>
      </c>
      <c r="D15" s="6">
        <v>47</v>
      </c>
      <c r="E15" s="6">
        <v>2759</v>
      </c>
      <c r="F15" s="6">
        <v>1117</v>
      </c>
      <c r="G15" s="105">
        <f t="shared" ref="G15" si="8">SUM(B15:F15)</f>
        <v>13558</v>
      </c>
      <c r="H15" s="37">
        <f>(B15+C15+E15)</f>
        <v>12394</v>
      </c>
      <c r="I15" s="6">
        <f>B15+C15+D15+E15</f>
        <v>12441</v>
      </c>
      <c r="M15" s="75"/>
      <c r="N15" s="73"/>
      <c r="O15" s="73"/>
    </row>
    <row r="16" spans="1:20" x14ac:dyDescent="0.2">
      <c r="A16" s="14" t="s">
        <v>36</v>
      </c>
      <c r="B16" s="5"/>
      <c r="C16" s="5"/>
      <c r="D16" s="5"/>
      <c r="E16" s="5"/>
      <c r="F16" s="17"/>
      <c r="M16" s="75" t="s">
        <v>104</v>
      </c>
      <c r="N16" s="73">
        <f>AVERAGE(N3:N14)</f>
        <v>11727.334277555334</v>
      </c>
      <c r="O16" s="73">
        <f>AVERAGE(O3:O14)</f>
        <v>11923.000005664215</v>
      </c>
      <c r="P16" s="73">
        <f t="shared" ref="P16:T16" si="9">AVERAGE(P3:P14)</f>
        <v>12171.00000153811</v>
      </c>
      <c r="Q16" s="73">
        <f t="shared" si="9"/>
        <v>12280.000035263145</v>
      </c>
      <c r="R16" s="73">
        <f t="shared" si="9"/>
        <v>12380.00004549205</v>
      </c>
      <c r="S16" s="73">
        <f t="shared" si="9"/>
        <v>12441.622135142044</v>
      </c>
      <c r="T16" s="73">
        <f t="shared" si="9"/>
        <v>12470.000000500353</v>
      </c>
    </row>
    <row r="17" spans="1:20" x14ac:dyDescent="0.2">
      <c r="A17" s="14"/>
      <c r="B17" s="5"/>
      <c r="C17" s="5"/>
      <c r="D17" s="5"/>
      <c r="E17" s="5"/>
      <c r="F17" s="17"/>
      <c r="N17" s="6">
        <f>$I8</f>
        <v>11727</v>
      </c>
      <c r="O17" s="6">
        <f>I9</f>
        <v>11923</v>
      </c>
      <c r="P17" s="6">
        <f>I10</f>
        <v>12171</v>
      </c>
      <c r="Q17" s="6">
        <f>I11</f>
        <v>12280</v>
      </c>
      <c r="R17" s="6">
        <f>I12</f>
        <v>12380</v>
      </c>
      <c r="S17" s="6">
        <f>I13</f>
        <v>12442</v>
      </c>
      <c r="T17" s="6">
        <f>I14</f>
        <v>12470</v>
      </c>
    </row>
    <row r="18" spans="1:20" x14ac:dyDescent="0.2">
      <c r="A18" s="4">
        <v>2014</v>
      </c>
      <c r="B18" s="17"/>
      <c r="C18" s="17"/>
      <c r="D18" s="17"/>
      <c r="E18" s="17"/>
      <c r="F18" s="17"/>
      <c r="N18" s="6">
        <f>N17-N16</f>
        <v>-0.33427755533375603</v>
      </c>
      <c r="O18" s="6">
        <f t="shared" ref="O18:T18" si="10">O17-O16</f>
        <v>-5.6642147683305666E-6</v>
      </c>
      <c r="P18" s="6">
        <f t="shared" si="10"/>
        <v>-1.538110154797323E-6</v>
      </c>
      <c r="Q18" s="6">
        <f t="shared" si="10"/>
        <v>-3.5263145036878996E-5</v>
      </c>
      <c r="R18" s="6">
        <f t="shared" si="10"/>
        <v>-4.5492050048778765E-5</v>
      </c>
      <c r="S18" s="6">
        <f t="shared" si="10"/>
        <v>0.37786485795550107</v>
      </c>
      <c r="T18" s="6">
        <f t="shared" si="10"/>
        <v>-5.0035305321216583E-7</v>
      </c>
    </row>
    <row r="19" spans="1:20" x14ac:dyDescent="0.2">
      <c r="A19" s="4">
        <f t="shared" ref="A19:A26" si="11">+A4</f>
        <v>2015</v>
      </c>
      <c r="B19" s="17">
        <f t="shared" ref="B19:B27" si="12">B4/B3</f>
        <v>1.0110278794705716</v>
      </c>
      <c r="C19" s="17">
        <f t="shared" ref="C19:F27" si="13">C4/C3</f>
        <v>0.99851761423090346</v>
      </c>
      <c r="D19" s="17">
        <f t="shared" si="13"/>
        <v>0.97120921305182339</v>
      </c>
      <c r="E19" s="17">
        <f t="shared" si="13"/>
        <v>0.97585394581861007</v>
      </c>
      <c r="F19" s="17">
        <f t="shared" si="13"/>
        <v>1.0040088358013579</v>
      </c>
      <c r="H19" s="1"/>
    </row>
    <row r="20" spans="1:20" x14ac:dyDescent="0.2">
      <c r="A20" s="4">
        <f t="shared" si="11"/>
        <v>2016</v>
      </c>
      <c r="B20" s="17">
        <f t="shared" si="12"/>
        <v>1.0085901464001605</v>
      </c>
      <c r="C20" s="17">
        <f t="shared" si="13"/>
        <v>0.99676884114924458</v>
      </c>
      <c r="D20" s="17">
        <f t="shared" si="13"/>
        <v>0.99802371541501989</v>
      </c>
      <c r="E20" s="17">
        <f t="shared" si="13"/>
        <v>0.98866468998451895</v>
      </c>
      <c r="F20" s="17">
        <f t="shared" si="13"/>
        <v>1.0426988265971318</v>
      </c>
    </row>
    <row r="21" spans="1:20" x14ac:dyDescent="0.2">
      <c r="A21" s="4">
        <f t="shared" si="11"/>
        <v>2017</v>
      </c>
      <c r="B21" s="17">
        <f t="shared" si="12"/>
        <v>1.0069814968240818</v>
      </c>
      <c r="C21" s="17">
        <f t="shared" si="13"/>
        <v>1.0105134045908533</v>
      </c>
      <c r="D21" s="17">
        <f t="shared" si="13"/>
        <v>0.90693069306930685</v>
      </c>
      <c r="E21" s="17">
        <f t="shared" si="13"/>
        <v>0.98986172669126049</v>
      </c>
      <c r="F21" s="17">
        <f t="shared" si="13"/>
        <v>1.0034385745545484</v>
      </c>
      <c r="H21" s="17"/>
    </row>
    <row r="22" spans="1:20" x14ac:dyDescent="0.2">
      <c r="A22" s="4">
        <f t="shared" si="11"/>
        <v>2018</v>
      </c>
      <c r="B22" s="17">
        <f t="shared" si="12"/>
        <v>1.005704443981263</v>
      </c>
      <c r="C22" s="17">
        <f t="shared" si="13"/>
        <v>0.99973989942777874</v>
      </c>
      <c r="D22" s="17">
        <f t="shared" si="13"/>
        <v>1.0414847161572054</v>
      </c>
      <c r="E22" s="17">
        <f t="shared" si="13"/>
        <v>0.98981151299032089</v>
      </c>
      <c r="F22" s="17">
        <f t="shared" si="13"/>
        <v>0.99727414330218056</v>
      </c>
      <c r="K22" s="94"/>
    </row>
    <row r="23" spans="1:20" x14ac:dyDescent="0.2">
      <c r="A23" s="4">
        <f t="shared" si="11"/>
        <v>2019</v>
      </c>
      <c r="B23" s="17">
        <f t="shared" si="12"/>
        <v>1.0075591478778756</v>
      </c>
      <c r="C23" s="17">
        <f t="shared" si="13"/>
        <v>0.98967999306218024</v>
      </c>
      <c r="D23" s="17">
        <f t="shared" si="13"/>
        <v>0.99371069182389937</v>
      </c>
      <c r="E23" s="17">
        <f t="shared" si="13"/>
        <v>0.98767505485277796</v>
      </c>
      <c r="F23" s="17">
        <f t="shared" si="13"/>
        <v>1.0069504099960953</v>
      </c>
    </row>
    <row r="24" spans="1:20" x14ac:dyDescent="0.2">
      <c r="A24" s="4">
        <f t="shared" si="11"/>
        <v>2020</v>
      </c>
      <c r="B24" s="17">
        <f t="shared" si="12"/>
        <v>1.0294900941864242</v>
      </c>
      <c r="C24" s="17">
        <f t="shared" si="13"/>
        <v>1.0184016824395374</v>
      </c>
      <c r="D24" s="17">
        <f t="shared" si="13"/>
        <v>1.0253164556962024</v>
      </c>
      <c r="E24" s="17">
        <f t="shared" si="13"/>
        <v>0.98387362185288796</v>
      </c>
      <c r="F24" s="17">
        <f t="shared" si="13"/>
        <v>1.0283852954862727</v>
      </c>
      <c r="H24" s="17"/>
      <c r="K24" s="44"/>
    </row>
    <row r="25" spans="1:20" x14ac:dyDescent="0.2">
      <c r="A25" s="4">
        <f t="shared" si="11"/>
        <v>2021</v>
      </c>
      <c r="B25" s="17">
        <f t="shared" si="12"/>
        <v>1.0353334595242603</v>
      </c>
      <c r="C25" s="17">
        <f t="shared" si="13"/>
        <v>1.0309757356737224</v>
      </c>
      <c r="D25" s="17">
        <f t="shared" si="13"/>
        <v>1.0493827160493827</v>
      </c>
      <c r="E25" s="17">
        <f t="shared" si="13"/>
        <v>0.97842448569994978</v>
      </c>
      <c r="F25" s="17">
        <f t="shared" si="13"/>
        <v>1.0325791855203621</v>
      </c>
      <c r="I25" s="93"/>
    </row>
    <row r="26" spans="1:20" x14ac:dyDescent="0.2">
      <c r="A26" s="4">
        <f t="shared" si="11"/>
        <v>2022</v>
      </c>
      <c r="B26" s="17">
        <f t="shared" si="12"/>
        <v>1.0190139557559876</v>
      </c>
      <c r="C26" s="17">
        <f t="shared" si="13"/>
        <v>1.0265398097145719</v>
      </c>
      <c r="D26" s="17">
        <f t="shared" si="13"/>
        <v>1.0705882352941176</v>
      </c>
      <c r="E26" s="17">
        <f t="shared" si="13"/>
        <v>0.97384615384615381</v>
      </c>
      <c r="F26" s="17">
        <f t="shared" si="13"/>
        <v>1.0043821209465382</v>
      </c>
    </row>
    <row r="27" spans="1:20" x14ac:dyDescent="0.2">
      <c r="A27" s="4">
        <v>2023</v>
      </c>
      <c r="B27" s="17">
        <f t="shared" si="12"/>
        <v>1.014891453860415</v>
      </c>
      <c r="C27" s="17">
        <f t="shared" si="13"/>
        <v>1.0292682926829269</v>
      </c>
      <c r="D27" s="17">
        <f t="shared" si="13"/>
        <v>1.0329670329670331</v>
      </c>
      <c r="E27" s="17">
        <f>E12/E11</f>
        <v>0.98051606108478151</v>
      </c>
      <c r="F27" s="17">
        <f t="shared" si="13"/>
        <v>0.98734729493891793</v>
      </c>
    </row>
    <row r="28" spans="1:20" x14ac:dyDescent="0.2">
      <c r="A28" s="4"/>
      <c r="B28" s="17"/>
      <c r="C28" s="17"/>
      <c r="D28" s="17"/>
      <c r="E28" s="17"/>
      <c r="F28" s="17"/>
    </row>
    <row r="29" spans="1:20" x14ac:dyDescent="0.2">
      <c r="A29" s="4"/>
      <c r="B29" s="17"/>
      <c r="C29" s="17"/>
      <c r="D29" s="17"/>
      <c r="E29" s="17"/>
      <c r="F29" s="17"/>
    </row>
    <row r="31" spans="1:20" x14ac:dyDescent="0.2">
      <c r="A31" t="s">
        <v>50</v>
      </c>
      <c r="B31" s="57">
        <f>B35</f>
        <v>1.0079710352397011</v>
      </c>
      <c r="C31" s="57">
        <f t="shared" ref="C31:F31" si="14">C35</f>
        <v>0.99902145615262028</v>
      </c>
      <c r="D31" s="57">
        <f>D35</f>
        <v>0.98126910107463483</v>
      </c>
      <c r="E31" s="57">
        <f t="shared" si="14"/>
        <v>0.98635895758298564</v>
      </c>
      <c r="F31" s="57">
        <f t="shared" si="14"/>
        <v>1.0107458592486582</v>
      </c>
      <c r="G31" s="44"/>
    </row>
    <row r="32" spans="1:20" x14ac:dyDescent="0.2">
      <c r="B32" s="18"/>
      <c r="C32" s="18"/>
      <c r="D32" s="18"/>
      <c r="E32" s="18"/>
      <c r="F32" s="18"/>
    </row>
    <row r="33" spans="1:12" x14ac:dyDescent="0.2">
      <c r="A33" t="s">
        <v>10</v>
      </c>
      <c r="B33" s="18">
        <f>IF(B12="",0,GEOMEAN(B19:B27))</f>
        <v>1.015350117767039</v>
      </c>
      <c r="C33" s="18">
        <f>IF(C12="",0,GEOMEAN(C19:C27))</f>
        <v>1.011048013344702</v>
      </c>
      <c r="D33" s="18">
        <f>IF(D12="",0,GEOMEAN(D19:D27))</f>
        <v>1.0088505151007534</v>
      </c>
      <c r="E33" s="18">
        <f>IF(E12="",0,GEOMEAN(E19:E27))</f>
        <v>0.98315216515232307</v>
      </c>
      <c r="F33" s="18">
        <f>IF(F12="",0,GEOMEAN(F19:F27))</f>
        <v>1.0117497605659946</v>
      </c>
    </row>
    <row r="34" spans="1:12" x14ac:dyDescent="0.2">
      <c r="A34" s="4"/>
      <c r="B34" s="18"/>
      <c r="C34" s="18"/>
      <c r="D34" s="18"/>
      <c r="E34" s="18"/>
      <c r="F34" s="18"/>
    </row>
    <row r="35" spans="1:12" x14ac:dyDescent="0.2">
      <c r="A35" t="s">
        <v>10</v>
      </c>
      <c r="B35" s="18">
        <f>IF(B12="",0,GEOMEAN(B19:B23))</f>
        <v>1.0079710352397011</v>
      </c>
      <c r="C35" s="18">
        <f>IF(C12="",0,GEOMEAN(C19:C23))</f>
        <v>0.99902145615262028</v>
      </c>
      <c r="D35" s="18">
        <f>IF(D12="",0,GEOMEAN(D19:D23))</f>
        <v>0.98126910107463483</v>
      </c>
      <c r="E35" s="18">
        <f>IF(E12="",0,GEOMEAN(E19:E23))</f>
        <v>0.98635895758298564</v>
      </c>
      <c r="F35" s="18">
        <f>IF(F12="",0,GEOMEAN(F19:F23))</f>
        <v>1.0107458592486582</v>
      </c>
    </row>
    <row r="36" spans="1:12" x14ac:dyDescent="0.2">
      <c r="A36" s="3" t="s">
        <v>111</v>
      </c>
      <c r="B36"/>
      <c r="C36"/>
      <c r="D36"/>
      <c r="E36"/>
      <c r="F36"/>
    </row>
    <row r="37" spans="1:12" x14ac:dyDescent="0.2">
      <c r="A37" s="3"/>
      <c r="B37"/>
      <c r="C37"/>
      <c r="D37"/>
      <c r="E37"/>
      <c r="F37"/>
    </row>
    <row r="38" spans="1:12" ht="25.5" x14ac:dyDescent="0.2">
      <c r="A38" s="3" t="s">
        <v>87</v>
      </c>
      <c r="B38" s="9" t="str">
        <f>B2</f>
        <v>R1(i) Residential</v>
      </c>
      <c r="C38" s="9" t="str">
        <f t="shared" ref="C38:F38" si="15">C2</f>
        <v>R1(ii) GS &lt; 50 kW</v>
      </c>
      <c r="D38" s="9" t="str">
        <f t="shared" si="15"/>
        <v>R2 GS&gt;50 kW</v>
      </c>
      <c r="E38" s="9" t="str">
        <f t="shared" si="15"/>
        <v>Seasonal</v>
      </c>
      <c r="F38" s="9" t="str">
        <f t="shared" si="15"/>
        <v>Street Lights</v>
      </c>
    </row>
    <row r="39" spans="1:12" x14ac:dyDescent="0.2">
      <c r="A39" s="4">
        <f>A7</f>
        <v>2018</v>
      </c>
      <c r="B39" s="107">
        <v>7663</v>
      </c>
      <c r="C39" s="107">
        <v>961</v>
      </c>
      <c r="D39" s="107">
        <v>39</v>
      </c>
      <c r="E39" s="107">
        <v>3058</v>
      </c>
      <c r="F39" s="107">
        <v>1075</v>
      </c>
      <c r="H39" s="37"/>
      <c r="L39" s="95"/>
    </row>
    <row r="40" spans="1:12" x14ac:dyDescent="0.2">
      <c r="A40" s="4">
        <v>2019</v>
      </c>
      <c r="B40" s="107">
        <v>7732</v>
      </c>
      <c r="C40" s="107">
        <v>941</v>
      </c>
      <c r="D40" s="107">
        <v>40</v>
      </c>
      <c r="E40" s="107">
        <v>3019</v>
      </c>
      <c r="F40" s="107">
        <v>1074</v>
      </c>
      <c r="H40" s="37"/>
    </row>
    <row r="41" spans="1:12" x14ac:dyDescent="0.2">
      <c r="A41" s="4">
        <v>2020</v>
      </c>
      <c r="B41" s="107">
        <v>8117</v>
      </c>
      <c r="C41" s="107">
        <v>996</v>
      </c>
      <c r="D41" s="107">
        <v>41</v>
      </c>
      <c r="E41" s="107">
        <v>2960</v>
      </c>
      <c r="F41" s="107">
        <v>1136</v>
      </c>
      <c r="H41" s="37"/>
    </row>
    <row r="42" spans="1:12" x14ac:dyDescent="0.2">
      <c r="A42" s="4">
        <v>2021</v>
      </c>
      <c r="B42" s="107">
        <v>8292</v>
      </c>
      <c r="C42" s="107">
        <v>1001</v>
      </c>
      <c r="D42" s="107">
        <v>44</v>
      </c>
      <c r="E42" s="107">
        <v>2890</v>
      </c>
      <c r="F42" s="107">
        <v>1146</v>
      </c>
      <c r="H42" s="37"/>
    </row>
    <row r="43" spans="1:12" x14ac:dyDescent="0.2">
      <c r="A43" s="4">
        <v>2022</v>
      </c>
      <c r="B43" s="107">
        <v>8429</v>
      </c>
      <c r="C43" s="107">
        <v>1049</v>
      </c>
      <c r="D43" s="107">
        <v>47</v>
      </c>
      <c r="E43" s="107">
        <v>2807</v>
      </c>
      <c r="F43" s="107">
        <v>1146</v>
      </c>
      <c r="H43" s="37"/>
    </row>
    <row r="44" spans="1:12" x14ac:dyDescent="0.2">
      <c r="A44" s="4">
        <v>2023</v>
      </c>
      <c r="B44" s="92">
        <v>8541</v>
      </c>
      <c r="C44" s="92">
        <v>1061</v>
      </c>
      <c r="D44" s="92">
        <v>47</v>
      </c>
      <c r="E44" s="92">
        <v>2779</v>
      </c>
      <c r="F44" s="92">
        <v>1117</v>
      </c>
    </row>
    <row r="45" spans="1:12" x14ac:dyDescent="0.2">
      <c r="A45" s="3"/>
      <c r="B45"/>
      <c r="C45"/>
      <c r="D45"/>
      <c r="E45"/>
      <c r="F45"/>
    </row>
    <row r="46" spans="1:12" x14ac:dyDescent="0.2">
      <c r="A46" s="3">
        <v>45261</v>
      </c>
      <c r="B46" s="6">
        <f>B44</f>
        <v>8541</v>
      </c>
      <c r="C46" s="6">
        <f t="shared" ref="C46:F46" si="16">C44</f>
        <v>1061</v>
      </c>
      <c r="D46" s="6">
        <f t="shared" si="16"/>
        <v>47</v>
      </c>
      <c r="E46" s="6">
        <f t="shared" si="16"/>
        <v>2779</v>
      </c>
      <c r="F46" s="6">
        <f t="shared" si="16"/>
        <v>1117</v>
      </c>
    </row>
    <row r="47" spans="1:12" x14ac:dyDescent="0.2">
      <c r="A47" s="108" t="s">
        <v>68</v>
      </c>
      <c r="B47" s="109">
        <v>8544</v>
      </c>
      <c r="C47" s="109">
        <v>1062</v>
      </c>
      <c r="D47" s="109">
        <v>47</v>
      </c>
      <c r="E47" s="109">
        <v>2776</v>
      </c>
      <c r="F47" s="109">
        <v>1117</v>
      </c>
    </row>
    <row r="48" spans="1:12" x14ac:dyDescent="0.2">
      <c r="A48" s="108" t="s">
        <v>69</v>
      </c>
      <c r="B48" s="109">
        <v>8551</v>
      </c>
      <c r="C48" s="109">
        <v>1063</v>
      </c>
      <c r="D48" s="109">
        <v>47</v>
      </c>
      <c r="E48" s="109">
        <v>2773</v>
      </c>
      <c r="F48" s="109">
        <v>1117</v>
      </c>
    </row>
    <row r="49" spans="1:7" x14ac:dyDescent="0.2">
      <c r="A49" s="108" t="s">
        <v>70</v>
      </c>
      <c r="B49" s="109">
        <v>8549</v>
      </c>
      <c r="C49" s="109">
        <v>1069</v>
      </c>
      <c r="D49" s="109">
        <v>47</v>
      </c>
      <c r="E49" s="109">
        <v>2774</v>
      </c>
      <c r="F49" s="109">
        <v>1117</v>
      </c>
    </row>
    <row r="50" spans="1:7" x14ac:dyDescent="0.2">
      <c r="A50" s="108" t="s">
        <v>71</v>
      </c>
      <c r="B50" s="109">
        <v>8557</v>
      </c>
      <c r="C50" s="109">
        <v>1068</v>
      </c>
      <c r="D50" s="109">
        <v>47</v>
      </c>
      <c r="E50" s="109">
        <v>2765</v>
      </c>
      <c r="F50" s="109">
        <v>1117</v>
      </c>
    </row>
    <row r="51" spans="1:7" x14ac:dyDescent="0.2">
      <c r="A51" s="108" t="s">
        <v>53</v>
      </c>
      <c r="B51" s="109">
        <v>8559</v>
      </c>
      <c r="C51" s="109">
        <v>1065</v>
      </c>
      <c r="D51" s="109">
        <v>47</v>
      </c>
      <c r="E51" s="109">
        <v>2756</v>
      </c>
      <c r="F51" s="109">
        <v>1117</v>
      </c>
    </row>
    <row r="52" spans="1:7" x14ac:dyDescent="0.2">
      <c r="A52" s="108" t="s">
        <v>72</v>
      </c>
      <c r="B52" s="109">
        <v>8565</v>
      </c>
      <c r="C52" s="109">
        <v>1071</v>
      </c>
      <c r="D52" s="109">
        <v>47</v>
      </c>
      <c r="E52" s="109">
        <v>2758</v>
      </c>
      <c r="F52" s="109">
        <v>1117</v>
      </c>
    </row>
    <row r="53" spans="1:7" x14ac:dyDescent="0.2">
      <c r="A53" s="3"/>
      <c r="B53" s="1"/>
      <c r="C53" s="1"/>
      <c r="D53" s="1"/>
      <c r="E53" s="1"/>
      <c r="F53" s="1"/>
    </row>
    <row r="54" spans="1:7" x14ac:dyDescent="0.2">
      <c r="A54" s="108" t="s">
        <v>68</v>
      </c>
      <c r="B54" s="17">
        <f>B47/B46</f>
        <v>1.0003512469265894</v>
      </c>
      <c r="C54" s="17">
        <f t="shared" ref="C54:F54" si="17">C47/C46</f>
        <v>1.0009425070688029</v>
      </c>
      <c r="D54" s="17">
        <f t="shared" si="17"/>
        <v>1</v>
      </c>
      <c r="E54" s="17">
        <f t="shared" si="17"/>
        <v>0.998920474991004</v>
      </c>
      <c r="F54" s="17">
        <f t="shared" si="17"/>
        <v>1</v>
      </c>
    </row>
    <row r="55" spans="1:7" x14ac:dyDescent="0.2">
      <c r="A55" s="108" t="s">
        <v>69</v>
      </c>
      <c r="B55" s="17">
        <f t="shared" ref="B55:F59" si="18">B48/B47</f>
        <v>1.0008192883895131</v>
      </c>
      <c r="C55" s="17">
        <f t="shared" si="18"/>
        <v>1.0009416195856873</v>
      </c>
      <c r="D55" s="17">
        <f t="shared" si="18"/>
        <v>1</v>
      </c>
      <c r="E55" s="17">
        <f t="shared" si="18"/>
        <v>0.99891930835734866</v>
      </c>
      <c r="F55" s="17">
        <f t="shared" si="18"/>
        <v>1</v>
      </c>
    </row>
    <row r="56" spans="1:7" x14ac:dyDescent="0.2">
      <c r="A56" s="108" t="s">
        <v>70</v>
      </c>
      <c r="B56" s="17">
        <f t="shared" si="18"/>
        <v>0.99976610922699094</v>
      </c>
      <c r="C56" s="17">
        <f t="shared" si="18"/>
        <v>1.0056444026340545</v>
      </c>
      <c r="D56" s="17">
        <f t="shared" si="18"/>
        <v>1</v>
      </c>
      <c r="E56" s="17">
        <f t="shared" si="18"/>
        <v>1.0003606202668589</v>
      </c>
      <c r="F56" s="17">
        <f t="shared" si="18"/>
        <v>1</v>
      </c>
    </row>
    <row r="57" spans="1:7" x14ac:dyDescent="0.2">
      <c r="A57" s="108" t="s">
        <v>71</v>
      </c>
      <c r="B57" s="17">
        <f t="shared" si="18"/>
        <v>1.0009357819628026</v>
      </c>
      <c r="C57" s="17">
        <f t="shared" si="18"/>
        <v>0.99906454630495789</v>
      </c>
      <c r="D57" s="17">
        <f t="shared" si="18"/>
        <v>1</v>
      </c>
      <c r="E57" s="17">
        <f t="shared" si="18"/>
        <v>0.99675558759913485</v>
      </c>
      <c r="F57" s="17">
        <f t="shared" si="18"/>
        <v>1</v>
      </c>
    </row>
    <row r="58" spans="1:7" x14ac:dyDescent="0.2">
      <c r="A58" s="108" t="s">
        <v>53</v>
      </c>
      <c r="B58" s="17">
        <f t="shared" si="18"/>
        <v>1.0002337267734018</v>
      </c>
      <c r="C58" s="17">
        <f t="shared" si="18"/>
        <v>0.9971910112359551</v>
      </c>
      <c r="D58" s="17">
        <f t="shared" si="18"/>
        <v>1</v>
      </c>
      <c r="E58" s="17">
        <f t="shared" si="18"/>
        <v>0.99674502712477397</v>
      </c>
      <c r="F58" s="17">
        <f t="shared" si="18"/>
        <v>1</v>
      </c>
    </row>
    <row r="59" spans="1:7" x14ac:dyDescent="0.2">
      <c r="A59" s="108" t="s">
        <v>72</v>
      </c>
      <c r="B59" s="17">
        <f t="shared" si="18"/>
        <v>1.0007010164738872</v>
      </c>
      <c r="C59" s="17">
        <f t="shared" si="18"/>
        <v>1.0056338028169014</v>
      </c>
      <c r="D59" s="17">
        <f t="shared" si="18"/>
        <v>1</v>
      </c>
      <c r="E59" s="17">
        <f t="shared" si="18"/>
        <v>1.0007256894049348</v>
      </c>
      <c r="F59" s="17">
        <f t="shared" si="18"/>
        <v>1</v>
      </c>
    </row>
    <row r="60" spans="1:7" x14ac:dyDescent="0.2">
      <c r="A60" s="3"/>
      <c r="B60" s="1"/>
      <c r="C60" s="1"/>
      <c r="D60" s="1"/>
      <c r="E60" s="1"/>
      <c r="F60" s="1"/>
    </row>
    <row r="61" spans="1:7" x14ac:dyDescent="0.2">
      <c r="A61" s="3" t="s">
        <v>117</v>
      </c>
      <c r="B61" s="17">
        <f>GEOMEAN(B54:B59)</f>
        <v>1.0004677818444978</v>
      </c>
      <c r="C61" s="17">
        <f>GEOMEAN(C54:C59)</f>
        <v>1.0015647115245625</v>
      </c>
      <c r="D61" s="17">
        <f t="shared" ref="D61:F61" si="19">GEOMEAN(D54:D59)</f>
        <v>1</v>
      </c>
      <c r="E61" s="17">
        <f>GEOMEAN(E54:E59)</f>
        <v>0.99873657023539852</v>
      </c>
      <c r="F61" s="17">
        <f t="shared" si="19"/>
        <v>1</v>
      </c>
    </row>
    <row r="62" spans="1:7" x14ac:dyDescent="0.2">
      <c r="B62"/>
      <c r="C62"/>
      <c r="D62"/>
      <c r="E62"/>
      <c r="F62"/>
    </row>
    <row r="63" spans="1:7" x14ac:dyDescent="0.2">
      <c r="A63" s="108" t="s">
        <v>68</v>
      </c>
      <c r="B63" s="110">
        <f>B47</f>
        <v>8544</v>
      </c>
      <c r="C63" s="110">
        <f t="shared" ref="C63:F63" si="20">C47</f>
        <v>1062</v>
      </c>
      <c r="D63" s="110">
        <f t="shared" si="20"/>
        <v>47</v>
      </c>
      <c r="E63" s="110">
        <f t="shared" si="20"/>
        <v>2776</v>
      </c>
      <c r="F63" s="110">
        <f t="shared" si="20"/>
        <v>1117</v>
      </c>
      <c r="G63" s="110">
        <f t="shared" ref="G63:G69" si="21">+B63+C63+D63+E63</f>
        <v>12429</v>
      </c>
    </row>
    <row r="64" spans="1:7" x14ac:dyDescent="0.2">
      <c r="A64" s="108" t="s">
        <v>69</v>
      </c>
      <c r="B64" s="110">
        <f t="shared" ref="B64:F68" si="22">B48</f>
        <v>8551</v>
      </c>
      <c r="C64" s="110">
        <f t="shared" si="22"/>
        <v>1063</v>
      </c>
      <c r="D64" s="110">
        <f t="shared" si="22"/>
        <v>47</v>
      </c>
      <c r="E64" s="110">
        <f t="shared" si="22"/>
        <v>2773</v>
      </c>
      <c r="F64" s="110">
        <f t="shared" si="22"/>
        <v>1117</v>
      </c>
      <c r="G64" s="110">
        <f t="shared" si="21"/>
        <v>12434</v>
      </c>
    </row>
    <row r="65" spans="1:7" x14ac:dyDescent="0.2">
      <c r="A65" s="108" t="s">
        <v>70</v>
      </c>
      <c r="B65" s="110">
        <f t="shared" si="22"/>
        <v>8549</v>
      </c>
      <c r="C65" s="110">
        <f t="shared" si="22"/>
        <v>1069</v>
      </c>
      <c r="D65" s="110">
        <f t="shared" si="22"/>
        <v>47</v>
      </c>
      <c r="E65" s="110">
        <f t="shared" si="22"/>
        <v>2774</v>
      </c>
      <c r="F65" s="110">
        <f t="shared" si="22"/>
        <v>1117</v>
      </c>
      <c r="G65" s="110">
        <f t="shared" si="21"/>
        <v>12439</v>
      </c>
    </row>
    <row r="66" spans="1:7" x14ac:dyDescent="0.2">
      <c r="A66" s="108" t="s">
        <v>71</v>
      </c>
      <c r="B66" s="110">
        <f t="shared" si="22"/>
        <v>8557</v>
      </c>
      <c r="C66" s="110">
        <f t="shared" si="22"/>
        <v>1068</v>
      </c>
      <c r="D66" s="110">
        <f t="shared" si="22"/>
        <v>47</v>
      </c>
      <c r="E66" s="110">
        <f t="shared" si="22"/>
        <v>2765</v>
      </c>
      <c r="F66" s="110">
        <f t="shared" si="22"/>
        <v>1117</v>
      </c>
      <c r="G66" s="110">
        <f t="shared" si="21"/>
        <v>12437</v>
      </c>
    </row>
    <row r="67" spans="1:7" x14ac:dyDescent="0.2">
      <c r="A67" s="108" t="s">
        <v>53</v>
      </c>
      <c r="B67" s="110">
        <f t="shared" si="22"/>
        <v>8559</v>
      </c>
      <c r="C67" s="110">
        <f t="shared" si="22"/>
        <v>1065</v>
      </c>
      <c r="D67" s="110">
        <f t="shared" si="22"/>
        <v>47</v>
      </c>
      <c r="E67" s="110">
        <f t="shared" si="22"/>
        <v>2756</v>
      </c>
      <c r="F67" s="110">
        <f t="shared" si="22"/>
        <v>1117</v>
      </c>
      <c r="G67" s="110">
        <f t="shared" si="21"/>
        <v>12427</v>
      </c>
    </row>
    <row r="68" spans="1:7" x14ac:dyDescent="0.2">
      <c r="A68" s="108" t="s">
        <v>72</v>
      </c>
      <c r="B68" s="110">
        <f t="shared" si="22"/>
        <v>8565</v>
      </c>
      <c r="C68" s="110">
        <f t="shared" si="22"/>
        <v>1071</v>
      </c>
      <c r="D68" s="110">
        <f t="shared" si="22"/>
        <v>47</v>
      </c>
      <c r="E68" s="110">
        <f t="shared" si="22"/>
        <v>2758</v>
      </c>
      <c r="F68" s="110">
        <f t="shared" si="22"/>
        <v>1117</v>
      </c>
      <c r="G68" s="110">
        <f t="shared" si="21"/>
        <v>12441</v>
      </c>
    </row>
    <row r="69" spans="1:7" x14ac:dyDescent="0.2">
      <c r="A69" s="108" t="s">
        <v>73</v>
      </c>
      <c r="B69" s="47">
        <f>B68*B$61</f>
        <v>8569.0065514981234</v>
      </c>
      <c r="C69" s="47">
        <f>C68*C$61</f>
        <v>1072.6758060428065</v>
      </c>
      <c r="D69" s="47">
        <f>D68*D$61</f>
        <v>47</v>
      </c>
      <c r="E69" s="47">
        <f>E68*E$61</f>
        <v>2754.515460709229</v>
      </c>
      <c r="F69" s="47">
        <f>F68*F$61</f>
        <v>1117</v>
      </c>
      <c r="G69" s="114">
        <f t="shared" si="21"/>
        <v>12443.197818250159</v>
      </c>
    </row>
    <row r="70" spans="1:7" x14ac:dyDescent="0.2">
      <c r="A70" s="108" t="s">
        <v>74</v>
      </c>
      <c r="B70" s="47">
        <f t="shared" ref="B70:F74" si="23">B69*B$61</f>
        <v>8573.0149771882971</v>
      </c>
      <c r="C70" s="47">
        <f t="shared" si="23"/>
        <v>1074.3542342386411</v>
      </c>
      <c r="D70" s="47">
        <f t="shared" si="23"/>
        <v>47</v>
      </c>
      <c r="E70" s="47">
        <f t="shared" si="23"/>
        <v>2751.0353238891139</v>
      </c>
      <c r="F70" s="47">
        <f t="shared" si="23"/>
        <v>1117</v>
      </c>
      <c r="G70" s="114">
        <f t="shared" ref="G70:G74" si="24">+B70+C70+D70+E70</f>
        <v>12445.404535316051</v>
      </c>
    </row>
    <row r="71" spans="1:7" x14ac:dyDescent="0.2">
      <c r="A71" s="108" t="s">
        <v>75</v>
      </c>
      <c r="B71" s="47">
        <f t="shared" si="23"/>
        <v>8577.0252779472339</v>
      </c>
      <c r="C71" s="47">
        <f t="shared" si="23"/>
        <v>1076.0352886904168</v>
      </c>
      <c r="D71" s="47">
        <f t="shared" si="23"/>
        <v>47</v>
      </c>
      <c r="E71" s="47">
        <f t="shared" si="23"/>
        <v>2747.5595839774423</v>
      </c>
      <c r="F71" s="47">
        <f t="shared" si="23"/>
        <v>1117</v>
      </c>
      <c r="G71" s="114">
        <f t="shared" si="24"/>
        <v>12447.620150615094</v>
      </c>
    </row>
    <row r="72" spans="1:7" x14ac:dyDescent="0.2">
      <c r="A72" s="108" t="s">
        <v>76</v>
      </c>
      <c r="B72" s="47">
        <f t="shared" si="23"/>
        <v>8581.0374546520561</v>
      </c>
      <c r="C72" s="47">
        <f t="shared" si="23"/>
        <v>1077.7189735074667</v>
      </c>
      <c r="D72" s="47">
        <f t="shared" si="23"/>
        <v>47</v>
      </c>
      <c r="E72" s="47">
        <f t="shared" si="23"/>
        <v>2744.0882354190294</v>
      </c>
      <c r="F72" s="47">
        <f t="shared" si="23"/>
        <v>1117</v>
      </c>
      <c r="G72" s="114">
        <f t="shared" si="24"/>
        <v>12449.844663578551</v>
      </c>
    </row>
    <row r="73" spans="1:7" x14ac:dyDescent="0.2">
      <c r="A73" s="108" t="s">
        <v>77</v>
      </c>
      <c r="B73" s="47">
        <f t="shared" si="23"/>
        <v>8585.0515081802987</v>
      </c>
      <c r="C73" s="47">
        <f t="shared" si="23"/>
        <v>1079.4052928055535</v>
      </c>
      <c r="D73" s="47">
        <f t="shared" si="23"/>
        <v>47</v>
      </c>
      <c r="E73" s="47">
        <f t="shared" si="23"/>
        <v>2740.6212726657081</v>
      </c>
      <c r="F73" s="47">
        <f t="shared" si="23"/>
        <v>1117</v>
      </c>
      <c r="G73" s="114">
        <f t="shared" si="24"/>
        <v>12452.078073651561</v>
      </c>
    </row>
    <row r="74" spans="1:7" x14ac:dyDescent="0.2">
      <c r="A74" s="108" t="s">
        <v>78</v>
      </c>
      <c r="B74" s="47">
        <f t="shared" si="23"/>
        <v>8589.0674394099042</v>
      </c>
      <c r="C74" s="47">
        <f t="shared" si="23"/>
        <v>1081.0942507068801</v>
      </c>
      <c r="D74" s="47">
        <f t="shared" si="23"/>
        <v>47</v>
      </c>
      <c r="E74" s="47">
        <f t="shared" si="23"/>
        <v>2737.1586901763221</v>
      </c>
      <c r="F74" s="47">
        <f t="shared" si="23"/>
        <v>1117</v>
      </c>
      <c r="G74" s="114">
        <f t="shared" si="24"/>
        <v>12454.320380293106</v>
      </c>
    </row>
    <row r="75" spans="1:7" x14ac:dyDescent="0.2">
      <c r="B75" s="1"/>
      <c r="C75" s="1"/>
      <c r="D75" s="1"/>
      <c r="E75" s="1"/>
      <c r="F75" s="1"/>
    </row>
    <row r="76" spans="1:7" x14ac:dyDescent="0.2">
      <c r="A76" s="108" t="s">
        <v>118</v>
      </c>
      <c r="B76" s="47">
        <f>AVERAGE(B63:B74)</f>
        <v>8566.6002674063275</v>
      </c>
      <c r="C76" s="47">
        <f t="shared" ref="C76:F76" si="25">AVERAGE(C63:C74)</f>
        <v>1071.6069871659804</v>
      </c>
      <c r="D76" s="47">
        <f t="shared" si="25"/>
        <v>47</v>
      </c>
      <c r="E76" s="47">
        <f t="shared" si="25"/>
        <v>2756.4148805697369</v>
      </c>
      <c r="F76" s="47">
        <f t="shared" si="25"/>
        <v>1117</v>
      </c>
    </row>
    <row r="77" spans="1:7" x14ac:dyDescent="0.2">
      <c r="B77"/>
      <c r="C77"/>
      <c r="D77"/>
      <c r="E77"/>
      <c r="F77"/>
    </row>
    <row r="78" spans="1:7" x14ac:dyDescent="0.2">
      <c r="B78"/>
      <c r="C78"/>
      <c r="D78"/>
      <c r="E78"/>
      <c r="F78"/>
    </row>
    <row r="79" spans="1:7" x14ac:dyDescent="0.2">
      <c r="B79"/>
      <c r="C79"/>
      <c r="D79"/>
      <c r="E79"/>
      <c r="F79"/>
    </row>
    <row r="80" spans="1:7" x14ac:dyDescent="0.2">
      <c r="B80"/>
      <c r="C80"/>
      <c r="D80"/>
      <c r="E80"/>
      <c r="F80"/>
    </row>
    <row r="81" customFormat="1" x14ac:dyDescent="0.2"/>
    <row r="82" customFormat="1" x14ac:dyDescent="0.2"/>
    <row r="83" customFormat="1" x14ac:dyDescent="0.2"/>
  </sheetData>
  <mergeCells count="1">
    <mergeCell ref="B1:F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L55"/>
  <sheetViews>
    <sheetView workbookViewId="0">
      <selection activeCell="B43" sqref="B43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4" width="13.42578125" customWidth="1"/>
    <col min="5" max="5" width="13" customWidth="1"/>
    <col min="6" max="6" width="13.42578125" customWidth="1"/>
    <col min="7" max="7" width="12.5703125" bestFit="1" customWidth="1"/>
    <col min="9" max="9" width="12.42578125" style="6" bestFit="1" customWidth="1"/>
    <col min="10" max="10" width="13.42578125" bestFit="1" customWidth="1"/>
    <col min="11" max="12" width="9.140625" style="6" customWidth="1"/>
  </cols>
  <sheetData>
    <row r="1" spans="1:9" x14ac:dyDescent="0.2">
      <c r="B1" s="8" t="str">
        <f>'Rate Class Customer Model'!D2</f>
        <v>R2 GS&gt;50 kW</v>
      </c>
      <c r="C1" s="8" t="str">
        <f>'Rate Class Energy Model'!L2</f>
        <v>Street Lights</v>
      </c>
      <c r="D1" s="54" t="s">
        <v>7</v>
      </c>
      <c r="I1" s="8"/>
    </row>
    <row r="2" spans="1:9" x14ac:dyDescent="0.2">
      <c r="A2" s="22">
        <f>+'Rate Class Customer Model'!A3</f>
        <v>2014</v>
      </c>
      <c r="B2" s="40">
        <v>114858.11799999999</v>
      </c>
      <c r="C2" s="82">
        <v>2227</v>
      </c>
      <c r="D2" s="51">
        <f t="shared" ref="D2:D13" si="0">SUM(B2:C2)</f>
        <v>117085.11799999999</v>
      </c>
    </row>
    <row r="3" spans="1:9" x14ac:dyDescent="0.2">
      <c r="A3" s="22">
        <f>+'Rate Class Customer Model'!A4</f>
        <v>2015</v>
      </c>
      <c r="B3" s="40">
        <v>116152.19200000001</v>
      </c>
      <c r="C3" s="82">
        <v>2128</v>
      </c>
      <c r="D3" s="51">
        <f t="shared" si="0"/>
        <v>118280.19200000001</v>
      </c>
      <c r="I3" s="41"/>
    </row>
    <row r="4" spans="1:9" x14ac:dyDescent="0.2">
      <c r="A4" s="22">
        <f>+'Rate Class Customer Model'!A5</f>
        <v>2016</v>
      </c>
      <c r="B4" s="40">
        <v>122061.651</v>
      </c>
      <c r="C4" s="82">
        <v>1623</v>
      </c>
      <c r="D4" s="51">
        <f t="shared" si="0"/>
        <v>123684.651</v>
      </c>
      <c r="I4" s="41"/>
    </row>
    <row r="5" spans="1:9" x14ac:dyDescent="0.2">
      <c r="A5" s="22">
        <f>+'Rate Class Customer Model'!A6</f>
        <v>2017</v>
      </c>
      <c r="B5" s="40">
        <v>110211.573</v>
      </c>
      <c r="C5" s="82">
        <v>1619</v>
      </c>
      <c r="D5" s="51">
        <f t="shared" si="0"/>
        <v>111830.573</v>
      </c>
      <c r="I5" s="41"/>
    </row>
    <row r="6" spans="1:9" x14ac:dyDescent="0.2">
      <c r="A6" s="22">
        <f>+'Rate Class Customer Model'!A7</f>
        <v>2018</v>
      </c>
      <c r="B6" s="40">
        <v>118785.50000000001</v>
      </c>
      <c r="C6" s="82">
        <v>1580.78</v>
      </c>
      <c r="D6" s="51">
        <f t="shared" si="0"/>
        <v>120366.28000000001</v>
      </c>
      <c r="I6" s="41"/>
    </row>
    <row r="7" spans="1:9" x14ac:dyDescent="0.2">
      <c r="A7" s="22">
        <f>+'Rate Class Customer Model'!A8</f>
        <v>2019</v>
      </c>
      <c r="B7" s="40">
        <v>116849.88000000005</v>
      </c>
      <c r="C7" s="82">
        <v>1574</v>
      </c>
      <c r="D7" s="51">
        <f t="shared" si="0"/>
        <v>118423.88000000005</v>
      </c>
      <c r="I7" s="41"/>
    </row>
    <row r="8" spans="1:9" x14ac:dyDescent="0.2">
      <c r="A8" s="22">
        <f>+'Rate Class Customer Model'!A9</f>
        <v>2020</v>
      </c>
      <c r="B8" s="40">
        <v>101786.54000000004</v>
      </c>
      <c r="C8" s="82">
        <v>1635.91</v>
      </c>
      <c r="D8" s="51">
        <f t="shared" si="0"/>
        <v>103422.45000000004</v>
      </c>
    </row>
    <row r="9" spans="1:9" x14ac:dyDescent="0.2">
      <c r="A9" s="22">
        <f>+'Rate Class Customer Model'!A10</f>
        <v>2021</v>
      </c>
      <c r="B9" s="40">
        <v>110572.30400000003</v>
      </c>
      <c r="C9" s="82">
        <v>1593.23</v>
      </c>
      <c r="D9" s="51">
        <f t="shared" si="0"/>
        <v>112165.53400000003</v>
      </c>
    </row>
    <row r="10" spans="1:9" x14ac:dyDescent="0.2">
      <c r="A10" s="22">
        <f>+'Rate Class Customer Model'!A11</f>
        <v>2022</v>
      </c>
      <c r="B10" s="40">
        <v>115562.70999999988</v>
      </c>
      <c r="C10" s="82">
        <v>1705.9</v>
      </c>
      <c r="D10" s="51">
        <f t="shared" si="0"/>
        <v>117268.60999999987</v>
      </c>
    </row>
    <row r="11" spans="1:9" x14ac:dyDescent="0.2">
      <c r="A11" s="22">
        <f>+'Rate Class Customer Model'!A12</f>
        <v>2023</v>
      </c>
      <c r="B11" s="40">
        <v>121978.74000000002</v>
      </c>
      <c r="C11" s="40">
        <v>1505</v>
      </c>
      <c r="D11" s="51">
        <f t="shared" si="0"/>
        <v>123483.74000000002</v>
      </c>
    </row>
    <row r="12" spans="1:9" x14ac:dyDescent="0.2">
      <c r="A12" s="22">
        <f>+'Rate Class Customer Model'!A13</f>
        <v>2024</v>
      </c>
      <c r="B12" s="23">
        <f>$B$27*'Rate Class Energy Model'!J32</f>
        <v>118250.43786564005</v>
      </c>
      <c r="C12" s="23">
        <f>$C$27*'Rate Class Energy Model'!L32</f>
        <v>1481.3733740889902</v>
      </c>
      <c r="D12" s="51">
        <f t="shared" si="0"/>
        <v>119731.81123972904</v>
      </c>
    </row>
    <row r="13" spans="1:9" x14ac:dyDescent="0.2">
      <c r="A13" s="22">
        <f>+'Rate Class Customer Model'!A14</f>
        <v>2025</v>
      </c>
      <c r="B13" s="86">
        <f>$B$27*('Rate Class Energy Model'!J33-'Rate Class Energy Model'!J44)+B31</f>
        <v>345622.504099724</v>
      </c>
      <c r="C13" s="23">
        <f>$C$27*'Rate Class Energy Model'!L33</f>
        <v>1497.2920038616603</v>
      </c>
      <c r="D13" s="51">
        <f t="shared" si="0"/>
        <v>347119.79610358569</v>
      </c>
    </row>
    <row r="14" spans="1:9" x14ac:dyDescent="0.2">
      <c r="A14" s="14" t="s">
        <v>102</v>
      </c>
      <c r="B14" s="6">
        <f>B13-B31</f>
        <v>116245.55197890848</v>
      </c>
    </row>
    <row r="15" spans="1:9" x14ac:dyDescent="0.2">
      <c r="A15" s="14" t="s">
        <v>51</v>
      </c>
      <c r="B15" s="5"/>
      <c r="C15" s="5"/>
      <c r="D15" s="6"/>
    </row>
    <row r="16" spans="1:9" x14ac:dyDescent="0.2">
      <c r="A16" s="22">
        <f t="shared" ref="A16:A25" si="1">+A2</f>
        <v>2014</v>
      </c>
      <c r="B16" s="55">
        <f>B2/'Rate Class Energy Model'!J3</f>
        <v>3.1455152794470516E-3</v>
      </c>
      <c r="C16" s="55">
        <f>C2/'Rate Class Energy Model'!L3</f>
        <v>2.8651610440507897E-3</v>
      </c>
      <c r="I16" s="20"/>
    </row>
    <row r="17" spans="1:9" x14ac:dyDescent="0.2">
      <c r="A17" s="22">
        <f t="shared" si="1"/>
        <v>2015</v>
      </c>
      <c r="B17" s="55">
        <f>B3/'Rate Class Energy Model'!J4</f>
        <v>3.2880950662828243E-3</v>
      </c>
      <c r="C17" s="55">
        <f>C3/'Rate Class Energy Model'!L4</f>
        <v>2.8652357632588175E-3</v>
      </c>
      <c r="I17" s="20"/>
    </row>
    <row r="18" spans="1:9" x14ac:dyDescent="0.2">
      <c r="A18" s="22">
        <f t="shared" si="1"/>
        <v>2016</v>
      </c>
      <c r="B18" s="55">
        <f>B4/'Rate Class Energy Model'!J5</f>
        <v>3.3998482389106504E-3</v>
      </c>
      <c r="C18" s="55">
        <f>C4/'Rate Class Energy Model'!L5</f>
        <v>2.7763740999022539E-3</v>
      </c>
      <c r="I18" s="20"/>
    </row>
    <row r="19" spans="1:9" x14ac:dyDescent="0.2">
      <c r="A19" s="22">
        <f t="shared" si="1"/>
        <v>2017</v>
      </c>
      <c r="B19" s="55">
        <f>B5/'Rate Class Energy Model'!J6</f>
        <v>3.148965730810228E-3</v>
      </c>
      <c r="C19" s="55">
        <f>C5/'Rate Class Energy Model'!L6</f>
        <v>2.7792240385884704E-3</v>
      </c>
      <c r="I19" s="20"/>
    </row>
    <row r="20" spans="1:9" x14ac:dyDescent="0.2">
      <c r="A20" s="22">
        <f t="shared" si="1"/>
        <v>2018</v>
      </c>
      <c r="B20" s="55">
        <f>B6/'Rate Class Energy Model'!J7</f>
        <v>3.1464728347081459E-3</v>
      </c>
      <c r="C20" s="55">
        <f>C6/'Rate Class Energy Model'!L7</f>
        <v>2.7391928913163637E-3</v>
      </c>
      <c r="I20" s="20"/>
    </row>
    <row r="21" spans="1:9" x14ac:dyDescent="0.2">
      <c r="A21" s="22">
        <f t="shared" si="1"/>
        <v>2019</v>
      </c>
      <c r="B21" s="55">
        <f>B7/'Rate Class Energy Model'!J8</f>
        <v>3.1438416111728962E-3</v>
      </c>
      <c r="C21" s="55">
        <f>C7/'Rate Class Energy Model'!L8</f>
        <v>2.7802801476692627E-3</v>
      </c>
      <c r="I21" s="20"/>
    </row>
    <row r="22" spans="1:9" x14ac:dyDescent="0.2">
      <c r="A22" s="22">
        <f t="shared" si="1"/>
        <v>2020</v>
      </c>
      <c r="B22" s="55">
        <f>B8/'Rate Class Energy Model'!J9</f>
        <v>3.6582926627285782E-3</v>
      </c>
      <c r="C22" s="55">
        <f>C8/'Rate Class Energy Model'!L9</f>
        <v>2.7606470057060443E-3</v>
      </c>
      <c r="I22" s="20"/>
    </row>
    <row r="23" spans="1:9" x14ac:dyDescent="0.2">
      <c r="A23" s="22">
        <f t="shared" si="1"/>
        <v>2021</v>
      </c>
      <c r="B23" s="55">
        <f>B9/'Rate Class Energy Model'!J10</f>
        <v>3.5074450988616876E-3</v>
      </c>
      <c r="C23" s="55">
        <f>C9/'Rate Class Energy Model'!L10</f>
        <v>2.6815007032663647E-3</v>
      </c>
      <c r="I23" s="20"/>
    </row>
    <row r="24" spans="1:9" x14ac:dyDescent="0.2">
      <c r="A24" s="22">
        <f t="shared" si="1"/>
        <v>2022</v>
      </c>
      <c r="B24" s="55">
        <f>B10/'Rate Class Energy Model'!J11</f>
        <v>3.3409220705783037E-3</v>
      </c>
      <c r="C24" s="55">
        <f>C10/'Rate Class Energy Model'!L11</f>
        <v>2.8768502680298954E-3</v>
      </c>
      <c r="I24" s="20"/>
    </row>
    <row r="25" spans="1:9" x14ac:dyDescent="0.2">
      <c r="A25" s="22">
        <f t="shared" si="1"/>
        <v>2023</v>
      </c>
      <c r="B25" s="55">
        <f>B11/'Rate Class Energy Model'!J12</f>
        <v>3.449501292064807E-3</v>
      </c>
      <c r="C25" s="55">
        <f>C11/'Rate Class Energy Model'!L12</f>
        <v>2.8006982205796421E-3</v>
      </c>
      <c r="I25" s="20"/>
    </row>
    <row r="27" spans="1:9" x14ac:dyDescent="0.2">
      <c r="A27" s="44" t="s">
        <v>50</v>
      </c>
      <c r="B27" s="20">
        <f>B29</f>
        <v>3.3228899885565169E-3</v>
      </c>
      <c r="C27" s="20">
        <f>C29</f>
        <v>2.7925164182367908E-3</v>
      </c>
    </row>
    <row r="29" spans="1:9" x14ac:dyDescent="0.2">
      <c r="A29" t="s">
        <v>9</v>
      </c>
      <c r="B29" s="20">
        <f>AVERAGE(B16:B25)</f>
        <v>3.3228899885565169E-3</v>
      </c>
      <c r="C29" s="20">
        <f>AVERAGE(C16:C25)</f>
        <v>2.7925164182367908E-3</v>
      </c>
      <c r="H29" s="20"/>
      <c r="I29" s="20"/>
    </row>
    <row r="31" spans="1:9" x14ac:dyDescent="0.2">
      <c r="A31" s="44" t="s">
        <v>92</v>
      </c>
      <c r="B31" s="85">
        <v>229376.95212081552</v>
      </c>
    </row>
    <row r="34" spans="2:3" x14ac:dyDescent="0.2">
      <c r="B34" s="19"/>
      <c r="C34" s="19"/>
    </row>
    <row r="35" spans="2:3" x14ac:dyDescent="0.2">
      <c r="B35" s="19"/>
      <c r="C35" s="19"/>
    </row>
    <row r="54" spans="2:3" x14ac:dyDescent="0.2">
      <c r="B54" s="13"/>
      <c r="C54" s="13"/>
    </row>
    <row r="55" spans="2:3" x14ac:dyDescent="0.2">
      <c r="B55" s="13"/>
      <c r="C55" s="13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c231c5-bbaa-4cc2-83a6-63d57c14ec1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AFCB0D3BFDC4D8B654B7386CC6DD4" ma:contentTypeVersion="8" ma:contentTypeDescription="Create a new document." ma:contentTypeScope="" ma:versionID="f365d70fda3d29e572cba3d9ee9cdf59">
  <xsd:schema xmlns:xsd="http://www.w3.org/2001/XMLSchema" xmlns:xs="http://www.w3.org/2001/XMLSchema" xmlns:p="http://schemas.microsoft.com/office/2006/metadata/properties" xmlns:ns3="de606500-4634-4b3c-8b54-584db031cd0a" xmlns:ns4="6cc231c5-bbaa-4cc2-83a6-63d57c14ec1d" targetNamespace="http://schemas.microsoft.com/office/2006/metadata/properties" ma:root="true" ma:fieldsID="b42d9a8b48f57333b5159cacfda12e2a" ns3:_="" ns4:_="">
    <xsd:import namespace="de606500-4634-4b3c-8b54-584db031cd0a"/>
    <xsd:import namespace="6cc231c5-bbaa-4cc2-83a6-63d57c14ec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06500-4634-4b3c-8b54-584db031cd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231c5-bbaa-4cc2-83a6-63d57c14e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DA762-4D17-4EC8-B320-2E70B337B5EB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6cc231c5-bbaa-4cc2-83a6-63d57c14ec1d"/>
    <ds:schemaRef ds:uri="de606500-4634-4b3c-8b54-584db031cd0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EAC7DD-65E4-4046-B48D-D2224FA20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06500-4634-4b3c-8b54-584db031cd0a"/>
    <ds:schemaRef ds:uri="6cc231c5-bbaa-4cc2-83a6-63d57c14e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82609-17B8-4872-A98B-5C307DBA4B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Load Forecast Summary</vt:lpstr>
      <vt:lpstr>Power Purchased Model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'Rate Class Customer Model'!Print_Area</vt:lpstr>
      <vt:lpstr>'Rate Class Load Model'!Print_Area</vt:lpstr>
      <vt:lpstr>'Power Purchased Model'!Print_Titles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2024-10-23T16:44:46Z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0x010100F0CAFCB0D3BFDC4D8B654B7386CC6DD4</vt:lpwstr>
  </property>
</Properties>
</file>