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/>
  <mc:AlternateContent xmlns:mc="http://schemas.openxmlformats.org/markup-compatibility/2006">
    <mc:Choice Requires="x15">
      <x15ac:absPath xmlns:x15ac="http://schemas.microsoft.com/office/spreadsheetml/2010/11/ac" url="O:\2025 CoS Application\Application Submission - COS Models\"/>
    </mc:Choice>
  </mc:AlternateContent>
  <xr:revisionPtr revIDLastSave="0" documentId="13_ncr:1_{E9521B16-6341-4760-8763-F8A52B571D5E}" xr6:coauthVersionLast="47" xr6:coauthVersionMax="47" xr10:uidLastSave="{00000000-0000-0000-0000-000000000000}"/>
  <bookViews>
    <workbookView xWindow="28680" yWindow="1815" windowWidth="29040" windowHeight="176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2" i="4" l="1"/>
  <c r="K122" i="4" l="1"/>
  <c r="J14" i="4" l="1"/>
  <c r="K15" i="4" l="1"/>
  <c r="L15" i="4" s="1"/>
  <c r="K16" i="4"/>
  <c r="L16" i="4" s="1"/>
  <c r="J16" i="4"/>
  <c r="H64" i="4" l="1"/>
  <c r="H121" i="4"/>
  <c r="H120" i="4"/>
  <c r="H119" i="4"/>
  <c r="H118" i="4"/>
  <c r="G5" i="1" l="1"/>
  <c r="F136" i="1" l="1"/>
  <c r="F139" i="1"/>
  <c r="F135" i="1"/>
  <c r="F134" i="1"/>
  <c r="H6" i="4"/>
  <c r="I6" i="4" s="1"/>
  <c r="J6" i="4" s="1"/>
  <c r="K6" i="4" s="1"/>
  <c r="L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L22" i="4" s="1"/>
  <c r="M110" i="1" s="1"/>
  <c r="L21" i="4"/>
  <c r="L20" i="4"/>
  <c r="G121" i="4"/>
  <c r="G36" i="4" s="1"/>
  <c r="G122" i="4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H111" i="4" s="1"/>
  <c r="I111" i="4" s="1"/>
  <c r="M111" i="4" s="1"/>
  <c r="G112" i="4"/>
  <c r="G113" i="4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143" i="1" s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97" i="1"/>
  <c r="H155" i="1" s="1"/>
  <c r="H209" i="1" s="1"/>
  <c r="H213" i="1" s="1"/>
  <c r="I91" i="4"/>
  <c r="I109" i="4"/>
  <c r="H78" i="4"/>
  <c r="H115" i="4" s="1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143" i="1" s="1"/>
  <c r="I96" i="1"/>
  <c r="I92" i="1"/>
  <c r="I114" i="1" s="1"/>
  <c r="I112" i="1"/>
  <c r="J112" i="1" s="1"/>
  <c r="K112" i="1" s="1"/>
  <c r="L112" i="1" s="1"/>
  <c r="I97" i="1"/>
  <c r="H113" i="1"/>
  <c r="H129" i="1" l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143" i="1" s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I130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143" i="1" s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H218" i="1"/>
  <c r="H211" i="1"/>
  <c r="I136" i="1"/>
  <c r="I137" i="1" s="1"/>
  <c r="J115" i="4" l="1"/>
  <c r="J29" i="4" s="1"/>
  <c r="K64" i="4"/>
  <c r="M114" i="4"/>
  <c r="L114" i="4"/>
  <c r="K120" i="4"/>
  <c r="K78" i="4"/>
  <c r="L109" i="4"/>
  <c r="M109" i="4"/>
  <c r="M86" i="4"/>
  <c r="L86" i="4"/>
  <c r="K121" i="4"/>
  <c r="K118" i="4"/>
  <c r="L112" i="4"/>
  <c r="M112" i="4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143" i="1" s="1"/>
  <c r="M143" i="1" s="1"/>
  <c r="L99" i="1"/>
  <c r="K130" i="1"/>
  <c r="K113" i="1"/>
  <c r="K139" i="1" s="1"/>
  <c r="I156" i="1"/>
  <c r="I220" i="1" s="1"/>
  <c r="J153" i="1"/>
  <c r="J207" i="1" s="1"/>
  <c r="J128" i="1"/>
  <c r="J157" i="1" s="1"/>
  <c r="J221" i="1" s="1"/>
  <c r="J116" i="1"/>
  <c r="I247" i="1"/>
  <c r="I152" i="1"/>
  <c r="I206" i="1" s="1"/>
  <c r="K129" i="1"/>
  <c r="K155" i="1"/>
  <c r="K209" i="1" s="1"/>
  <c r="K213" i="1" s="1"/>
  <c r="I211" i="1"/>
  <c r="I218" i="1"/>
  <c r="J136" i="1"/>
  <c r="J137" i="1" s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6" i="1"/>
  <c r="I214" i="1"/>
  <c r="I210" i="1"/>
  <c r="J156" i="1"/>
  <c r="J220" i="1" s="1"/>
  <c r="K153" i="1"/>
  <c r="K207" i="1" s="1"/>
  <c r="K128" i="1"/>
  <c r="K157" i="1" s="1"/>
  <c r="K221" i="1" s="1"/>
  <c r="L115" i="4" l="1"/>
  <c r="L29" i="4" s="1"/>
  <c r="L31" i="4" s="1"/>
  <c r="L89" i="1" s="1"/>
  <c r="L107" i="1" s="1"/>
  <c r="M120" i="4"/>
  <c r="M78" i="4"/>
  <c r="M64" i="4"/>
  <c r="M115" i="4" s="1"/>
  <c r="M121" i="4"/>
  <c r="M118" i="4"/>
  <c r="K31" i="4"/>
  <c r="K89" i="1" s="1"/>
  <c r="K107" i="1" s="1"/>
  <c r="L137" i="1"/>
  <c r="J119" i="1"/>
  <c r="J121" i="1" s="1"/>
  <c r="K156" i="1"/>
  <c r="K220" i="1" s="1"/>
  <c r="K118" i="1"/>
  <c r="L211" i="1"/>
  <c r="L218" i="1"/>
  <c r="I256" i="1"/>
  <c r="H10" i="5"/>
  <c r="K211" i="1"/>
  <c r="K218" i="1"/>
  <c r="K247" i="1"/>
  <c r="K152" i="1"/>
  <c r="K206" i="1" s="1"/>
  <c r="J216" i="1"/>
  <c r="J214" i="1"/>
  <c r="J210" i="1"/>
  <c r="M29" i="4" l="1"/>
  <c r="M31" i="4" s="1"/>
  <c r="M89" i="1" s="1"/>
  <c r="L156" i="1"/>
  <c r="L220" i="1" s="1"/>
  <c r="M156" i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I242" i="1"/>
  <c r="J178" i="1"/>
  <c r="I172" i="1"/>
  <c r="H239" i="1"/>
  <c r="I175" i="1"/>
  <c r="I234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J242" i="1"/>
  <c r="I226" i="1"/>
  <c r="J162" i="1"/>
  <c r="J169" i="1"/>
  <c r="J168" i="1"/>
  <c r="I232" i="1"/>
  <c r="J176" i="1"/>
  <c r="J234" i="1"/>
  <c r="K170" i="1"/>
  <c r="J172" i="1"/>
  <c r="I230" i="1"/>
  <c r="J166" i="1"/>
  <c r="J179" i="1"/>
  <c r="I243" i="1"/>
  <c r="I228" i="1"/>
  <c r="J164" i="1"/>
  <c r="J174" i="1"/>
  <c r="I241" i="1"/>
  <c r="J177" i="1"/>
  <c r="I239" i="1"/>
  <c r="J175" i="1"/>
  <c r="J163" i="1"/>
  <c r="I227" i="1"/>
  <c r="I235" i="1"/>
  <c r="J171" i="1"/>
  <c r="J237" i="1" l="1"/>
  <c r="L231" i="1"/>
  <c r="M167" i="1"/>
  <c r="K174" i="1"/>
  <c r="K164" i="1"/>
  <c r="J228" i="1"/>
  <c r="L170" i="1"/>
  <c r="K234" i="1"/>
  <c r="K169" i="1"/>
  <c r="K171" i="1"/>
  <c r="J235" i="1"/>
  <c r="K163" i="1"/>
  <c r="J227" i="1"/>
  <c r="K175" i="1"/>
  <c r="J239" i="1"/>
  <c r="K176" i="1"/>
  <c r="K237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41" i="1"/>
  <c r="M235" i="1"/>
  <c r="M245" i="1" l="1"/>
  <c r="M246" i="1" s="1"/>
  <c r="M248" i="1" s="1"/>
  <c r="M257" i="1" s="1"/>
  <c r="M258" i="1" s="1"/>
  <c r="M259" i="1" s="1"/>
  <c r="M261" i="1" l="1"/>
  <c r="H98" i="1" l="1"/>
  <c r="H130" i="1" s="1"/>
  <c r="H131" i="1" s="1"/>
  <c r="I131" i="1" l="1"/>
  <c r="H154" i="1"/>
  <c r="H208" i="1" s="1"/>
  <c r="H219" i="1" l="1"/>
  <c r="H240" i="1" s="1"/>
  <c r="H215" i="1"/>
  <c r="H236" i="1" s="1"/>
  <c r="H212" i="1"/>
  <c r="H233" i="1" s="1"/>
  <c r="H217" i="1"/>
  <c r="H238" i="1" s="1"/>
  <c r="H229" i="1"/>
  <c r="J131" i="1"/>
  <c r="I154" i="1"/>
  <c r="I208" i="1" s="1"/>
  <c r="H245" i="1" l="1"/>
  <c r="H246" i="1" s="1"/>
  <c r="H248" i="1" s="1"/>
  <c r="H257" i="1" s="1"/>
  <c r="H258" i="1" s="1"/>
  <c r="H259" i="1" s="1"/>
  <c r="I215" i="1"/>
  <c r="I236" i="1" s="1"/>
  <c r="I219" i="1"/>
  <c r="I240" i="1" s="1"/>
  <c r="I212" i="1"/>
  <c r="I233" i="1" s="1"/>
  <c r="I217" i="1"/>
  <c r="I238" i="1" s="1"/>
  <c r="I229" i="1"/>
  <c r="J154" i="1"/>
  <c r="J208" i="1" s="1"/>
  <c r="K131" i="1"/>
  <c r="G12" i="5"/>
  <c r="H261" i="1" l="1"/>
  <c r="I245" i="1"/>
  <c r="I246" i="1" s="1"/>
  <c r="I248" i="1" s="1"/>
  <c r="I257" i="1" s="1"/>
  <c r="I258" i="1" s="1"/>
  <c r="I259" i="1" s="1"/>
  <c r="K154" i="1"/>
  <c r="K208" i="1" s="1"/>
  <c r="L131" i="1"/>
  <c r="G14" i="5"/>
  <c r="G16" i="5"/>
  <c r="J212" i="1"/>
  <c r="J233" i="1" s="1"/>
  <c r="J217" i="1"/>
  <c r="J238" i="1" s="1"/>
  <c r="J229" i="1"/>
  <c r="J215" i="1"/>
  <c r="J236" i="1" s="1"/>
  <c r="J219" i="1"/>
  <c r="J240" i="1" s="1"/>
  <c r="J245" i="1" l="1"/>
  <c r="J246" i="1" s="1"/>
  <c r="J248" i="1" s="1"/>
  <c r="J257" i="1" s="1"/>
  <c r="I12" i="5" s="1"/>
  <c r="I10" i="5" s="1"/>
  <c r="I14" i="5" s="1"/>
  <c r="I16" i="5" s="1"/>
  <c r="H12" i="5"/>
  <c r="H14" i="5" s="1"/>
  <c r="I261" i="1"/>
  <c r="G22" i="5"/>
  <c r="L154" i="1"/>
  <c r="L208" i="1" s="1"/>
  <c r="M131" i="1"/>
  <c r="M154" i="1" s="1"/>
  <c r="M208" i="1" s="1"/>
  <c r="K212" i="1"/>
  <c r="K233" i="1" s="1"/>
  <c r="K217" i="1"/>
  <c r="K238" i="1" s="1"/>
  <c r="K229" i="1"/>
  <c r="K215" i="1"/>
  <c r="K236" i="1" s="1"/>
  <c r="K219" i="1"/>
  <c r="K240" i="1" s="1"/>
  <c r="J261" i="1" l="1"/>
  <c r="J258" i="1"/>
  <c r="J259" i="1" s="1"/>
  <c r="K245" i="1"/>
  <c r="K246" i="1" s="1"/>
  <c r="K248" i="1" s="1"/>
  <c r="K257" i="1" s="1"/>
  <c r="J12" i="5" s="1"/>
  <c r="J10" i="5" s="1"/>
  <c r="J14" i="5" s="1"/>
  <c r="J16" i="5" s="1"/>
  <c r="I22" i="5"/>
  <c r="H16" i="5"/>
  <c r="H22" i="5" s="1"/>
  <c r="L212" i="1"/>
  <c r="L233" i="1" s="1"/>
  <c r="L229" i="1"/>
  <c r="L217" i="1"/>
  <c r="L238" i="1" s="1"/>
  <c r="L215" i="1"/>
  <c r="L236" i="1" s="1"/>
  <c r="L219" i="1"/>
  <c r="L240" i="1" s="1"/>
  <c r="M212" i="1"/>
  <c r="M233" i="1" s="1"/>
  <c r="M217" i="1"/>
  <c r="M238" i="1" s="1"/>
  <c r="M229" i="1"/>
  <c r="M215" i="1"/>
  <c r="M236" i="1" s="1"/>
  <c r="M219" i="1"/>
  <c r="M240" i="1" s="1"/>
  <c r="H18" i="5" l="1"/>
  <c r="H24" i="5" s="1"/>
  <c r="I18" i="5"/>
  <c r="I24" i="5" s="1"/>
  <c r="K258" i="1"/>
  <c r="K259" i="1" s="1"/>
  <c r="K261" i="1"/>
  <c r="L245" i="1"/>
  <c r="L246" i="1" s="1"/>
  <c r="L248" i="1" s="1"/>
  <c r="L257" i="1" s="1"/>
  <c r="L258" i="1" s="1"/>
  <c r="L259" i="1" s="1"/>
  <c r="J18" i="5"/>
  <c r="J24" i="5" s="1"/>
  <c r="J22" i="5"/>
  <c r="K12" i="5" l="1"/>
  <c r="K10" i="5" s="1"/>
  <c r="K14" i="5" s="1"/>
  <c r="K16" i="5" s="1"/>
  <c r="K18" i="5" s="1"/>
  <c r="K24" i="5" s="1"/>
  <c r="L261" i="1"/>
  <c r="K22" i="5" l="1"/>
</calcChain>
</file>

<file path=xl/sharedStrings.xml><?xml version="1.0" encoding="utf-8"?>
<sst xmlns="http://schemas.openxmlformats.org/spreadsheetml/2006/main" count="515" uniqueCount="269">
  <si>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</si>
  <si>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</si>
  <si>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</si>
  <si>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</si>
  <si>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</si>
  <si>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</si>
  <si>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</si>
  <si>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</si>
  <si>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</si>
  <si>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</si>
  <si>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</si>
  <si>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</si>
  <si>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</si>
  <si>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</si>
  <si>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</si>
  <si>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</si>
  <si>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</si>
  <si>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</si>
  <si>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</si>
  <si>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</si>
  <si>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</si>
  <si>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</si>
  <si>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</si>
  <si>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</si>
  <si>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</si>
  <si>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</si>
  <si>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</si>
  <si>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</si>
  <si>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</si>
  <si>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</si>
  <si>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</si>
  <si>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</si>
  <si>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</si>
  <si>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</si>
  <si>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</si>
  <si>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</si>
  <si>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</si>
  <si>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</si>
  <si>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</si>
  <si>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</si>
  <si>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</si>
  <si>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</si>
  <si>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</si>
  <si>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</si>
  <si>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</si>
  <si>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</si>
  <si>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</si>
  <si>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</si>
  <si>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</si>
  <si>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</si>
  <si>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</si>
  <si>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</si>
  <si>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</si>
  <si>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</si>
  <si>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</si>
  <si>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</si>
  <si>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</si>
  <si>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</si>
  <si>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</si>
  <si>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</si>
  <si>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</si>
  <si>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</si>
  <si>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</si>
  <si>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</si>
  <si>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</si>
  <si>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</si>
  <si>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</si>
  <si>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</si>
  <si>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</si>
  <si>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</si>
  <si>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</si>
  <si>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</si>
  <si>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</si>
  <si>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</si>
  <si>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</si>
  <si>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</si>
  <si>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</si>
  <si>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</si>
  <si>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</si>
  <si>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</si>
  <si>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</si>
  <si>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</si>
  <si>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</si>
  <si>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</si>
  <si>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</si>
  <si>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</si>
  <si>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</si>
  <si>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</si>
  <si>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</si>
  <si>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</si>
  <si>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</si>
  <si>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</si>
  <si>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</si>
  <si>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</si>
  <si>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</si>
  <si>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</si>
  <si>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</si>
  <si>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</si>
  <si>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</si>
  <si>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</si>
  <si>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</si>
  <si>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</si>
  <si>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</si>
  <si>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</si>
  <si>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</si>
  <si>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</si>
  <si>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</si>
  <si>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</si>
  <si>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</si>
  <si>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</si>
  <si>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</si>
  <si>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</si>
  <si>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</si>
  <si>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</si>
  <si>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</si>
  <si>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</si>
  <si>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</si>
  <si>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</si>
  <si>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</si>
  <si>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</si>
  <si>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</si>
  <si>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</si>
  <si>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</si>
  <si>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</si>
  <si>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</si>
  <si>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</si>
  <si>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</si>
  <si>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</si>
  <si>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</si>
  <si>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</si>
  <si>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</si>
  <si>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</si>
  <si>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</si>
  <si>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</si>
  <si>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</si>
  <si>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</si>
  <si>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</si>
  <si>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</si>
  <si>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</si>
  <si>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</si>
  <si>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</si>
  <si>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</si>
  <si>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</si>
  <si>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</si>
  <si>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</si>
  <si>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</si>
  <si>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</si>
  <si>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</si>
  <si>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</si>
  <si>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</si>
  <si>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</si>
  <si>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</si>
  <si>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</si>
  <si>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</si>
  <si>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</si>
  <si>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</si>
  <si>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</si>
  <si>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</si>
  <si>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</si>
  <si>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</si>
  <si>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</si>
  <si>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</si>
  <si>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</si>
  <si>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</si>
  <si>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</si>
  <si>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</si>
  <si>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</si>
  <si>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</si>
  <si>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</si>
  <si>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</si>
  <si>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</si>
  <si>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</si>
  <si>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</si>
  <si>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</si>
  <si>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</si>
  <si>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</si>
  <si>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</si>
  <si>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</si>
  <si>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</si>
  <si>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</si>
  <si>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</si>
  <si>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</si>
  <si>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</si>
  <si>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</si>
  <si>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</si>
  <si>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</si>
  <si>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</si>
  <si>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</si>
  <si>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</si>
  <si>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</si>
  <si>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</si>
  <si>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</si>
  <si>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</si>
  <si>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</si>
  <si>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</si>
  <si>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</si>
  <si>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</si>
  <si>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</si>
  <si>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</si>
  <si>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</si>
  <si>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</si>
  <si>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</si>
  <si>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</si>
  <si>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</si>
  <si>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</si>
  <si>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</si>
  <si>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</si>
  <si>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</si>
  <si>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</si>
  <si>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</si>
  <si>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</si>
  <si>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</si>
  <si>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</si>
  <si>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</si>
  <si>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</si>
  <si>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</si>
  <si>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</si>
  <si>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</si>
  <si>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</si>
  <si>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</si>
  <si>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</si>
  <si>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</si>
  <si>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</si>
  <si>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</si>
  <si>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</si>
  <si>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</si>
  <si>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</si>
  <si>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</si>
  <si>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</si>
  <si>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</si>
  <si>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</si>
  <si>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</si>
  <si>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</si>
  <si>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</si>
  <si>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</si>
  <si>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</si>
  <si>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</si>
  <si>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</si>
  <si>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</si>
  <si>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</si>
  <si>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</si>
  <si>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</si>
  <si>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</si>
  <si>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</si>
  <si>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</si>
  <si>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</si>
  <si>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</si>
  <si>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</si>
  <si>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</si>
  <si>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</si>
  <si>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</si>
  <si>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</si>
  <si>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</si>
  <si>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</si>
  <si>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</si>
  <si>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</si>
  <si>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</si>
  <si>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</si>
  <si>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</si>
  <si>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</si>
  <si>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</si>
  <si>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</si>
  <si>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</si>
  <si>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</si>
  <si>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</si>
  <si>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</si>
  <si>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Bridge</t>
  </si>
  <si>
    <t>Test</t>
  </si>
  <si>
    <t>Number of Customers (Year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</si>
</sst>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  <numFmt numFmtId="174" formatCode="0.000000"/>
    <numFmt numFmtId="175" formatCode="_(* #,##0.00000_);_(* \(#,##0.00000\);_(* &quot;-&quot;??_);_(@_)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5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Alignment="1">
      <alignment horizontal="center"/>
    </xf>
    <xf numFmtId="165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2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168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1" applyNumberFormat="1" applyFont="1" applyFill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opLeftCell="A71" zoomScale="90" zoomScaleNormal="90" workbookViewId="0">
      <selection activeCell="J122" sqref="J12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31" t="s">
        <v>186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15" ht="19.5" customHeight="1" x14ac:dyDescent="0.25">
      <c r="C3" s="232" t="str">
        <f>IF(F5="Click to Choose an LDC","",F5)</f>
        <v>Lakeland Power Distribution Ltd.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261</v>
      </c>
      <c r="E5" s="9"/>
      <c r="F5" s="89" t="s">
        <v>224</v>
      </c>
      <c r="G5" s="2" t="s">
        <v>174</v>
      </c>
      <c r="H5" s="2" t="s">
        <v>174</v>
      </c>
      <c r="I5" s="2" t="s">
        <v>174</v>
      </c>
      <c r="J5" s="2" t="s">
        <v>174</v>
      </c>
      <c r="K5" s="2" t="s">
        <v>266</v>
      </c>
      <c r="L5" s="2" t="s">
        <v>267</v>
      </c>
      <c r="O5" s="4"/>
    </row>
    <row r="6" spans="2:15" ht="36" customHeight="1" x14ac:dyDescent="0.35">
      <c r="B6" s="4" t="s">
        <v>177</v>
      </c>
      <c r="C6" s="59"/>
      <c r="G6" s="2">
        <v>2020</v>
      </c>
      <c r="H6" s="2">
        <f>G6+1</f>
        <v>2021</v>
      </c>
      <c r="I6" s="2">
        <f t="shared" ref="I6:L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94"/>
      <c r="O6" s="2"/>
    </row>
    <row r="8" spans="2:15" x14ac:dyDescent="0.2">
      <c r="C8" s="8" t="s">
        <v>85</v>
      </c>
      <c r="D8" s="8"/>
      <c r="E8" s="2"/>
      <c r="H8" s="233"/>
      <c r="I8" s="233"/>
      <c r="J8" s="233"/>
      <c r="K8" s="233"/>
      <c r="L8" s="233"/>
      <c r="M8" s="233"/>
    </row>
    <row r="9" spans="2:15" x14ac:dyDescent="0.2">
      <c r="B9" s="2">
        <v>1</v>
      </c>
      <c r="D9" s="9" t="s">
        <v>86</v>
      </c>
      <c r="G9" s="54">
        <f>'Benchmarking Calculations'!G92</f>
        <v>2340844.21</v>
      </c>
      <c r="H9" s="81">
        <v>4689107.55</v>
      </c>
      <c r="I9" s="81">
        <v>4373253.8</v>
      </c>
      <c r="J9" s="81">
        <v>5000963.4000000004</v>
      </c>
      <c r="K9" s="81">
        <v>3899673</v>
      </c>
      <c r="L9" s="81">
        <v>4270000</v>
      </c>
      <c r="M9" s="81"/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1"/>
      <c r="I10" s="81"/>
      <c r="J10" s="81"/>
      <c r="K10" s="81"/>
      <c r="L10" s="81"/>
      <c r="M10" s="81"/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268</v>
      </c>
      <c r="G13" s="54">
        <f>'Benchmarking Calculations'!G96</f>
        <v>13936</v>
      </c>
      <c r="H13" s="81">
        <v>14180</v>
      </c>
      <c r="I13" s="81">
        <v>14351</v>
      </c>
      <c r="J13" s="81">
        <v>14594</v>
      </c>
      <c r="K13" s="81">
        <v>14737.8562794757</v>
      </c>
      <c r="L13" s="81">
        <v>14883.42744964303</v>
      </c>
      <c r="M13" s="81"/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284874312.26999998</v>
      </c>
      <c r="H14" s="81">
        <v>289011195.91000003</v>
      </c>
      <c r="I14" s="81">
        <v>301812636.48000002</v>
      </c>
      <c r="J14" s="81">
        <f>113529466.96+59668770.36+122452017.53</f>
        <v>295650254.85000002</v>
      </c>
      <c r="K14" s="81">
        <v>295848093.17118603</v>
      </c>
      <c r="L14" s="81">
        <v>296528341.48682636</v>
      </c>
      <c r="M14" s="81"/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47322</v>
      </c>
      <c r="H15" s="81">
        <v>48124</v>
      </c>
      <c r="I15" s="81">
        <v>51997</v>
      </c>
      <c r="J15" s="81">
        <v>51429</v>
      </c>
      <c r="K15" s="81">
        <f>K14/J14*J15</f>
        <v>51463.414403009519</v>
      </c>
      <c r="L15" s="81">
        <f>L14/K14*K15</f>
        <v>51581.74506584902</v>
      </c>
      <c r="M15" s="81"/>
      <c r="N15" s="9" t="s">
        <v>172</v>
      </c>
      <c r="O15" s="56"/>
    </row>
    <row r="16" spans="2:15" x14ac:dyDescent="0.2">
      <c r="B16" s="2">
        <v>6</v>
      </c>
      <c r="D16" s="9" t="s">
        <v>187</v>
      </c>
      <c r="G16" s="54">
        <f>'Benchmarking Calculations'!G99</f>
        <v>353</v>
      </c>
      <c r="H16" s="81">
        <v>364</v>
      </c>
      <c r="I16" s="81">
        <v>385</v>
      </c>
      <c r="J16" s="81">
        <f>I16</f>
        <v>385</v>
      </c>
      <c r="K16" s="81">
        <f>J16</f>
        <v>385</v>
      </c>
      <c r="L16" s="81">
        <f>K16</f>
        <v>385</v>
      </c>
      <c r="M16" s="81"/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8.7390761548064924E-2</v>
      </c>
      <c r="H17" s="207">
        <v>8.750671063731881E-2</v>
      </c>
      <c r="I17" s="207">
        <v>9.0087352829472084E-2</v>
      </c>
      <c r="J17" s="207">
        <v>0.10368297663162673</v>
      </c>
      <c r="K17" s="207">
        <v>0.11111702951415103</v>
      </c>
      <c r="L17" s="207">
        <v>0.11528118768400364</v>
      </c>
      <c r="M17" s="207"/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3"/>
      <c r="I19" s="233"/>
      <c r="J19" s="233"/>
      <c r="K19" s="233"/>
      <c r="L19" s="233"/>
      <c r="M19" s="233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3.0533707039455342E-2</v>
      </c>
      <c r="I20" s="80">
        <v>3.0454519489995294E-2</v>
      </c>
      <c r="J20" s="80">
        <v>3.5000000000000003E-2</v>
      </c>
      <c r="K20" s="80">
        <v>2.3E-2</v>
      </c>
      <c r="L20" s="80">
        <f t="shared" ref="L20" si="1">K20</f>
        <v>2.3E-2</v>
      </c>
      <c r="M20" s="80"/>
      <c r="N20" s="9" t="s">
        <v>264</v>
      </c>
      <c r="O20" s="234" t="s">
        <v>263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4.0013942058278212E-2</v>
      </c>
      <c r="I21" s="80">
        <v>5.8587303414415259E-2</v>
      </c>
      <c r="J21" s="80">
        <v>3.7999999999999999E-2</v>
      </c>
      <c r="K21" s="80">
        <v>5.8999999999999997E-2</v>
      </c>
      <c r="L21" s="80">
        <f t="shared" ref="L21:L22" si="2">K21</f>
        <v>5.8999999999999997E-2</v>
      </c>
      <c r="M21" s="80"/>
      <c r="N21" s="9" t="s">
        <v>264</v>
      </c>
      <c r="O21" s="234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5.0020000000000002E-2</v>
      </c>
      <c r="I22" s="80">
        <v>5.4651999999999999E-2</v>
      </c>
      <c r="J22" s="80">
        <v>6.6699999999999995E-2</v>
      </c>
      <c r="K22" s="80">
        <v>6.5000000000000002E-2</v>
      </c>
      <c r="L22" s="80">
        <f t="shared" si="2"/>
        <v>6.5000000000000002E-2</v>
      </c>
      <c r="M22" s="80"/>
      <c r="N22" s="9" t="s">
        <v>265</v>
      </c>
      <c r="O22" s="234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188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193</v>
      </c>
      <c r="G27" s="34">
        <f>G35-G36+G37</f>
        <v>5188176.93</v>
      </c>
      <c r="H27" s="34">
        <f t="shared" ref="H27:M27" si="3">H35-H36+H37</f>
        <v>0</v>
      </c>
      <c r="I27" s="34">
        <f t="shared" si="3"/>
        <v>0</v>
      </c>
      <c r="J27" s="34">
        <f>J35-J36+J37</f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9" t="s">
        <v>29</v>
      </c>
    </row>
    <row r="28" spans="2:15" ht="13.5" thickBot="1" x14ac:dyDescent="0.25">
      <c r="B28" s="9" t="s">
        <v>185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197</v>
      </c>
      <c r="G29" s="34">
        <f>G115-G121+G122</f>
        <v>5188176.93</v>
      </c>
      <c r="H29" s="34">
        <f>H115-H121+H122</f>
        <v>5114415.0699999994</v>
      </c>
      <c r="I29" s="34">
        <f t="shared" ref="I29:M29" si="4">I115-I121+I122</f>
        <v>5713682.0799999991</v>
      </c>
      <c r="J29" s="34">
        <f t="shared" si="4"/>
        <v>6086327.1399999997</v>
      </c>
      <c r="K29" s="34">
        <f t="shared" si="4"/>
        <v>6517723</v>
      </c>
      <c r="L29" s="34">
        <f t="shared" si="4"/>
        <v>6882282.2924179398</v>
      </c>
      <c r="M29" s="34">
        <f t="shared" si="4"/>
        <v>0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5">IF($E$27="Y",G27,IF($E$29="Y",G29,"Error: Please enter Y for one method"))</f>
        <v>5188176.93</v>
      </c>
      <c r="H31" s="34">
        <f>IF($E$27="Y",H27,IF($E$29="Y",H29,"Error: Please enter Y for one method"))</f>
        <v>5114415.0699999994</v>
      </c>
      <c r="I31" s="34">
        <f t="shared" si="5"/>
        <v>5713682.0799999991</v>
      </c>
      <c r="J31" s="34">
        <f t="shared" si="5"/>
        <v>6086327.1399999997</v>
      </c>
      <c r="K31" s="34">
        <f t="shared" si="5"/>
        <v>6517723</v>
      </c>
      <c r="L31" s="34">
        <f t="shared" si="5"/>
        <v>6882282.2924179398</v>
      </c>
      <c r="M31" s="34">
        <f t="shared" si="5"/>
        <v>0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176</v>
      </c>
      <c r="G34" s="54"/>
      <c r="H34" s="230" t="s">
        <v>180</v>
      </c>
      <c r="I34" s="230"/>
      <c r="J34" s="230"/>
      <c r="K34" s="230"/>
      <c r="L34" s="230"/>
      <c r="M34" s="230"/>
      <c r="N34" s="98"/>
    </row>
    <row r="35" spans="3:27" x14ac:dyDescent="0.2">
      <c r="C35" s="97"/>
      <c r="D35" s="111" t="s">
        <v>190</v>
      </c>
      <c r="E35" t="s">
        <v>198</v>
      </c>
      <c r="G35" s="17">
        <f>G115</f>
        <v>4926170.8299999991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">
      <c r="C36" s="97"/>
      <c r="D36" s="111" t="s">
        <v>191</v>
      </c>
      <c r="E36" t="s">
        <v>189</v>
      </c>
      <c r="G36" s="34">
        <f>G121</f>
        <v>0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">
      <c r="C37" s="97"/>
      <c r="D37" s="111" t="s">
        <v>192</v>
      </c>
      <c r="E37" t="s">
        <v>83</v>
      </c>
      <c r="G37" s="34">
        <f>G122</f>
        <v>262006.10000000021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29"/>
    </row>
    <row r="41" spans="3:27" x14ac:dyDescent="0.2">
      <c r="C41" s="97"/>
      <c r="D41" s="8" t="s">
        <v>175</v>
      </c>
      <c r="N41" s="98"/>
      <c r="O41" s="229"/>
    </row>
    <row r="42" spans="3:27" x14ac:dyDescent="0.2">
      <c r="C42" s="50"/>
      <c r="N42" s="98"/>
      <c r="O42" s="229"/>
    </row>
    <row r="43" spans="3:27" x14ac:dyDescent="0.2">
      <c r="C43" s="102"/>
      <c r="D43" s="8" t="s">
        <v>164</v>
      </c>
      <c r="E43" s="8"/>
      <c r="F43" s="2"/>
      <c r="N43" s="98"/>
      <c r="O43" s="229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/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65173.01</v>
      </c>
      <c r="H45" s="86">
        <v>39823.29</v>
      </c>
      <c r="I45" s="86">
        <v>36908.660000000003</v>
      </c>
      <c r="J45" s="86">
        <v>38658.11</v>
      </c>
      <c r="K45" s="86">
        <v>45000</v>
      </c>
      <c r="L45" s="86">
        <v>47250</v>
      </c>
      <c r="M45" s="86"/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/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0</v>
      </c>
      <c r="H47" s="86"/>
      <c r="I47" s="86"/>
      <c r="J47" s="86">
        <v>0</v>
      </c>
      <c r="K47" s="86">
        <v>0</v>
      </c>
      <c r="L47" s="86">
        <v>0</v>
      </c>
      <c r="M47" s="86"/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/>
      <c r="I48" s="86"/>
      <c r="J48" s="86">
        <v>0</v>
      </c>
      <c r="K48" s="86">
        <v>0</v>
      </c>
      <c r="L48" s="86">
        <v>0</v>
      </c>
      <c r="M48" s="86"/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14655.6</v>
      </c>
      <c r="H49" s="86">
        <v>8583.5499999999993</v>
      </c>
      <c r="I49" s="86">
        <v>11736.98</v>
      </c>
      <c r="J49" s="86">
        <v>12005.08</v>
      </c>
      <c r="K49" s="86">
        <v>10000</v>
      </c>
      <c r="L49" s="86">
        <v>10500</v>
      </c>
      <c r="M49" s="86"/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/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9645.43</v>
      </c>
      <c r="H51" s="86">
        <v>10495.33</v>
      </c>
      <c r="I51" s="86">
        <v>15532.31</v>
      </c>
      <c r="J51" s="86">
        <v>31729.21</v>
      </c>
      <c r="K51" s="86">
        <v>0</v>
      </c>
      <c r="L51" s="86">
        <v>0</v>
      </c>
      <c r="M51" s="86"/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2767.8</v>
      </c>
      <c r="H52" s="86">
        <v>1331.45</v>
      </c>
      <c r="I52" s="86">
        <v>0</v>
      </c>
      <c r="J52" s="86">
        <v>0</v>
      </c>
      <c r="K52" s="86">
        <v>30000</v>
      </c>
      <c r="L52" s="86">
        <v>31500</v>
      </c>
      <c r="M52" s="86"/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4759.92</v>
      </c>
      <c r="H53" s="86">
        <v>2273.33</v>
      </c>
      <c r="I53" s="86">
        <v>6974.12</v>
      </c>
      <c r="J53" s="86">
        <v>5927.92</v>
      </c>
      <c r="K53" s="86">
        <v>10000</v>
      </c>
      <c r="L53" s="86">
        <v>10500</v>
      </c>
      <c r="M53" s="86"/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4066.68</v>
      </c>
      <c r="H54" s="86">
        <v>3856.44</v>
      </c>
      <c r="I54" s="86">
        <v>2286.63</v>
      </c>
      <c r="J54" s="86">
        <v>0</v>
      </c>
      <c r="K54" s="86">
        <v>2000</v>
      </c>
      <c r="L54" s="86">
        <v>2100</v>
      </c>
      <c r="M54" s="86"/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/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2106.15</v>
      </c>
      <c r="H56" s="86">
        <v>3247.55</v>
      </c>
      <c r="I56" s="86">
        <v>17196.599999999999</v>
      </c>
      <c r="J56" s="86">
        <v>10251.59</v>
      </c>
      <c r="K56" s="86">
        <v>28250</v>
      </c>
      <c r="L56" s="86">
        <v>29662.5</v>
      </c>
      <c r="M56" s="86"/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148043.62</v>
      </c>
      <c r="H57" s="86">
        <v>89331.42</v>
      </c>
      <c r="I57" s="86">
        <v>97780.3</v>
      </c>
      <c r="J57" s="86">
        <v>112473.60000000001</v>
      </c>
      <c r="K57" s="86">
        <v>114450</v>
      </c>
      <c r="L57" s="86">
        <v>120172.5</v>
      </c>
      <c r="M57" s="86"/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/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/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151232.39000000001</v>
      </c>
      <c r="H60" s="86">
        <v>173558.94</v>
      </c>
      <c r="I60" s="86">
        <v>105891.47</v>
      </c>
      <c r="J60" s="86">
        <v>140175.1</v>
      </c>
      <c r="K60" s="86">
        <v>150000</v>
      </c>
      <c r="L60" s="86">
        <v>157500</v>
      </c>
      <c r="M60" s="86"/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/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86933.77</v>
      </c>
      <c r="H62" s="86">
        <v>91953</v>
      </c>
      <c r="I62" s="86">
        <v>81244.800000000003</v>
      </c>
      <c r="J62" s="86">
        <v>84879.89</v>
      </c>
      <c r="K62" s="86">
        <v>87000</v>
      </c>
      <c r="L62" s="86">
        <v>91350</v>
      </c>
      <c r="M62" s="86"/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/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489384.37</v>
      </c>
      <c r="H64" s="52">
        <f t="shared" ref="H64:M64" si="6">SUM(H44:H63)</f>
        <v>424454.3</v>
      </c>
      <c r="I64" s="52">
        <f t="shared" si="6"/>
        <v>375551.86999999994</v>
      </c>
      <c r="J64" s="52">
        <f t="shared" si="6"/>
        <v>436100.5</v>
      </c>
      <c r="K64" s="52">
        <f t="shared" si="6"/>
        <v>476700</v>
      </c>
      <c r="L64" s="52">
        <f t="shared" si="6"/>
        <v>500535</v>
      </c>
      <c r="M64" s="52">
        <f t="shared" si="6"/>
        <v>0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343999.98</v>
      </c>
      <c r="H65" s="86">
        <v>392375.52</v>
      </c>
      <c r="I65" s="86">
        <v>505029.71</v>
      </c>
      <c r="J65" s="86">
        <v>529561.55000000005</v>
      </c>
      <c r="K65" s="86">
        <v>536450</v>
      </c>
      <c r="L65" s="86">
        <v>563272.5</v>
      </c>
      <c r="M65" s="86"/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 s="86"/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0</v>
      </c>
      <c r="H67" s="86"/>
      <c r="I67" s="86"/>
      <c r="J67" s="86">
        <v>0</v>
      </c>
      <c r="K67" s="86">
        <v>0</v>
      </c>
      <c r="L67" s="86">
        <v>0</v>
      </c>
      <c r="M67" s="86"/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59943.29</v>
      </c>
      <c r="H68" s="86">
        <v>64874.239999999998</v>
      </c>
      <c r="I68" s="86">
        <v>68391.37</v>
      </c>
      <c r="J68" s="86">
        <v>264347.95</v>
      </c>
      <c r="K68" s="86">
        <v>88000</v>
      </c>
      <c r="L68" s="86">
        <v>92400</v>
      </c>
      <c r="M68" s="86"/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50462.57</v>
      </c>
      <c r="H69" s="86">
        <v>32937.58</v>
      </c>
      <c r="I69" s="86">
        <v>92014.93</v>
      </c>
      <c r="J69" s="86">
        <v>109938.01</v>
      </c>
      <c r="K69" s="86">
        <v>94500</v>
      </c>
      <c r="L69" s="86">
        <v>99225</v>
      </c>
      <c r="M69" s="86"/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119073.48</v>
      </c>
      <c r="H70" s="86">
        <v>137849.42000000001</v>
      </c>
      <c r="I70" s="86">
        <v>170801.53</v>
      </c>
      <c r="J70" s="86">
        <v>48225.63</v>
      </c>
      <c r="K70" s="86">
        <v>132940</v>
      </c>
      <c r="L70" s="86">
        <v>139587</v>
      </c>
      <c r="M70" s="86"/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643753.80000000005</v>
      </c>
      <c r="H71" s="86">
        <v>572117.15</v>
      </c>
      <c r="I71" s="86">
        <v>810237.65</v>
      </c>
      <c r="J71" s="86">
        <v>589630.26</v>
      </c>
      <c r="K71" s="86">
        <v>775000</v>
      </c>
      <c r="L71" s="86">
        <v>813750</v>
      </c>
      <c r="M71" s="86"/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208054.9</v>
      </c>
      <c r="H72" s="86">
        <v>203817.77</v>
      </c>
      <c r="I72" s="86">
        <v>160207.15</v>
      </c>
      <c r="J72" s="86">
        <v>167352.18</v>
      </c>
      <c r="K72" s="86">
        <v>200000</v>
      </c>
      <c r="L72" s="86">
        <v>210000</v>
      </c>
      <c r="M72" s="86"/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0</v>
      </c>
      <c r="H73" s="86">
        <v>0</v>
      </c>
      <c r="I73" s="86">
        <v>688.76</v>
      </c>
      <c r="J73" s="86">
        <v>903.39</v>
      </c>
      <c r="K73" s="86">
        <v>0</v>
      </c>
      <c r="L73" s="86">
        <v>0</v>
      </c>
      <c r="M73" s="86"/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34028.31</v>
      </c>
      <c r="H74" s="86">
        <v>83415.839999999997</v>
      </c>
      <c r="I74" s="86">
        <v>53736.91</v>
      </c>
      <c r="J74" s="86">
        <v>26506.97</v>
      </c>
      <c r="K74" s="86">
        <v>38150</v>
      </c>
      <c r="L74" s="86">
        <v>40057.5</v>
      </c>
      <c r="M74" s="86"/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107667.16</v>
      </c>
      <c r="H75" s="86">
        <v>100554.14</v>
      </c>
      <c r="I75" s="86">
        <v>121792.79</v>
      </c>
      <c r="J75" s="86">
        <v>215020.28</v>
      </c>
      <c r="K75" s="86">
        <v>248000</v>
      </c>
      <c r="L75" s="86">
        <v>272800</v>
      </c>
      <c r="M75" s="86"/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50049.4</v>
      </c>
      <c r="H76" s="86">
        <v>16468.169999999998</v>
      </c>
      <c r="I76" s="86">
        <v>63536.08</v>
      </c>
      <c r="J76" s="86">
        <v>50364</v>
      </c>
      <c r="K76" s="86">
        <v>54500</v>
      </c>
      <c r="L76" s="86">
        <v>57225</v>
      </c>
      <c r="M76" s="86"/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25575.77</v>
      </c>
      <c r="H77" s="86">
        <v>14620.26</v>
      </c>
      <c r="I77" s="86">
        <v>16228.57</v>
      </c>
      <c r="J77" s="86">
        <v>14552.43</v>
      </c>
      <c r="K77" s="86">
        <v>21500</v>
      </c>
      <c r="L77" s="86">
        <v>22575</v>
      </c>
      <c r="M77" s="86"/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1642608.66</v>
      </c>
      <c r="H78" s="52">
        <f>SUM(H65:H77)</f>
        <v>1619030.09</v>
      </c>
      <c r="I78" s="52">
        <f t="shared" ref="I78:M78" si="7">SUM(I65:I77)</f>
        <v>2062665.45</v>
      </c>
      <c r="J78" s="52">
        <f t="shared" si="7"/>
        <v>2016402.6499999997</v>
      </c>
      <c r="K78" s="52">
        <f t="shared" si="7"/>
        <v>2189040</v>
      </c>
      <c r="L78" s="52">
        <f t="shared" si="7"/>
        <v>2310892</v>
      </c>
      <c r="M78" s="52">
        <f t="shared" si="7"/>
        <v>0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149443.78</v>
      </c>
      <c r="H79" s="86">
        <v>150348.72</v>
      </c>
      <c r="I79" s="86">
        <v>154779.72</v>
      </c>
      <c r="J79" s="86">
        <v>175524.69</v>
      </c>
      <c r="K79" s="86">
        <v>179300</v>
      </c>
      <c r="L79" s="86">
        <v>188265</v>
      </c>
      <c r="M79" s="86"/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46663.53</v>
      </c>
      <c r="H80" s="86">
        <v>49937.440000000002</v>
      </c>
      <c r="I80" s="86">
        <v>58140.43</v>
      </c>
      <c r="J80" s="86">
        <v>53258.77</v>
      </c>
      <c r="K80" s="86">
        <v>85450</v>
      </c>
      <c r="L80" s="86">
        <v>89722.5</v>
      </c>
      <c r="M80" s="86"/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486947.31</v>
      </c>
      <c r="H81" s="86">
        <v>467261.02</v>
      </c>
      <c r="I81" s="86">
        <v>508863.86</v>
      </c>
      <c r="J81" s="86">
        <v>551849.54</v>
      </c>
      <c r="K81" s="86">
        <v>581400</v>
      </c>
      <c r="L81" s="86">
        <v>610470</v>
      </c>
      <c r="M81" s="86"/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108928.96000000001</v>
      </c>
      <c r="H82" s="86">
        <v>109562.54</v>
      </c>
      <c r="I82" s="86">
        <v>100289.60000000001</v>
      </c>
      <c r="J82" s="86">
        <v>106170.38</v>
      </c>
      <c r="K82" s="86">
        <v>110000</v>
      </c>
      <c r="L82" s="86">
        <v>115500</v>
      </c>
      <c r="M82" s="86"/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/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>
        <v>0</v>
      </c>
      <c r="K84" s="86">
        <v>0</v>
      </c>
      <c r="L84" s="86">
        <v>0</v>
      </c>
      <c r="M84" s="86"/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124979.44</v>
      </c>
      <c r="H85" s="86">
        <v>122376.12</v>
      </c>
      <c r="I85" s="86">
        <v>122054.64</v>
      </c>
      <c r="J85" s="86">
        <v>123208.13</v>
      </c>
      <c r="K85" s="86">
        <v>125000</v>
      </c>
      <c r="L85" s="86">
        <v>131250</v>
      </c>
      <c r="M85" s="86"/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916963.02</v>
      </c>
      <c r="H86" s="52">
        <f>SUM(H79:H85)</f>
        <v>899485.84000000008</v>
      </c>
      <c r="I86" s="52">
        <f t="shared" ref="I86:M86" si="8">SUM(I79:I85)</f>
        <v>944128.25</v>
      </c>
      <c r="J86" s="52">
        <f t="shared" si="8"/>
        <v>1010011.51</v>
      </c>
      <c r="K86" s="52">
        <f t="shared" si="8"/>
        <v>1081150</v>
      </c>
      <c r="L86" s="52">
        <f t="shared" si="8"/>
        <v>1135207.5</v>
      </c>
      <c r="M86" s="52">
        <f t="shared" si="8"/>
        <v>0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0</v>
      </c>
      <c r="H87" s="86">
        <v>0</v>
      </c>
      <c r="I87" s="86">
        <v>0</v>
      </c>
      <c r="J87" s="86">
        <v>0</v>
      </c>
      <c r="K87" s="86">
        <v>0</v>
      </c>
      <c r="L87" s="86">
        <v>0</v>
      </c>
      <c r="M87" s="86"/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2033.75</v>
      </c>
      <c r="H88" s="86">
        <v>4224.2700000000004</v>
      </c>
      <c r="I88" s="86">
        <v>4639.46</v>
      </c>
      <c r="J88" s="86">
        <v>4601.59</v>
      </c>
      <c r="K88" s="86">
        <v>10000</v>
      </c>
      <c r="L88" s="86">
        <v>10500</v>
      </c>
      <c r="M88" s="86"/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/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5149.5</v>
      </c>
      <c r="H90" s="86">
        <v>13413.84</v>
      </c>
      <c r="I90" s="86">
        <v>2000</v>
      </c>
      <c r="J90" s="86">
        <v>9917</v>
      </c>
      <c r="K90" s="86">
        <v>24500</v>
      </c>
      <c r="L90" s="86">
        <v>25725</v>
      </c>
      <c r="M90" s="86"/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7183.25</v>
      </c>
      <c r="H91" s="52">
        <f>SUM(H87:H90)</f>
        <v>17638.11</v>
      </c>
      <c r="I91" s="52">
        <f t="shared" ref="I91:M91" si="9">SUM(I87:I90)</f>
        <v>6639.46</v>
      </c>
      <c r="J91" s="52">
        <f t="shared" si="9"/>
        <v>14518.59</v>
      </c>
      <c r="K91" s="52">
        <f t="shared" si="9"/>
        <v>34500</v>
      </c>
      <c r="L91" s="52">
        <f t="shared" si="9"/>
        <v>36225</v>
      </c>
      <c r="M91" s="52">
        <f t="shared" si="9"/>
        <v>0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69987.929999999993</v>
      </c>
      <c r="H92" s="86">
        <v>70488.429999999993</v>
      </c>
      <c r="I92" s="86">
        <v>75425.98</v>
      </c>
      <c r="J92" s="86">
        <v>86637.77</v>
      </c>
      <c r="K92" s="86">
        <v>91000</v>
      </c>
      <c r="L92" s="86">
        <v>95550</v>
      </c>
      <c r="M92" s="86"/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/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47077.73</v>
      </c>
      <c r="H94" s="86">
        <v>0</v>
      </c>
      <c r="I94" s="86">
        <v>0</v>
      </c>
      <c r="J94" s="86">
        <v>0</v>
      </c>
      <c r="K94" s="86">
        <v>0</v>
      </c>
      <c r="L94" s="86">
        <v>0</v>
      </c>
      <c r="M94" s="86"/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113744.71</v>
      </c>
      <c r="H95" s="86">
        <v>108462.67</v>
      </c>
      <c r="I95" s="86">
        <v>125570.16</v>
      </c>
      <c r="J95" s="86">
        <v>135341.43</v>
      </c>
      <c r="K95" s="86">
        <v>165278</v>
      </c>
      <c r="L95" s="86">
        <v>173541.9</v>
      </c>
      <c r="M95" s="86"/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>
        <v>0</v>
      </c>
      <c r="K96" s="86">
        <v>0</v>
      </c>
      <c r="L96" s="86">
        <v>0</v>
      </c>
      <c r="M96" s="86"/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88407.77</v>
      </c>
      <c r="H97" s="86">
        <v>89702.26</v>
      </c>
      <c r="I97" s="86">
        <v>57268.39</v>
      </c>
      <c r="J97" s="86">
        <v>79615.850000000006</v>
      </c>
      <c r="K97" s="86">
        <v>100000</v>
      </c>
      <c r="L97" s="86">
        <v>105000</v>
      </c>
      <c r="M97" s="86"/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2672.23</v>
      </c>
      <c r="H98" s="86">
        <v>87.52</v>
      </c>
      <c r="I98" s="86">
        <v>0</v>
      </c>
      <c r="J98" s="86">
        <v>0</v>
      </c>
      <c r="K98" s="86">
        <v>0</v>
      </c>
      <c r="L98" s="86">
        <v>0</v>
      </c>
      <c r="M98" s="86"/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42553.7</v>
      </c>
      <c r="H99" s="86">
        <v>9921.51</v>
      </c>
      <c r="I99" s="86">
        <v>8493.27</v>
      </c>
      <c r="J99" s="86">
        <v>50815.86</v>
      </c>
      <c r="K99" s="86">
        <v>12000</v>
      </c>
      <c r="L99" s="86">
        <v>12600</v>
      </c>
      <c r="M99" s="86"/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-8587</v>
      </c>
      <c r="H100" s="86">
        <v>-5891</v>
      </c>
      <c r="I100" s="86">
        <v>-1706</v>
      </c>
      <c r="J100" s="86">
        <v>-7926</v>
      </c>
      <c r="K100" s="86">
        <v>0</v>
      </c>
      <c r="L100" s="86">
        <v>0</v>
      </c>
      <c r="M100" s="86"/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/>
      <c r="K101" s="86"/>
      <c r="L101" s="86"/>
      <c r="M101" s="86"/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/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82157.42</v>
      </c>
      <c r="H103" s="86">
        <v>87174.080000000002</v>
      </c>
      <c r="I103" s="86">
        <v>98752.06</v>
      </c>
      <c r="J103" s="86">
        <v>87386</v>
      </c>
      <c r="K103" s="86">
        <v>132000</v>
      </c>
      <c r="L103" s="86">
        <v>173600</v>
      </c>
      <c r="M103" s="86"/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887737.19</v>
      </c>
      <c r="H104" s="86">
        <v>928928.45</v>
      </c>
      <c r="I104" s="86">
        <v>1037252.84</v>
      </c>
      <c r="J104" s="86">
        <v>1187095.79</v>
      </c>
      <c r="K104" s="86">
        <v>1251748</v>
      </c>
      <c r="L104" s="86">
        <v>1314335.4000000001</v>
      </c>
      <c r="M104" s="86"/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v>0</v>
      </c>
      <c r="M105" s="86"/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/>
      <c r="K106" s="86"/>
      <c r="L106" s="86"/>
      <c r="M106" s="86"/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477989.49</v>
      </c>
      <c r="H107" s="86">
        <v>501646.92</v>
      </c>
      <c r="I107" s="86">
        <v>541000.51</v>
      </c>
      <c r="J107" s="86">
        <v>585079.18999999994</v>
      </c>
      <c r="K107" s="86">
        <v>564142</v>
      </c>
      <c r="L107" s="86">
        <v>592349.1</v>
      </c>
      <c r="M107" s="86"/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14751.84</v>
      </c>
      <c r="H108" s="86">
        <v>18558.03</v>
      </c>
      <c r="I108" s="86">
        <v>13180.11</v>
      </c>
      <c r="J108" s="86">
        <v>20471.63</v>
      </c>
      <c r="K108" s="86">
        <v>0</v>
      </c>
      <c r="L108" s="86">
        <v>0</v>
      </c>
      <c r="M108" s="86"/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1818493.01</v>
      </c>
      <c r="H109" s="52">
        <f>SUM(H92:H108)</f>
        <v>1809078.8699999999</v>
      </c>
      <c r="I109" s="52">
        <f t="shared" ref="I109:M109" si="10">SUM(I92:I108)</f>
        <v>1955237.32</v>
      </c>
      <c r="J109" s="52">
        <f t="shared" si="10"/>
        <v>2224517.52</v>
      </c>
      <c r="K109" s="52">
        <f t="shared" si="10"/>
        <v>2316168</v>
      </c>
      <c r="L109" s="52">
        <f t="shared" si="10"/>
        <v>2466976.4000000004</v>
      </c>
      <c r="M109" s="52">
        <f t="shared" si="10"/>
        <v>0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51538.52</v>
      </c>
      <c r="H110" s="86">
        <v>47175.519999999997</v>
      </c>
      <c r="I110" s="86">
        <v>52820.04</v>
      </c>
      <c r="J110" s="86">
        <v>55393.37</v>
      </c>
      <c r="K110" s="86">
        <v>77400</v>
      </c>
      <c r="L110" s="86">
        <v>81270</v>
      </c>
      <c r="M110" s="86"/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f t="shared" ref="H111:M111" si="11">G111</f>
        <v>0</v>
      </c>
      <c r="I111" s="86">
        <f t="shared" si="11"/>
        <v>0</v>
      </c>
      <c r="J111" s="86">
        <v>0</v>
      </c>
      <c r="K111" s="86">
        <v>0</v>
      </c>
      <c r="L111" s="86">
        <v>0</v>
      </c>
      <c r="M111" s="86">
        <f t="shared" si="11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51538.52</v>
      </c>
      <c r="H112" s="52">
        <f>H110+H111</f>
        <v>47175.519999999997</v>
      </c>
      <c r="I112" s="52">
        <f t="shared" ref="I112:M112" si="12">I110+I111</f>
        <v>52820.04</v>
      </c>
      <c r="J112" s="52">
        <f t="shared" si="12"/>
        <v>55393.37</v>
      </c>
      <c r="K112" s="52">
        <f t="shared" si="12"/>
        <v>77400</v>
      </c>
      <c r="L112" s="52">
        <f t="shared" si="12"/>
        <v>81270</v>
      </c>
      <c r="M112" s="52">
        <f t="shared" si="12"/>
        <v>0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86"/>
      <c r="I113" s="86"/>
      <c r="J113" s="86"/>
      <c r="K113" s="86"/>
      <c r="L113" s="86"/>
      <c r="M113" s="86"/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13">I113</f>
        <v>0</v>
      </c>
      <c r="J114" s="52">
        <f t="shared" si="13"/>
        <v>0</v>
      </c>
      <c r="K114" s="52">
        <f t="shared" si="13"/>
        <v>0</v>
      </c>
      <c r="L114" s="52">
        <f t="shared" si="13"/>
        <v>0</v>
      </c>
      <c r="M114" s="52">
        <f t="shared" si="13"/>
        <v>0</v>
      </c>
      <c r="N114" s="98" t="s">
        <v>29</v>
      </c>
    </row>
    <row r="115" spans="3:14" x14ac:dyDescent="0.2">
      <c r="C115" s="102"/>
      <c r="E115" s="112" t="s">
        <v>194</v>
      </c>
      <c r="F115" s="13" t="s">
        <v>80</v>
      </c>
      <c r="G115" s="38">
        <f>'Benchmarking Calculations'!G81</f>
        <v>4926170.8299999991</v>
      </c>
      <c r="H115" s="52">
        <f>H64+H78+H86+H91+H109+H112+H114</f>
        <v>4816862.7299999995</v>
      </c>
      <c r="I115" s="52">
        <f t="shared" ref="I115:M115" si="14">I64+I78+I86+I91+I109+I112+I114</f>
        <v>5397042.3899999997</v>
      </c>
      <c r="J115" s="52">
        <f t="shared" si="14"/>
        <v>5756944.1399999997</v>
      </c>
      <c r="K115" s="52">
        <f t="shared" si="14"/>
        <v>6174958</v>
      </c>
      <c r="L115" s="52">
        <f t="shared" si="14"/>
        <v>6531105.9000000004</v>
      </c>
      <c r="M115" s="52">
        <f t="shared" si="14"/>
        <v>0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0</v>
      </c>
      <c r="H118" s="38">
        <f>H47</f>
        <v>0</v>
      </c>
      <c r="I118" s="38">
        <f t="shared" ref="I118:L118" si="15">I47</f>
        <v>0</v>
      </c>
      <c r="J118" s="38">
        <f t="shared" si="15"/>
        <v>0</v>
      </c>
      <c r="K118" s="38">
        <f t="shared" si="15"/>
        <v>0</v>
      </c>
      <c r="L118" s="38">
        <f t="shared" si="15"/>
        <v>0</v>
      </c>
      <c r="M118" s="38">
        <f t="shared" ref="M118" si="16">M47</f>
        <v>0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>H48</f>
        <v>0</v>
      </c>
      <c r="I119" s="38">
        <f t="shared" ref="I119:L119" si="17">I48</f>
        <v>0</v>
      </c>
      <c r="J119" s="38">
        <f t="shared" si="17"/>
        <v>0</v>
      </c>
      <c r="K119" s="38">
        <f t="shared" si="17"/>
        <v>0</v>
      </c>
      <c r="L119" s="38">
        <f t="shared" si="17"/>
        <v>0</v>
      </c>
      <c r="M119" s="38">
        <f t="shared" ref="M119" si="18">M48</f>
        <v>0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0</v>
      </c>
      <c r="H120" s="38">
        <f>H67</f>
        <v>0</v>
      </c>
      <c r="I120" s="38">
        <f t="shared" ref="I120:L120" si="19">I67</f>
        <v>0</v>
      </c>
      <c r="J120" s="38">
        <f t="shared" si="19"/>
        <v>0</v>
      </c>
      <c r="K120" s="38">
        <f t="shared" si="19"/>
        <v>0</v>
      </c>
      <c r="L120" s="38">
        <f t="shared" si="19"/>
        <v>0</v>
      </c>
      <c r="M120" s="38">
        <f t="shared" ref="M120" si="20">M67</f>
        <v>0</v>
      </c>
      <c r="N120" s="98" t="s">
        <v>29</v>
      </c>
    </row>
    <row r="121" spans="3:14" x14ac:dyDescent="0.2">
      <c r="C121" s="102"/>
      <c r="E121" s="112" t="s">
        <v>195</v>
      </c>
      <c r="F121" s="13" t="s">
        <v>82</v>
      </c>
      <c r="G121" s="69">
        <f>'Benchmarking Calculations'!G87</f>
        <v>0</v>
      </c>
      <c r="H121" s="69">
        <f t="shared" ref="H121:L121" si="21">H47+H48+H67</f>
        <v>0</v>
      </c>
      <c r="I121" s="69">
        <f t="shared" si="21"/>
        <v>0</v>
      </c>
      <c r="J121" s="69">
        <f t="shared" si="21"/>
        <v>0</v>
      </c>
      <c r="K121" s="69">
        <f t="shared" si="21"/>
        <v>0</v>
      </c>
      <c r="L121" s="69">
        <f t="shared" si="21"/>
        <v>0</v>
      </c>
      <c r="M121" s="69">
        <f t="shared" ref="M121" si="22">M47+M48+M67</f>
        <v>0</v>
      </c>
      <c r="N121" s="113" t="s">
        <v>29</v>
      </c>
    </row>
    <row r="122" spans="3:14" x14ac:dyDescent="0.2">
      <c r="C122" s="102"/>
      <c r="E122" s="112" t="s">
        <v>196</v>
      </c>
      <c r="F122" s="13" t="s">
        <v>83</v>
      </c>
      <c r="G122" s="69">
        <f>'Benchmarking Calculations'!G88</f>
        <v>262006.10000000021</v>
      </c>
      <c r="H122" s="114">
        <v>297552.33999999979</v>
      </c>
      <c r="I122" s="114">
        <v>316639.68999999983</v>
      </c>
      <c r="J122" s="114">
        <f>269250+60133</f>
        <v>329383</v>
      </c>
      <c r="K122" s="114">
        <f>282632+60133</f>
        <v>342765</v>
      </c>
      <c r="L122" s="114">
        <v>351176.39241793938</v>
      </c>
      <c r="M122" s="114"/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7">
    <mergeCell ref="O40:O43"/>
    <mergeCell ref="H34:M34"/>
    <mergeCell ref="C2:N2"/>
    <mergeCell ref="C3:N3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I64:M64 H78:M78 H86:M86 H91:M91 H109:M109 H114:M114 H112:M112 H111:I111 M111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92" activePane="bottomLeft" state="frozen"/>
      <selection activeCell="G33" sqref="G33"/>
      <selection pane="bottomLeft" activeCell="J112" sqref="J11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85546875" style="153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O1" s="82"/>
      <c r="P1" s="209" t="s">
        <v>262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7" t="s">
        <v>1</v>
      </c>
      <c r="C3" s="237"/>
      <c r="D3" s="141"/>
      <c r="E3" s="65" t="str">
        <f>'Model Inputs'!F5</f>
        <v>Lakeland Power Distribution Ltd.</v>
      </c>
      <c r="F3" s="182"/>
      <c r="G3" s="143"/>
      <c r="N3" s="154"/>
      <c r="O3" s="120">
        <v>1</v>
      </c>
      <c r="P3" s="120" t="s">
        <v>260</v>
      </c>
      <c r="Q3" t="s">
        <v>251</v>
      </c>
      <c r="R3" s="142" t="s">
        <v>199</v>
      </c>
      <c r="S3" s="142" t="s">
        <v>200</v>
      </c>
      <c r="T3" s="142" t="s">
        <v>201</v>
      </c>
      <c r="U3" s="142" t="s">
        <v>202</v>
      </c>
      <c r="V3" s="142" t="s">
        <v>203</v>
      </c>
      <c r="W3" s="142" t="s">
        <v>204</v>
      </c>
      <c r="X3" s="142" t="s">
        <v>205</v>
      </c>
      <c r="Y3" s="142" t="s">
        <v>206</v>
      </c>
      <c r="Z3" s="142" t="s">
        <v>207</v>
      </c>
      <c r="AA3" s="142" t="s">
        <v>208</v>
      </c>
      <c r="AB3" s="142" t="s">
        <v>255</v>
      </c>
      <c r="AC3" s="142" t="s">
        <v>256</v>
      </c>
      <c r="AD3" s="142" t="s">
        <v>209</v>
      </c>
      <c r="AE3" s="142" t="s">
        <v>257</v>
      </c>
      <c r="AF3" s="142" t="s">
        <v>253</v>
      </c>
      <c r="AG3" s="142" t="s">
        <v>254</v>
      </c>
      <c r="AH3" s="142" t="s">
        <v>210</v>
      </c>
      <c r="AI3" s="142" t="s">
        <v>211</v>
      </c>
      <c r="AJ3" s="142" t="s">
        <v>212</v>
      </c>
      <c r="AK3" s="142" t="s">
        <v>213</v>
      </c>
      <c r="AL3" s="142" t="s">
        <v>214</v>
      </c>
      <c r="AM3" s="142" t="s">
        <v>258</v>
      </c>
      <c r="AN3" s="142" t="s">
        <v>215</v>
      </c>
      <c r="AO3" s="142" t="s">
        <v>216</v>
      </c>
      <c r="AP3" s="142" t="s">
        <v>217</v>
      </c>
      <c r="AQ3" s="142" t="s">
        <v>218</v>
      </c>
      <c r="AR3" s="142" t="s">
        <v>219</v>
      </c>
      <c r="AS3" s="142" t="s">
        <v>220</v>
      </c>
      <c r="AT3" s="142" t="s">
        <v>252</v>
      </c>
      <c r="AU3" s="142" t="s">
        <v>221</v>
      </c>
      <c r="AV3" s="142" t="s">
        <v>222</v>
      </c>
      <c r="AW3" s="142" t="s">
        <v>223</v>
      </c>
      <c r="AX3" s="142" t="s">
        <v>224</v>
      </c>
      <c r="AY3" s="142" t="s">
        <v>225</v>
      </c>
      <c r="AZ3" s="142" t="s">
        <v>226</v>
      </c>
      <c r="BA3" s="142" t="s">
        <v>227</v>
      </c>
      <c r="BB3" s="142" t="s">
        <v>228</v>
      </c>
      <c r="BC3" s="142" t="s">
        <v>229</v>
      </c>
      <c r="BD3" s="142" t="s">
        <v>230</v>
      </c>
      <c r="BE3" s="142" t="s">
        <v>231</v>
      </c>
      <c r="BF3" s="142" t="s">
        <v>232</v>
      </c>
      <c r="BG3" s="142" t="s">
        <v>233</v>
      </c>
      <c r="BH3" s="142" t="s">
        <v>234</v>
      </c>
      <c r="BI3" s="142" t="s">
        <v>235</v>
      </c>
      <c r="BJ3" s="142" t="s">
        <v>236</v>
      </c>
      <c r="BK3" s="142" t="s">
        <v>237</v>
      </c>
      <c r="BL3" s="142" t="s">
        <v>238</v>
      </c>
      <c r="BM3" s="142" t="s">
        <v>239</v>
      </c>
      <c r="BN3" s="142" t="s">
        <v>240</v>
      </c>
      <c r="BO3" s="142" t="s">
        <v>241</v>
      </c>
      <c r="BP3" s="142" t="s">
        <v>259</v>
      </c>
      <c r="BQ3" s="142" t="s">
        <v>242</v>
      </c>
      <c r="BR3" s="142" t="s">
        <v>243</v>
      </c>
      <c r="BS3" s="142" t="s">
        <v>244</v>
      </c>
      <c r="BT3" s="142" t="s">
        <v>245</v>
      </c>
      <c r="BU3" s="142" t="s">
        <v>246</v>
      </c>
      <c r="BV3" s="142" t="s">
        <v>247</v>
      </c>
      <c r="BW3" s="142" t="s">
        <v>248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38"/>
      <c r="G4" s="239"/>
      <c r="H4" s="240" t="s">
        <v>2</v>
      </c>
      <c r="I4" s="238"/>
      <c r="J4" s="238"/>
      <c r="K4" s="238"/>
      <c r="L4" s="238"/>
      <c r="M4" s="238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249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5" t="s">
        <v>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65173.01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14655.6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9645.43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2767.8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4759.92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4066.68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2106.15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148043.62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151232.39000000001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86933.77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489384.37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343999.98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59943.29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50462.57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119073.48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643753.80000000005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208054.9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34028.31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107667.16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50049.4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25575.77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1642608.66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149443.78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46663.53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486947.31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108928.96000000001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124979.44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916963.02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2033.75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5149.5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7183.25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69987.929999999993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0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47077.73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113744.71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88407.77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2672.23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42553.7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-8587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82157.42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887737.19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477989.49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14751.84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1818493.01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51538.52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51538.52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4926170.8299999991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262006.10000000021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5188176.93</v>
      </c>
      <c r="H89" s="121">
        <f>'Model Inputs'!H31</f>
        <v>5114415.0699999994</v>
      </c>
      <c r="I89" s="122">
        <f>'Model Inputs'!I31</f>
        <v>5713682.0799999991</v>
      </c>
      <c r="J89" s="122">
        <f>'Model Inputs'!J31</f>
        <v>6086327.1399999997</v>
      </c>
      <c r="K89" s="122">
        <f>'Model Inputs'!K31</f>
        <v>6517723</v>
      </c>
      <c r="L89" s="122">
        <f>'Model Inputs'!L31</f>
        <v>6882282.2924179398</v>
      </c>
      <c r="M89" s="123">
        <f>'Model Inputs'!M31</f>
        <v>0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2340844.21</v>
      </c>
      <c r="H92" s="121">
        <f>'Model Inputs'!H9</f>
        <v>4689107.55</v>
      </c>
      <c r="I92" s="122">
        <f>'Model Inputs'!I9</f>
        <v>4373253.8</v>
      </c>
      <c r="J92" s="122">
        <f>'Model Inputs'!J9</f>
        <v>5000963.4000000004</v>
      </c>
      <c r="K92" s="122">
        <f>'Model Inputs'!K9</f>
        <v>3899673</v>
      </c>
      <c r="L92" s="122">
        <f>'Model Inputs'!L9</f>
        <v>4270000</v>
      </c>
      <c r="M92" s="123">
        <f>'Model Inputs'!M9</f>
        <v>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13936</v>
      </c>
      <c r="H96" s="121">
        <f>'Model Inputs'!H13</f>
        <v>14180</v>
      </c>
      <c r="I96" s="122">
        <f>'Model Inputs'!I13</f>
        <v>14351</v>
      </c>
      <c r="J96" s="122">
        <f>'Model Inputs'!J13</f>
        <v>14594</v>
      </c>
      <c r="K96" s="122">
        <f>'Model Inputs'!K13</f>
        <v>14737.8562794757</v>
      </c>
      <c r="L96" s="122">
        <f>'Model Inputs'!L13</f>
        <v>14883.42744964303</v>
      </c>
      <c r="M96" s="123">
        <f>'Model Inputs'!M13</f>
        <v>0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284874312.26999998</v>
      </c>
      <c r="H97" s="121">
        <f>'Model Inputs'!H14</f>
        <v>289011195.91000003</v>
      </c>
      <c r="I97" s="122">
        <f>'Model Inputs'!I14</f>
        <v>301812636.48000002</v>
      </c>
      <c r="J97" s="122">
        <f>'Model Inputs'!J14</f>
        <v>295650254.85000002</v>
      </c>
      <c r="K97" s="122">
        <f>'Model Inputs'!K14</f>
        <v>295848093.17118603</v>
      </c>
      <c r="L97" s="122">
        <f>'Model Inputs'!L14</f>
        <v>296528341.48682636</v>
      </c>
      <c r="M97" s="123">
        <f>'Model Inputs'!M14</f>
        <v>0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47322</v>
      </c>
      <c r="H98" s="121">
        <f>'Model Inputs'!H15</f>
        <v>48124</v>
      </c>
      <c r="I98" s="122">
        <f>'Model Inputs'!I15</f>
        <v>51997</v>
      </c>
      <c r="J98" s="122">
        <f>'Model Inputs'!J15</f>
        <v>51429</v>
      </c>
      <c r="K98" s="122">
        <f>'Model Inputs'!K15</f>
        <v>51463.414403009519</v>
      </c>
      <c r="L98" s="122">
        <f>'Model Inputs'!L15</f>
        <v>51581.74506584902</v>
      </c>
      <c r="M98" s="123">
        <f>'Model Inputs'!M15</f>
        <v>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353</v>
      </c>
      <c r="H99" s="121">
        <f>'Model Inputs'!H16</f>
        <v>364</v>
      </c>
      <c r="I99" s="122">
        <f>'Model Inputs'!I16</f>
        <v>385</v>
      </c>
      <c r="J99" s="122">
        <f>'Model Inputs'!J16</f>
        <v>385</v>
      </c>
      <c r="K99" s="122">
        <f>'Model Inputs'!K16</f>
        <v>385</v>
      </c>
      <c r="L99" s="122">
        <f>'Model Inputs'!L16</f>
        <v>385</v>
      </c>
      <c r="M99" s="123">
        <f>'Model Inputs'!M16</f>
        <v>0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5" t="s">
        <v>93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5188176.93</v>
      </c>
      <c r="H107" s="15">
        <f t="shared" ref="H107:K107" si="5">H89</f>
        <v>5114415.0699999994</v>
      </c>
      <c r="I107" s="15">
        <f t="shared" si="5"/>
        <v>5713682.0799999991</v>
      </c>
      <c r="J107" s="15">
        <f t="shared" si="5"/>
        <v>6086327.1399999997</v>
      </c>
      <c r="K107" s="15">
        <f t="shared" si="5"/>
        <v>6517723</v>
      </c>
      <c r="L107" s="15">
        <f t="shared" ref="L107" si="6">L89</f>
        <v>6882282.2924179398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5.0020000000000002E-2</v>
      </c>
      <c r="I110" s="125">
        <f>'Model Inputs'!I22</f>
        <v>5.4651999999999999E-2</v>
      </c>
      <c r="J110" s="125">
        <f>'Model Inputs'!J22</f>
        <v>6.6699999999999995E-2</v>
      </c>
      <c r="K110" s="125">
        <f>'Model Inputs'!K22</f>
        <v>6.5000000000000002E-2</v>
      </c>
      <c r="L110" s="125">
        <f>'Model Inputs'!L22</f>
        <v>6.5000000000000002E-2</v>
      </c>
      <c r="M110" s="126">
        <f>'Model Inputs'!M22</f>
        <v>0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183.59823495633077</v>
      </c>
      <c r="I112" s="128">
        <f>H112*EXP('Model Inputs'!I21)</f>
        <v>194.67610314145958</v>
      </c>
      <c r="J112" s="128">
        <f>I112*EXP('Model Inputs'!J21)</f>
        <v>202.21614862810989</v>
      </c>
      <c r="K112" s="128">
        <f>J112*EXP('Model Inputs'!K21)</f>
        <v>214.50588374253104</v>
      </c>
      <c r="L112" s="128">
        <f>K112*EXP('Model Inputs'!L21)</f>
        <v>227.54253046716391</v>
      </c>
      <c r="M112" s="129">
        <f>L112*EXP('Model Inputs'!M21)</f>
        <v>227.54253046716391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17.250526212294268</v>
      </c>
      <c r="I113" s="15">
        <f t="shared" si="8"/>
        <v>18.969643871026385</v>
      </c>
      <c r="J113" s="15">
        <f t="shared" si="8"/>
        <v>22.266617301565596</v>
      </c>
      <c r="K113" s="15">
        <f t="shared" si="8"/>
        <v>22.989869724609321</v>
      </c>
      <c r="L113" s="15">
        <f t="shared" si="8"/>
        <v>24.387084591707342</v>
      </c>
      <c r="M113" s="15">
        <f t="shared" si="8"/>
        <v>10.444202148442825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2340844.21</v>
      </c>
      <c r="H114" s="130">
        <f>H92</f>
        <v>4689107.55</v>
      </c>
      <c r="I114" s="131">
        <f t="shared" ref="I114:L114" si="9">I92</f>
        <v>4373253.8</v>
      </c>
      <c r="J114" s="131">
        <f t="shared" si="9"/>
        <v>5000963.4000000004</v>
      </c>
      <c r="K114" s="131">
        <f t="shared" si="9"/>
        <v>3899673</v>
      </c>
      <c r="L114" s="131">
        <f t="shared" si="9"/>
        <v>4270000</v>
      </c>
      <c r="M114" s="132">
        <f t="shared" ref="M114" si="10">M92</f>
        <v>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13270.333690215473</v>
      </c>
      <c r="H116" s="6">
        <f t="shared" ref="H116:K116" si="13">(H114-H115)/H112</f>
        <v>25540.04700053524</v>
      </c>
      <c r="I116" s="6">
        <f t="shared" si="13"/>
        <v>22464.255907270835</v>
      </c>
      <c r="J116" s="6">
        <f t="shared" si="13"/>
        <v>24730.781561848125</v>
      </c>
      <c r="K116" s="6">
        <f t="shared" si="13"/>
        <v>18179.795033877639</v>
      </c>
      <c r="L116" s="6">
        <f t="shared" ref="L116:M116" si="14">(L114-L115)/L112</f>
        <v>18765.72257165872</v>
      </c>
      <c r="M116" s="6">
        <f t="shared" si="14"/>
        <v>0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12762.570373356917</v>
      </c>
      <c r="H117" s="17">
        <f t="shared" ref="H117:M117" si="15">H111*G118</f>
        <v>12785.876709600725</v>
      </c>
      <c r="I117" s="17">
        <f t="shared" si="15"/>
        <v>13371.293125954619</v>
      </c>
      <c r="J117" s="17">
        <f t="shared" si="15"/>
        <v>13788.660117617032</v>
      </c>
      <c r="K117" s="17">
        <f t="shared" si="15"/>
        <v>14290.903491907238</v>
      </c>
      <c r="L117" s="17">
        <f t="shared" si="15"/>
        <v>14469.40361368368</v>
      </c>
      <c r="M117" s="17">
        <f t="shared" si="15"/>
        <v>14666.604653854736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278559.40543792426</v>
      </c>
      <c r="H118" s="17">
        <f t="shared" ref="H118:M118" si="16">G118+H116-H117</f>
        <v>291313.57572885876</v>
      </c>
      <c r="I118" s="17">
        <f t="shared" si="16"/>
        <v>300406.53851017496</v>
      </c>
      <c r="J118" s="17">
        <f t="shared" si="16"/>
        <v>311348.65995440603</v>
      </c>
      <c r="K118" s="17">
        <f t="shared" si="16"/>
        <v>315237.55149637646</v>
      </c>
      <c r="L118" s="17">
        <f t="shared" si="16"/>
        <v>319533.87045435153</v>
      </c>
      <c r="M118" s="17">
        <f t="shared" si="16"/>
        <v>304867.2658004968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4823179.1478383197</v>
      </c>
      <c r="H119" s="17">
        <f t="shared" ref="H119:K119" si="17">H113*H118</f>
        <v>5025312.4741078494</v>
      </c>
      <c r="I119" s="17">
        <f t="shared" si="17"/>
        <v>5698605.0520657916</v>
      </c>
      <c r="J119" s="17">
        <f t="shared" si="17"/>
        <v>6932681.4585600402</v>
      </c>
      <c r="K119" s="17">
        <f t="shared" si="17"/>
        <v>7247270.2412065165</v>
      </c>
      <c r="L119" s="17">
        <f t="shared" ref="L119:M119" si="18">L113*L118</f>
        <v>7792499.5286859265</v>
      </c>
      <c r="M119" s="17">
        <f t="shared" si="18"/>
        <v>3184095.3524634382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10011356.07783832</v>
      </c>
      <c r="H121" s="17">
        <f t="shared" ref="H121:K121" si="19">H107+H119</f>
        <v>10139727.544107849</v>
      </c>
      <c r="I121" s="17">
        <f t="shared" si="19"/>
        <v>11412287.132065792</v>
      </c>
      <c r="J121" s="17">
        <f t="shared" si="19"/>
        <v>13019008.598560039</v>
      </c>
      <c r="K121" s="17">
        <f t="shared" si="19"/>
        <v>13764993.241206516</v>
      </c>
      <c r="L121" s="17">
        <f t="shared" ref="L121:M121" si="20">L107+L119</f>
        <v>14674781.821103867</v>
      </c>
      <c r="M121" s="17">
        <f t="shared" si="20"/>
        <v>3184095.3524634382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5" t="s">
        <v>108</v>
      </c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13936</v>
      </c>
      <c r="H128" s="6">
        <f t="shared" ref="H128:K130" si="21">H96</f>
        <v>14180</v>
      </c>
      <c r="I128" s="6">
        <f t="shared" si="21"/>
        <v>14351</v>
      </c>
      <c r="J128" s="6">
        <f t="shared" si="21"/>
        <v>14594</v>
      </c>
      <c r="K128" s="6">
        <f t="shared" si="21"/>
        <v>14737.8562794757</v>
      </c>
      <c r="L128" s="6">
        <f t="shared" ref="L128:M128" si="22">L96</f>
        <v>14883.42744964303</v>
      </c>
      <c r="M128" s="6">
        <f t="shared" si="22"/>
        <v>0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284874312.26999998</v>
      </c>
      <c r="H129" s="24">
        <f t="shared" si="21"/>
        <v>289011195.91000003</v>
      </c>
      <c r="I129" s="24">
        <f t="shared" si="21"/>
        <v>301812636.48000002</v>
      </c>
      <c r="J129" s="24">
        <f t="shared" si="21"/>
        <v>295650254.85000002</v>
      </c>
      <c r="K129" s="24">
        <f t="shared" si="21"/>
        <v>295848093.17118603</v>
      </c>
      <c r="L129" s="24">
        <f t="shared" ref="L129:M129" si="23">L97</f>
        <v>296528341.48682636</v>
      </c>
      <c r="M129" s="24">
        <f t="shared" si="23"/>
        <v>0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47322</v>
      </c>
      <c r="H130" s="6">
        <f t="shared" si="21"/>
        <v>48124</v>
      </c>
      <c r="I130" s="6">
        <f t="shared" si="21"/>
        <v>51997</v>
      </c>
      <c r="J130" s="6">
        <f t="shared" si="21"/>
        <v>51429</v>
      </c>
      <c r="K130" s="6">
        <f t="shared" si="21"/>
        <v>51463.414403009519</v>
      </c>
      <c r="L130" s="6">
        <f t="shared" ref="L130:M130" si="24">L98</f>
        <v>51581.74506584902</v>
      </c>
      <c r="M130" s="6">
        <f t="shared" si="24"/>
        <v>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69984</v>
      </c>
      <c r="H131" s="6">
        <f t="shared" ref="H131:M131" si="25">MAX(G131,H130)</f>
        <v>69984</v>
      </c>
      <c r="I131" s="6">
        <f t="shared" si="25"/>
        <v>69984</v>
      </c>
      <c r="J131" s="6">
        <f t="shared" si="25"/>
        <v>69984</v>
      </c>
      <c r="K131" s="6">
        <f t="shared" si="25"/>
        <v>69984</v>
      </c>
      <c r="L131" s="6">
        <f t="shared" si="25"/>
        <v>69984</v>
      </c>
      <c r="M131" s="6">
        <f t="shared" si="25"/>
        <v>69984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118.57602063213346</v>
      </c>
      <c r="I134" s="137">
        <f>H134*EXP('Model Inputs'!I21)</f>
        <v>125.73060753103434</v>
      </c>
      <c r="J134" s="137">
        <f>I134*EXP('Model Inputs'!J21)</f>
        <v>130.60030897127382</v>
      </c>
      <c r="K134" s="137">
        <f>J134*EXP('Model Inputs'!K21)</f>
        <v>138.53757418974212</v>
      </c>
      <c r="L134" s="137">
        <f>K134*EXP('Model Inputs'!L21)</f>
        <v>146.95722861268132</v>
      </c>
      <c r="M134" s="138">
        <f>L134*EXP('Model Inputs'!M21)</f>
        <v>146.95722861268132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250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1161.2205278084277</v>
      </c>
      <c r="I135" s="128">
        <f>H135*EXP('Model Inputs'!I20)</f>
        <v>1197.1289526036007</v>
      </c>
      <c r="J135" s="128">
        <f>I135*EXP('Model Inputs'!J20)</f>
        <v>1239.7703372909391</v>
      </c>
      <c r="K135" s="128">
        <f>J135*EXP('Model Inputs'!K20)</f>
        <v>1268.6155028729861</v>
      </c>
      <c r="L135" s="128">
        <f>K135*EXP('Model Inputs'!L20)</f>
        <v>1298.1317956407938</v>
      </c>
      <c r="M135" s="129">
        <f>L135*EXP('Model Inputs'!M20)</f>
        <v>1298.1317956407938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3.3377777545102204E-2</v>
      </c>
      <c r="I136" s="25">
        <f t="shared" ref="I136:M136" si="27">LN(I134/H134)*0.3+LN(I135/H135)*0.7</f>
        <v>3.8894354667321288E-2</v>
      </c>
      <c r="J136" s="25">
        <f t="shared" si="27"/>
        <v>3.5899999999999994E-2</v>
      </c>
      <c r="K136" s="25">
        <f t="shared" si="27"/>
        <v>3.3800000000000052E-2</v>
      </c>
      <c r="L136" s="25">
        <f t="shared" si="27"/>
        <v>3.3800000000000052E-2</v>
      </c>
      <c r="M136" s="25">
        <f t="shared" si="27"/>
        <v>0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139.41058766261668</v>
      </c>
      <c r="H137" s="15">
        <f t="shared" ref="H137:M137" si="28">G137*EXP(H136)</f>
        <v>144.14233150638228</v>
      </c>
      <c r="I137" s="15">
        <f t="shared" si="28"/>
        <v>149.85910899311455</v>
      </c>
      <c r="J137" s="15">
        <f t="shared" si="28"/>
        <v>155.33678703221972</v>
      </c>
      <c r="K137" s="15">
        <f t="shared" si="28"/>
        <v>160.67691012636072</v>
      </c>
      <c r="L137" s="15">
        <f t="shared" si="28"/>
        <v>166.20061442625089</v>
      </c>
      <c r="M137" s="15">
        <f t="shared" si="28"/>
        <v>166.20061442625089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17.250526212294268</v>
      </c>
      <c r="I139" s="15">
        <f t="shared" si="29"/>
        <v>18.969643871026385</v>
      </c>
      <c r="J139" s="15">
        <f t="shared" si="29"/>
        <v>22.266617301565596</v>
      </c>
      <c r="K139" s="15">
        <f t="shared" si="29"/>
        <v>22.989869724609321</v>
      </c>
      <c r="L139" s="15">
        <f t="shared" ref="L139:M139" si="30">L113</f>
        <v>24.387084591707342</v>
      </c>
      <c r="M139" s="15">
        <f t="shared" si="30"/>
        <v>10.444202148442825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353</v>
      </c>
      <c r="H142" s="26">
        <f>'Model Inputs'!H16</f>
        <v>364</v>
      </c>
      <c r="I142" s="26">
        <f>'Model Inputs'!I16</f>
        <v>385</v>
      </c>
      <c r="J142" s="26">
        <f>'Model Inputs'!J16</f>
        <v>385</v>
      </c>
      <c r="K142" s="26">
        <f>'Model Inputs'!K16</f>
        <v>385</v>
      </c>
      <c r="L142" s="26">
        <f>'Model Inputs'!L16</f>
        <v>385</v>
      </c>
      <c r="M142" s="26">
        <f>'Model Inputs'!M16</f>
        <v>0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493.10526315789474</v>
      </c>
      <c r="H143" s="22">
        <f>(G143*19+H142)/20</f>
        <v>486.65</v>
      </c>
      <c r="I143" s="22">
        <f>(H143*20+I142)/21</f>
        <v>481.8095238095238</v>
      </c>
      <c r="J143" s="22">
        <f>(I143*21+J142)/22</f>
        <v>477.40909090909093</v>
      </c>
      <c r="K143" s="22">
        <f>(J143*22+K142)/23</f>
        <v>473.39130434782606</v>
      </c>
      <c r="L143" s="22">
        <f>(K143*23+L142)/24</f>
        <v>469.70833333333331</v>
      </c>
      <c r="M143" s="22">
        <f>(L143*24+M142)/25</f>
        <v>450.92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12816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8.7390761548064924E-2</v>
      </c>
      <c r="H145" s="19">
        <f>'Model Inputs'!H17</f>
        <v>8.750671063731881E-2</v>
      </c>
      <c r="I145" s="19">
        <f>'Model Inputs'!I17</f>
        <v>9.0087352829472084E-2</v>
      </c>
      <c r="J145" s="19">
        <f>'Model Inputs'!J17</f>
        <v>0.10368297663162673</v>
      </c>
      <c r="K145" s="19">
        <f>'Model Inputs'!K17</f>
        <v>0.11111702951415103</v>
      </c>
      <c r="L145" s="19">
        <f>'Model Inputs'!L17</f>
        <v>0.11528118768400364</v>
      </c>
      <c r="M145" s="19">
        <f>'Model Inputs'!M17</f>
        <v>0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0.12419948887193055</v>
      </c>
      <c r="H152" s="27">
        <f t="shared" ref="H152:K152" si="33">H113/H137</f>
        <v>0.11967703055733114</v>
      </c>
      <c r="I152" s="27">
        <f t="shared" si="33"/>
        <v>0.12658318869290733</v>
      </c>
      <c r="J152" s="27">
        <f t="shared" si="33"/>
        <v>0.14334413455421277</v>
      </c>
      <c r="K152" s="27">
        <f t="shared" si="33"/>
        <v>0.14308135317345508</v>
      </c>
      <c r="L152" s="27">
        <f t="shared" ref="L152:M152" si="34">L113/L137</f>
        <v>0.14673281850307934</v>
      </c>
      <c r="M152" s="27">
        <f t="shared" si="34"/>
        <v>6.2840935844297299E-2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13936</v>
      </c>
      <c r="H153" s="17">
        <f t="shared" ref="H153:K153" si="35">H96</f>
        <v>14180</v>
      </c>
      <c r="I153" s="17">
        <f t="shared" si="35"/>
        <v>14351</v>
      </c>
      <c r="J153" s="17">
        <f t="shared" si="35"/>
        <v>14594</v>
      </c>
      <c r="K153" s="17">
        <f t="shared" si="35"/>
        <v>14737.8562794757</v>
      </c>
      <c r="L153" s="17">
        <f t="shared" ref="L153:M153" si="36">L96</f>
        <v>14883.42744964303</v>
      </c>
      <c r="M153" s="17">
        <f t="shared" si="36"/>
        <v>0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69984</v>
      </c>
      <c r="H154" s="17">
        <f t="shared" ref="H154:K154" si="37">H131</f>
        <v>69984</v>
      </c>
      <c r="I154" s="17">
        <f t="shared" si="37"/>
        <v>69984</v>
      </c>
      <c r="J154" s="17">
        <f t="shared" si="37"/>
        <v>69984</v>
      </c>
      <c r="K154" s="17">
        <f t="shared" si="37"/>
        <v>69984</v>
      </c>
      <c r="L154" s="17">
        <f t="shared" ref="L154:M154" si="38">L131</f>
        <v>69984</v>
      </c>
      <c r="M154" s="17">
        <f t="shared" si="38"/>
        <v>69984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284874312.26999998</v>
      </c>
      <c r="H155" s="24">
        <f t="shared" ref="H155:K155" si="39">H97</f>
        <v>289011195.91000003</v>
      </c>
      <c r="I155" s="24">
        <f t="shared" si="39"/>
        <v>301812636.48000002</v>
      </c>
      <c r="J155" s="24">
        <f t="shared" si="39"/>
        <v>295650254.85000002</v>
      </c>
      <c r="K155" s="24">
        <f t="shared" si="39"/>
        <v>295848093.17118603</v>
      </c>
      <c r="L155" s="24">
        <f t="shared" ref="L155:M155" si="40">L97</f>
        <v>296528341.48682636</v>
      </c>
      <c r="M155" s="24">
        <f t="shared" si="40"/>
        <v>0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493.10526315789474</v>
      </c>
      <c r="H156" s="28">
        <f t="shared" ref="H156:K156" si="41">H143</f>
        <v>486.65</v>
      </c>
      <c r="I156" s="28">
        <f t="shared" si="41"/>
        <v>481.8095238095238</v>
      </c>
      <c r="J156" s="28">
        <f t="shared" si="41"/>
        <v>477.40909090909093</v>
      </c>
      <c r="K156" s="28">
        <f t="shared" si="41"/>
        <v>473.39130434782606</v>
      </c>
      <c r="L156" s="28">
        <f t="shared" ref="L156:M156" si="42">L143</f>
        <v>469.70833333333331</v>
      </c>
      <c r="M156" s="28">
        <f t="shared" si="42"/>
        <v>450.92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8.7390761548064924E-2</v>
      </c>
      <c r="H157" s="20">
        <f t="shared" ref="H157:L157" si="43">H145</f>
        <v>8.750671063731881E-2</v>
      </c>
      <c r="I157" s="20">
        <f t="shared" si="43"/>
        <v>9.0087352829472084E-2</v>
      </c>
      <c r="J157" s="20">
        <f t="shared" si="43"/>
        <v>0.10368297663162673</v>
      </c>
      <c r="K157" s="20">
        <f t="shared" si="43"/>
        <v>0.11111702951415103</v>
      </c>
      <c r="L157" s="20">
        <f t="shared" si="43"/>
        <v>0.11528118768400364</v>
      </c>
      <c r="M157" s="20">
        <f t="shared" ref="M157" si="44">M145</f>
        <v>0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12.819461334344746</v>
      </c>
      <c r="H162" s="32">
        <f t="shared" ref="H162:M179" si="47">G162</f>
        <v>12.819461334344746</v>
      </c>
      <c r="I162" s="32">
        <f t="shared" si="47"/>
        <v>12.819461334344746</v>
      </c>
      <c r="J162" s="32">
        <f t="shared" si="47"/>
        <v>12.819461334344746</v>
      </c>
      <c r="K162" s="32">
        <f t="shared" si="47"/>
        <v>12.819461334344746</v>
      </c>
      <c r="L162" s="32">
        <f t="shared" si="47"/>
        <v>12.819461334344746</v>
      </c>
      <c r="M162" s="32">
        <f t="shared" si="47"/>
        <v>12.819461334344746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0.62706798998948121</v>
      </c>
      <c r="H163" s="32">
        <f t="shared" si="47"/>
        <v>0.62706798998948121</v>
      </c>
      <c r="I163" s="32">
        <f t="shared" si="47"/>
        <v>0.62706798998948121</v>
      </c>
      <c r="J163" s="32">
        <f t="shared" si="47"/>
        <v>0.62706798998948121</v>
      </c>
      <c r="K163" s="32">
        <f t="shared" si="47"/>
        <v>0.62706798998948121</v>
      </c>
      <c r="L163" s="32">
        <f t="shared" si="47"/>
        <v>0.62706798998948121</v>
      </c>
      <c r="M163" s="32">
        <f t="shared" si="47"/>
        <v>0.62706798998948121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0.43982965445396532</v>
      </c>
      <c r="H164" s="32">
        <f t="shared" si="47"/>
        <v>0.43982965445396532</v>
      </c>
      <c r="I164" s="32">
        <f t="shared" si="47"/>
        <v>0.43982965445396532</v>
      </c>
      <c r="J164" s="32">
        <f t="shared" si="47"/>
        <v>0.43982965445396532</v>
      </c>
      <c r="K164" s="32">
        <f t="shared" si="47"/>
        <v>0.43982965445396532</v>
      </c>
      <c r="L164" s="32">
        <f t="shared" si="47"/>
        <v>0.43982965445396532</v>
      </c>
      <c r="M164" s="32">
        <f t="shared" si="47"/>
        <v>0.43982965445396532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0.15708779987464641</v>
      </c>
      <c r="H165" s="32">
        <f t="shared" si="47"/>
        <v>0.15708779987464641</v>
      </c>
      <c r="I165" s="32">
        <f t="shared" si="47"/>
        <v>0.15708779987464641</v>
      </c>
      <c r="J165" s="32">
        <f t="shared" si="47"/>
        <v>0.15708779987464641</v>
      </c>
      <c r="K165" s="32">
        <f t="shared" si="47"/>
        <v>0.15708779987464641</v>
      </c>
      <c r="L165" s="32">
        <f t="shared" si="47"/>
        <v>0.15708779987464641</v>
      </c>
      <c r="M165" s="32">
        <f t="shared" si="47"/>
        <v>0.15708779987464641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0.10423208482699614</v>
      </c>
      <c r="H166" s="32">
        <f t="shared" si="47"/>
        <v>0.10423208482699614</v>
      </c>
      <c r="I166" s="32">
        <f t="shared" si="47"/>
        <v>0.10423208482699614</v>
      </c>
      <c r="J166" s="32">
        <f t="shared" si="47"/>
        <v>0.10423208482699614</v>
      </c>
      <c r="K166" s="32">
        <f t="shared" si="47"/>
        <v>0.10423208482699614</v>
      </c>
      <c r="L166" s="32">
        <f t="shared" si="47"/>
        <v>0.10423208482699614</v>
      </c>
      <c r="M166" s="32">
        <f t="shared" si="47"/>
        <v>0.10423208482699614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0.12617818185698848</v>
      </c>
      <c r="H167" s="32">
        <f t="shared" si="47"/>
        <v>0.12617818185698848</v>
      </c>
      <c r="I167" s="32">
        <f t="shared" si="47"/>
        <v>0.12617818185698848</v>
      </c>
      <c r="J167" s="32">
        <f t="shared" si="47"/>
        <v>0.12617818185698848</v>
      </c>
      <c r="K167" s="32">
        <f t="shared" si="47"/>
        <v>0.12617818185698848</v>
      </c>
      <c r="L167" s="32">
        <f t="shared" si="47"/>
        <v>0.12617818185698848</v>
      </c>
      <c r="M167" s="32">
        <f t="shared" si="47"/>
        <v>0.12617818185698848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-0.37768395522454962</v>
      </c>
      <c r="H168" s="32">
        <f t="shared" si="47"/>
        <v>-0.37768395522454962</v>
      </c>
      <c r="I168" s="32">
        <f t="shared" si="47"/>
        <v>-0.37768395522454962</v>
      </c>
      <c r="J168" s="32">
        <f t="shared" si="47"/>
        <v>-0.37768395522454962</v>
      </c>
      <c r="K168" s="32">
        <f t="shared" si="47"/>
        <v>-0.37768395522454962</v>
      </c>
      <c r="L168" s="32">
        <f t="shared" si="47"/>
        <v>-0.37768395522454962</v>
      </c>
      <c r="M168" s="32">
        <f t="shared" si="47"/>
        <v>-0.37768395522454962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0.17512836761040085</v>
      </c>
      <c r="H169" s="32">
        <f t="shared" si="47"/>
        <v>0.17512836761040085</v>
      </c>
      <c r="I169" s="32">
        <f t="shared" si="47"/>
        <v>0.17512836761040085</v>
      </c>
      <c r="J169" s="32">
        <f t="shared" si="47"/>
        <v>0.17512836761040085</v>
      </c>
      <c r="K169" s="32">
        <f t="shared" si="47"/>
        <v>0.17512836761040085</v>
      </c>
      <c r="L169" s="32">
        <f t="shared" si="47"/>
        <v>0.17512836761040085</v>
      </c>
      <c r="M169" s="32">
        <f t="shared" si="47"/>
        <v>0.17512836761040085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0.16973497702744425</v>
      </c>
      <c r="H170" s="32">
        <f t="shared" si="47"/>
        <v>0.16973497702744425</v>
      </c>
      <c r="I170" s="32">
        <f t="shared" si="47"/>
        <v>0.16973497702744425</v>
      </c>
      <c r="J170" s="32">
        <f t="shared" si="47"/>
        <v>0.16973497702744425</v>
      </c>
      <c r="K170" s="32">
        <f t="shared" si="47"/>
        <v>0.16973497702744425</v>
      </c>
      <c r="L170" s="32">
        <f t="shared" si="47"/>
        <v>0.16973497702744425</v>
      </c>
      <c r="M170" s="32">
        <f t="shared" si="47"/>
        <v>0.16973497702744425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5.2741199780716452E-2</v>
      </c>
      <c r="H171" s="32">
        <f t="shared" si="47"/>
        <v>5.2741199780716452E-2</v>
      </c>
      <c r="I171" s="32">
        <f t="shared" si="47"/>
        <v>5.2741199780716452E-2</v>
      </c>
      <c r="J171" s="32">
        <f t="shared" si="47"/>
        <v>5.2741199780716452E-2</v>
      </c>
      <c r="K171" s="32">
        <f t="shared" si="47"/>
        <v>5.2741199780716452E-2</v>
      </c>
      <c r="L171" s="32">
        <f t="shared" si="47"/>
        <v>5.2741199780716452E-2</v>
      </c>
      <c r="M171" s="32">
        <f t="shared" si="47"/>
        <v>5.2741199780716452E-2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1.1020866526093354E-2</v>
      </c>
      <c r="H172" s="32">
        <f t="shared" si="47"/>
        <v>1.1020866526093354E-2</v>
      </c>
      <c r="I172" s="32">
        <f t="shared" si="47"/>
        <v>1.1020866526093354E-2</v>
      </c>
      <c r="J172" s="32">
        <f t="shared" si="47"/>
        <v>1.1020866526093354E-2</v>
      </c>
      <c r="K172" s="32">
        <f t="shared" si="47"/>
        <v>1.1020866526093354E-2</v>
      </c>
      <c r="L172" s="32">
        <f t="shared" si="47"/>
        <v>1.1020866526093354E-2</v>
      </c>
      <c r="M172" s="32">
        <f t="shared" si="47"/>
        <v>1.1020866526093354E-2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-3.0347596960900169E-4</v>
      </c>
      <c r="H173" s="32">
        <f t="shared" si="47"/>
        <v>-3.0347596960900169E-4</v>
      </c>
      <c r="I173" s="32">
        <f t="shared" si="47"/>
        <v>-3.0347596960900169E-4</v>
      </c>
      <c r="J173" s="32">
        <f t="shared" si="47"/>
        <v>-3.0347596960900169E-4</v>
      </c>
      <c r="K173" s="32">
        <f t="shared" si="47"/>
        <v>-3.0347596960900169E-4</v>
      </c>
      <c r="L173" s="32">
        <f t="shared" si="47"/>
        <v>-3.0347596960900169E-4</v>
      </c>
      <c r="M173" s="32">
        <f t="shared" si="47"/>
        <v>-3.0347596960900169E-4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0.15126628844982973</v>
      </c>
      <c r="H174" s="32">
        <f t="shared" si="47"/>
        <v>0.15126628844982973</v>
      </c>
      <c r="I174" s="32">
        <f t="shared" si="47"/>
        <v>0.15126628844982973</v>
      </c>
      <c r="J174" s="32">
        <f t="shared" si="47"/>
        <v>0.15126628844982973</v>
      </c>
      <c r="K174" s="32">
        <f t="shared" si="47"/>
        <v>0.15126628844982973</v>
      </c>
      <c r="L174" s="32">
        <f t="shared" si="47"/>
        <v>0.15126628844982973</v>
      </c>
      <c r="M174" s="32">
        <f t="shared" si="47"/>
        <v>0.15126628844982973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5.5763489209087289E-2</v>
      </c>
      <c r="H175" s="32">
        <f t="shared" si="47"/>
        <v>5.5763489209087289E-2</v>
      </c>
      <c r="I175" s="32">
        <f t="shared" si="47"/>
        <v>5.5763489209087289E-2</v>
      </c>
      <c r="J175" s="32">
        <f t="shared" si="47"/>
        <v>5.5763489209087289E-2</v>
      </c>
      <c r="K175" s="32">
        <f t="shared" si="47"/>
        <v>5.5763489209087289E-2</v>
      </c>
      <c r="L175" s="32">
        <f t="shared" si="47"/>
        <v>5.5763489209087289E-2</v>
      </c>
      <c r="M175" s="32">
        <f t="shared" si="47"/>
        <v>5.5763489209087289E-2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-0.19213129090158865</v>
      </c>
      <c r="H176" s="32">
        <f t="shared" si="47"/>
        <v>-0.19213129090158865</v>
      </c>
      <c r="I176" s="32">
        <f t="shared" si="47"/>
        <v>-0.19213129090158865</v>
      </c>
      <c r="J176" s="32">
        <f t="shared" si="47"/>
        <v>-0.19213129090158865</v>
      </c>
      <c r="K176" s="32">
        <f t="shared" si="47"/>
        <v>-0.19213129090158865</v>
      </c>
      <c r="L176" s="32">
        <f t="shared" si="47"/>
        <v>-0.19213129090158865</v>
      </c>
      <c r="M176" s="32">
        <f t="shared" si="47"/>
        <v>-0.19213129090158865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0.29238266824468462</v>
      </c>
      <c r="H177" s="32">
        <f t="shared" si="47"/>
        <v>0.29238266824468462</v>
      </c>
      <c r="I177" s="32">
        <f t="shared" si="47"/>
        <v>0.29238266824468462</v>
      </c>
      <c r="J177" s="32">
        <f t="shared" si="47"/>
        <v>0.29238266824468462</v>
      </c>
      <c r="K177" s="32">
        <f t="shared" si="47"/>
        <v>0.29238266824468462</v>
      </c>
      <c r="L177" s="32">
        <f t="shared" si="47"/>
        <v>0.29238266824468462</v>
      </c>
      <c r="M177" s="32">
        <f t="shared" si="47"/>
        <v>0.29238266824468462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1.6080247796990361E-2</v>
      </c>
      <c r="H178" s="32">
        <f t="shared" si="47"/>
        <v>1.6080247796990361E-2</v>
      </c>
      <c r="I178" s="32">
        <f t="shared" si="47"/>
        <v>1.6080247796990361E-2</v>
      </c>
      <c r="J178" s="32">
        <f t="shared" si="47"/>
        <v>1.6080247796990361E-2</v>
      </c>
      <c r="K178" s="32">
        <f t="shared" si="47"/>
        <v>1.6080247796990361E-2</v>
      </c>
      <c r="L178" s="32">
        <f t="shared" si="47"/>
        <v>1.6080247796990361E-2</v>
      </c>
      <c r="M178" s="32">
        <f t="shared" si="47"/>
        <v>1.6080247796990361E-2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1.6879451969016607E-2</v>
      </c>
      <c r="H179" s="32">
        <f t="shared" si="47"/>
        <v>1.6879451969016607E-2</v>
      </c>
      <c r="I179" s="32">
        <f t="shared" si="47"/>
        <v>1.6879451969016607E-2</v>
      </c>
      <c r="J179" s="32">
        <f t="shared" si="47"/>
        <v>1.6879451969016607E-2</v>
      </c>
      <c r="K179" s="32">
        <f t="shared" si="47"/>
        <v>1.6879451969016607E-2</v>
      </c>
      <c r="L179" s="32">
        <f t="shared" si="47"/>
        <v>1.6879451969016607E-2</v>
      </c>
      <c r="M179" s="32">
        <f t="shared" si="47"/>
        <v>1.6879451969016607E-2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-0.28041342849404727</v>
      </c>
      <c r="H206" s="31">
        <f t="shared" ref="H206:K209" si="51">LN(H152/H184)</f>
        <v>-0.3175057802233493</v>
      </c>
      <c r="I206" s="31">
        <f t="shared" si="51"/>
        <v>-0.26140277246480315</v>
      </c>
      <c r="J206" s="31">
        <f t="shared" si="51"/>
        <v>-0.13705420808683114</v>
      </c>
      <c r="K206" s="31">
        <f t="shared" si="51"/>
        <v>-0.13888911081543692</v>
      </c>
      <c r="L206" s="31">
        <f t="shared" ref="L206:M206" si="52">LN(L152/L184)</f>
        <v>-0.11368911081543685</v>
      </c>
      <c r="M206" s="31">
        <f t="shared" si="52"/>
        <v>-0.96169577685195962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-1.5153403005589616</v>
      </c>
      <c r="H207" s="31">
        <f t="shared" si="51"/>
        <v>-1.4979831995651272</v>
      </c>
      <c r="I207" s="31">
        <f t="shared" si="51"/>
        <v>-1.4859960944803139</v>
      </c>
      <c r="J207" s="31">
        <f t="shared" si="51"/>
        <v>-1.4692052353256801</v>
      </c>
      <c r="K207" s="31">
        <f t="shared" si="51"/>
        <v>-1.4593962800697933</v>
      </c>
      <c r="L207" s="31">
        <f t="shared" ref="L207:M207" si="53">LN(L153/L185)</f>
        <v>-1.4495673784304692</v>
      </c>
      <c r="M207" s="31" t="e">
        <f t="shared" si="53"/>
        <v>#NUM!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-1.5956516579954414</v>
      </c>
      <c r="H208" s="31">
        <f t="shared" si="51"/>
        <v>-1.5956516579954414</v>
      </c>
      <c r="I208" s="31">
        <f t="shared" si="51"/>
        <v>-1.5956516579954414</v>
      </c>
      <c r="J208" s="31">
        <f t="shared" si="51"/>
        <v>-1.5956516579954414</v>
      </c>
      <c r="K208" s="31">
        <f t="shared" si="51"/>
        <v>-1.5956516579954414</v>
      </c>
      <c r="L208" s="31">
        <f t="shared" ref="L208:M208" si="54">LN(L154/L186)</f>
        <v>-1.5956516579954414</v>
      </c>
      <c r="M208" s="31">
        <f t="shared" si="54"/>
        <v>-1.5956516579954414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-1.7444884234934439</v>
      </c>
      <c r="H209" s="31">
        <f t="shared" si="51"/>
        <v>-1.730071069374761</v>
      </c>
      <c r="I209" s="31">
        <f t="shared" si="51"/>
        <v>-1.6867300810748802</v>
      </c>
      <c r="J209" s="31">
        <f t="shared" si="51"/>
        <v>-1.7073593126443698</v>
      </c>
      <c r="K209" s="31">
        <f t="shared" si="51"/>
        <v>-1.7066903730633034</v>
      </c>
      <c r="L209" s="31">
        <f t="shared" ref="L209:M209" si="55">LN(L155/L187)</f>
        <v>-1.7043936962380573</v>
      </c>
      <c r="M209" s="31" t="e">
        <f t="shared" si="55"/>
        <v>#NUM!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3.9315845439893082E-2</v>
      </c>
      <c r="H210" s="31">
        <f t="shared" ref="H210:K213" si="56">H206*H206/2</f>
        <v>5.0404960237618895E-2</v>
      </c>
      <c r="I210" s="31">
        <f t="shared" si="56"/>
        <v>3.4165704726142825E-2</v>
      </c>
      <c r="J210" s="31">
        <f t="shared" si="56"/>
        <v>9.3919279771542043E-3</v>
      </c>
      <c r="K210" s="31">
        <f t="shared" si="56"/>
        <v>9.6450925515513593E-3</v>
      </c>
      <c r="L210" s="31">
        <f t="shared" ref="L210:M210" si="57">L206*L206/2</f>
        <v>6.4626069590023403E-3</v>
      </c>
      <c r="M210" s="31">
        <f t="shared" si="57"/>
        <v>0.46242938360744706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1.1481281132490622</v>
      </c>
      <c r="H211" s="31">
        <f t="shared" si="56"/>
        <v>1.1219768330896878</v>
      </c>
      <c r="I211" s="31">
        <f t="shared" si="56"/>
        <v>1.1040921964053729</v>
      </c>
      <c r="J211" s="31">
        <f t="shared" si="56"/>
        <v>1.0792820117541937</v>
      </c>
      <c r="K211" s="31">
        <f t="shared" si="56"/>
        <v>1.0649187511407752</v>
      </c>
      <c r="L211" s="31">
        <f t="shared" ref="L211:M211" si="58">L207*L207/2</f>
        <v>1.0506227923048916</v>
      </c>
      <c r="M211" s="31" t="e">
        <f t="shared" si="58"/>
        <v>#NUM!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1.2730521068318006</v>
      </c>
      <c r="H212" s="31">
        <f t="shared" si="56"/>
        <v>1.2730521068318006</v>
      </c>
      <c r="I212" s="31">
        <f t="shared" si="56"/>
        <v>1.2730521068318006</v>
      </c>
      <c r="J212" s="31">
        <f t="shared" si="56"/>
        <v>1.2730521068318006</v>
      </c>
      <c r="K212" s="31">
        <f t="shared" si="56"/>
        <v>1.2730521068318006</v>
      </c>
      <c r="L212" s="31">
        <f t="shared" ref="L212:M212" si="59">L208*L208/2</f>
        <v>1.2730521068318006</v>
      </c>
      <c r="M212" s="31">
        <f t="shared" si="59"/>
        <v>1.2730521068318006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1.5216199298513207</v>
      </c>
      <c r="H213" s="31">
        <f t="shared" si="56"/>
        <v>1.4965729525437645</v>
      </c>
      <c r="I213" s="31">
        <f t="shared" si="56"/>
        <v>1.422529183201436</v>
      </c>
      <c r="J213" s="31">
        <f t="shared" si="56"/>
        <v>1.4575379112367275</v>
      </c>
      <c r="K213" s="31">
        <f t="shared" si="56"/>
        <v>1.4563960147534789</v>
      </c>
      <c r="L213" s="31">
        <f t="shared" ref="L213:M213" si="60">L209*L209/2</f>
        <v>1.4524789358880135</v>
      </c>
      <c r="M213" s="31" t="e">
        <f t="shared" si="60"/>
        <v>#NUM!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0.4249217690149385</v>
      </c>
      <c r="H214" s="31">
        <f t="shared" ref="H214:K214" si="61">H206*H207</f>
        <v>0.47561832453939484</v>
      </c>
      <c r="I214" s="31">
        <f t="shared" si="61"/>
        <v>0.38844349896902364</v>
      </c>
      <c r="J214" s="31">
        <f t="shared" si="61"/>
        <v>0.20136076004458747</v>
      </c>
      <c r="K214" s="31">
        <f t="shared" si="61"/>
        <v>0.20269425166624994</v>
      </c>
      <c r="L214" s="31">
        <f t="shared" ref="L214:M214" si="62">L206*L207</f>
        <v>0.16480002632082391</v>
      </c>
      <c r="M214" s="31" t="e">
        <f t="shared" si="62"/>
        <v>#NUM!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0.4474421521007127</v>
      </c>
      <c r="H215" s="31">
        <f t="shared" ref="H215:K215" si="63">H206*H208</f>
        <v>0.50662862463652358</v>
      </c>
      <c r="I215" s="31">
        <f t="shared" si="63"/>
        <v>0.41710776728806825</v>
      </c>
      <c r="J215" s="31">
        <f t="shared" si="63"/>
        <v>0.21869077436900433</v>
      </c>
      <c r="K215" s="31">
        <f t="shared" si="63"/>
        <v>0.22161863995016451</v>
      </c>
      <c r="L215" s="31">
        <f t="shared" ref="L215:M215" si="64">L206*L208</f>
        <v>0.18140821816867927</v>
      </c>
      <c r="M215" s="31">
        <f t="shared" si="64"/>
        <v>1.5345314608210434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0.48917797979997207</v>
      </c>
      <c r="H216" s="31">
        <f t="shared" ref="H216:K216" si="65">H206*H209</f>
        <v>0.5493075647236777</v>
      </c>
      <c r="I216" s="31">
        <f t="shared" si="65"/>
        <v>0.44091591959275589</v>
      </c>
      <c r="J216" s="31">
        <f t="shared" si="65"/>
        <v>0.23400077851415044</v>
      </c>
      <c r="K216" s="31">
        <f t="shared" si="65"/>
        <v>0.23704070835202853</v>
      </c>
      <c r="L216" s="31">
        <f t="shared" ref="L216:M216" si="66">L206*L209</f>
        <v>0.19377100380474052</v>
      </c>
      <c r="M216" s="31" t="e">
        <f t="shared" si="66"/>
        <v>#NUM!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2.4179552630142176</v>
      </c>
      <c r="H217" s="31">
        <f t="shared" ref="H217:K217" si="67">H207*H208</f>
        <v>2.3902593760354112</v>
      </c>
      <c r="I217" s="31">
        <f t="shared" si="67"/>
        <v>2.3711321319322636</v>
      </c>
      <c r="J217" s="31">
        <f t="shared" si="67"/>
        <v>2.3443397696830042</v>
      </c>
      <c r="K217" s="31">
        <f t="shared" si="67"/>
        <v>2.3286880939657451</v>
      </c>
      <c r="L217" s="31">
        <f t="shared" ref="L217:M217" si="68">L207*L208</f>
        <v>2.3130045907686836</v>
      </c>
      <c r="M217" s="31" t="e">
        <f t="shared" si="68"/>
        <v>#NUM!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2.6434936119781844</v>
      </c>
      <c r="H218" s="31">
        <f t="shared" ref="H218:K218" si="69">H207*H209</f>
        <v>2.5916173959770656</v>
      </c>
      <c r="I218" s="31">
        <f t="shared" si="69"/>
        <v>2.5064743129197353</v>
      </c>
      <c r="J218" s="31">
        <f t="shared" si="69"/>
        <v>2.5084612407191629</v>
      </c>
      <c r="K218" s="31">
        <f t="shared" si="69"/>
        <v>2.4907375816795128</v>
      </c>
      <c r="L218" s="31">
        <f t="shared" ref="L218:M218" si="70">L207*L209</f>
        <v>2.4706335020692181</v>
      </c>
      <c r="M218" s="31" t="e">
        <f t="shared" si="70"/>
        <v>#NUM!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2.7835958453011673</v>
      </c>
      <c r="H219" s="31">
        <f t="shared" ref="H219:K219" si="71">H208*H209</f>
        <v>2.7605907702977834</v>
      </c>
      <c r="I219" s="31">
        <f t="shared" si="71"/>
        <v>2.6914336504579177</v>
      </c>
      <c r="J219" s="31">
        <f t="shared" si="71"/>
        <v>2.724350718014946</v>
      </c>
      <c r="K219" s="31">
        <f t="shared" si="71"/>
        <v>2.7232833234633187</v>
      </c>
      <c r="L219" s="31">
        <f t="shared" ref="L219:M219" si="72">L208*L209</f>
        <v>2.7196186272792349</v>
      </c>
      <c r="M219" s="31" t="e">
        <f t="shared" si="72"/>
        <v>#NUM!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-1.7086926402508031</v>
      </c>
      <c r="H220" s="31">
        <f t="shared" ref="H220:K220" si="73">LN(H156/H198)</f>
        <v>-1.7218701281630482</v>
      </c>
      <c r="I220" s="31">
        <f t="shared" si="73"/>
        <v>-1.7318664499070926</v>
      </c>
      <c r="J220" s="31">
        <f t="shared" si="73"/>
        <v>-1.7410415507710912</v>
      </c>
      <c r="K220" s="31">
        <f t="shared" si="73"/>
        <v>-1.7494929786333986</v>
      </c>
      <c r="L220" s="31">
        <f t="shared" ref="L220:M220" si="74">LN(L156/L198)</f>
        <v>-1.7573033723389653</v>
      </c>
      <c r="M220" s="31">
        <f t="shared" si="74"/>
        <v>-1.7981253668592203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0.67955491094918297</v>
      </c>
      <c r="H221" s="20">
        <f t="shared" ref="H221:K221" si="75">H157/H199</f>
        <v>0.68045653683762686</v>
      </c>
      <c r="I221" s="20">
        <f t="shared" si="75"/>
        <v>0.7005237389539043</v>
      </c>
      <c r="J221" s="20">
        <f t="shared" si="75"/>
        <v>0.80624398624904148</v>
      </c>
      <c r="K221" s="20">
        <f t="shared" si="75"/>
        <v>0.86405155143196766</v>
      </c>
      <c r="L221" s="20">
        <f t="shared" ref="L221:M221" si="76">L157/L199</f>
        <v>0.89643225259722892</v>
      </c>
      <c r="M221" s="20">
        <f t="shared" si="76"/>
        <v>0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12.819461334344746</v>
      </c>
      <c r="H226" s="228">
        <f t="shared" ref="H226:K241" si="80">H162*H205</f>
        <v>12.819461334344746</v>
      </c>
      <c r="I226" s="33">
        <f t="shared" si="80"/>
        <v>12.819461334344746</v>
      </c>
      <c r="J226" s="33">
        <f t="shared" si="80"/>
        <v>12.819461334344746</v>
      </c>
      <c r="K226" s="33">
        <f t="shared" si="80"/>
        <v>12.819461334344746</v>
      </c>
      <c r="L226" s="33">
        <f t="shared" ref="L226:M226" si="81">L162*L205</f>
        <v>12.819461334344746</v>
      </c>
      <c r="M226" s="33">
        <f t="shared" si="81"/>
        <v>12.819461334344746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-0.17583828497182133</v>
      </c>
      <c r="H227" s="228">
        <f t="shared" si="80"/>
        <v>-0.19909771141469762</v>
      </c>
      <c r="I227" s="33">
        <f t="shared" si="80"/>
        <v>-0.1639173111071818</v>
      </c>
      <c r="J227" s="33">
        <f t="shared" si="80"/>
        <v>-8.5942306784609304E-2</v>
      </c>
      <c r="K227" s="33">
        <f t="shared" si="80"/>
        <v>-8.7092915550462349E-2</v>
      </c>
      <c r="L227" s="33">
        <f t="shared" ref="L227:M227" si="82">L163*L206</f>
        <v>-7.1290802202727377E-2</v>
      </c>
      <c r="M227" s="33">
        <f t="shared" si="82"/>
        <v>-0.60304863777193096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-0.66649160077501601</v>
      </c>
      <c r="H228" s="228">
        <f t="shared" si="80"/>
        <v>-0.65885743304257527</v>
      </c>
      <c r="I228" s="33">
        <f t="shared" si="80"/>
        <v>-0.65358514875521845</v>
      </c>
      <c r="J228" s="33">
        <f t="shared" si="80"/>
        <v>-0.64620003097525069</v>
      </c>
      <c r="K228" s="33">
        <f t="shared" si="80"/>
        <v>-0.64188576157449961</v>
      </c>
      <c r="L228" s="33">
        <f t="shared" ref="L228:M228" si="83">L164*L207</f>
        <v>-0.63756271916281371</v>
      </c>
      <c r="M228" s="33" t="e">
        <f t="shared" si="83"/>
        <v>#NUM!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-0.25065740832083566</v>
      </c>
      <c r="H229" s="228">
        <f t="shared" si="80"/>
        <v>-0.25065740832083566</v>
      </c>
      <c r="I229" s="33">
        <f t="shared" si="80"/>
        <v>-0.25065740832083566</v>
      </c>
      <c r="J229" s="33">
        <f t="shared" si="80"/>
        <v>-0.25065740832083566</v>
      </c>
      <c r="K229" s="33">
        <f t="shared" si="80"/>
        <v>-0.25065740832083566</v>
      </c>
      <c r="L229" s="33">
        <f t="shared" ref="L229:M229" si="84">L165*L208</f>
        <v>-0.25065740832083566</v>
      </c>
      <c r="M229" s="33">
        <f t="shared" si="84"/>
        <v>-0.25065740832083566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-0.1818316653372814</v>
      </c>
      <c r="H230" s="228">
        <f t="shared" si="80"/>
        <v>-0.18032891445980201</v>
      </c>
      <c r="I230" s="33">
        <f t="shared" si="80"/>
        <v>-0.17581139289084299</v>
      </c>
      <c r="J230" s="33">
        <f t="shared" si="80"/>
        <v>-0.17796162070570978</v>
      </c>
      <c r="K230" s="33">
        <f t="shared" si="80"/>
        <v>-0.17789189573855194</v>
      </c>
      <c r="L230" s="33">
        <f t="shared" ref="L230:M230" si="85">L166*L209</f>
        <v>-0.17765250832488269</v>
      </c>
      <c r="M230" s="33" t="e">
        <f t="shared" si="85"/>
        <v>#NUM!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4.9608018957760808E-3</v>
      </c>
      <c r="H231" s="228">
        <f t="shared" si="80"/>
        <v>6.3600062393565499E-3</v>
      </c>
      <c r="I231" s="33">
        <f t="shared" si="80"/>
        <v>4.31096650420742E-3</v>
      </c>
      <c r="J231" s="33">
        <f t="shared" si="80"/>
        <v>1.1850563962891012E-3</v>
      </c>
      <c r="K231" s="33">
        <f t="shared" si="80"/>
        <v>1.2170002419971324E-3</v>
      </c>
      <c r="L231" s="33">
        <f t="shared" ref="L231:M231" si="86">L167*L210</f>
        <v>8.1543999614323663E-4</v>
      </c>
      <c r="M231" s="33">
        <f t="shared" si="86"/>
        <v>5.834849886083554E-2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-0.43362956691640542</v>
      </c>
      <c r="H232" s="228">
        <f t="shared" si="80"/>
        <v>-0.4237526479916276</v>
      </c>
      <c r="I232" s="33">
        <f t="shared" si="80"/>
        <v>-0.41699790767094153</v>
      </c>
      <c r="J232" s="33">
        <f t="shared" si="80"/>
        <v>-0.40762749900203271</v>
      </c>
      <c r="K232" s="33">
        <f t="shared" si="80"/>
        <v>-0.40220272592363582</v>
      </c>
      <c r="L232" s="33">
        <f t="shared" ref="L232:M232" si="87">L168*L211</f>
        <v>-0.39680337164677199</v>
      </c>
      <c r="M232" s="33" t="e">
        <f t="shared" si="87"/>
        <v>#NUM!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0.22294753735243486</v>
      </c>
      <c r="H233" s="228">
        <f t="shared" si="80"/>
        <v>0.22294753735243486</v>
      </c>
      <c r="I233" s="33">
        <f t="shared" si="80"/>
        <v>0.22294753735243486</v>
      </c>
      <c r="J233" s="33">
        <f t="shared" si="80"/>
        <v>0.22294753735243486</v>
      </c>
      <c r="K233" s="33">
        <f t="shared" si="80"/>
        <v>0.22294753735243486</v>
      </c>
      <c r="L233" s="33">
        <f t="shared" ref="L233:M233" si="88">L169*L212</f>
        <v>0.22294753735243486</v>
      </c>
      <c r="M233" s="33">
        <f t="shared" si="88"/>
        <v>0.22294753735243486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0.25827212383781523</v>
      </c>
      <c r="H234" s="228">
        <f t="shared" si="80"/>
        <v>0.25402077571991027</v>
      </c>
      <c r="I234" s="33">
        <f t="shared" si="80"/>
        <v>0.24145295823156476</v>
      </c>
      <c r="J234" s="33">
        <f t="shared" si="80"/>
        <v>0.24739516388039501</v>
      </c>
      <c r="K234" s="33">
        <f t="shared" si="80"/>
        <v>0.24720134410704309</v>
      </c>
      <c r="L234" s="33">
        <f t="shared" ref="L234:M234" si="89">L170*L213</f>
        <v>0.24653647881579863</v>
      </c>
      <c r="M234" s="33" t="e">
        <f t="shared" si="89"/>
        <v>#NUM!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2.2410883910792323E-2</v>
      </c>
      <c r="H235" s="228">
        <f t="shared" si="80"/>
        <v>2.5084681073901858E-2</v>
      </c>
      <c r="I235" s="33">
        <f t="shared" si="80"/>
        <v>2.0486976182645802E-2</v>
      </c>
      <c r="J235" s="33">
        <f t="shared" si="80"/>
        <v>1.0620008073508495E-2</v>
      </c>
      <c r="K235" s="33">
        <f t="shared" si="80"/>
        <v>1.0690338021532507E-2</v>
      </c>
      <c r="L235" s="33">
        <f t="shared" ref="L235:M235" si="90">L171*L214</f>
        <v>8.6917511120539036E-3</v>
      </c>
      <c r="M235" s="33" t="e">
        <f t="shared" si="90"/>
        <v>#NUM!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4.9312002364499154E-3</v>
      </c>
      <c r="H236" s="228">
        <f t="shared" si="80"/>
        <v>5.5834864504173774E-3</v>
      </c>
      <c r="I236" s="33">
        <f t="shared" si="80"/>
        <v>4.5968890302786076E-3</v>
      </c>
      <c r="J236" s="33">
        <f t="shared" si="80"/>
        <v>2.4101618348087942E-3</v>
      </c>
      <c r="K236" s="33">
        <f t="shared" si="80"/>
        <v>2.4424294505851034E-3</v>
      </c>
      <c r="L236" s="33">
        <f t="shared" ref="L236:M236" si="91">L172*L215</f>
        <v>1.9992757591734377E-3</v>
      </c>
      <c r="M236" s="33">
        <f t="shared" si="91"/>
        <v>1.6911866409799772E-2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-1.4845376173116916E-4</v>
      </c>
      <c r="H237" s="228">
        <f t="shared" si="80"/>
        <v>-1.6670164581807754E-4</v>
      </c>
      <c r="I237" s="33">
        <f t="shared" si="80"/>
        <v>-1.3380738621445622E-4</v>
      </c>
      <c r="J237" s="33">
        <f t="shared" si="80"/>
        <v>-7.1013613148843051E-5</v>
      </c>
      <c r="K237" s="33">
        <f t="shared" si="80"/>
        <v>-7.1936158803936442E-5</v>
      </c>
      <c r="L237" s="33">
        <f t="shared" ref="L237:M237" si="92">L173*L216</f>
        <v>-5.8804843261753185E-5</v>
      </c>
      <c r="M237" s="33" t="e">
        <f t="shared" si="92"/>
        <v>#NUM!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0.36575511827389257</v>
      </c>
      <c r="H238" s="228">
        <f t="shared" si="80"/>
        <v>0.36156566424528253</v>
      </c>
      <c r="I238" s="33">
        <f t="shared" si="80"/>
        <v>0.3586723570215255</v>
      </c>
      <c r="J238" s="33">
        <f t="shared" si="80"/>
        <v>0.3546195758252767</v>
      </c>
      <c r="K238" s="33">
        <f t="shared" si="80"/>
        <v>0.3522520049315066</v>
      </c>
      <c r="L238" s="33">
        <f t="shared" ref="L238:M238" si="93">L174*L217</f>
        <v>0.34987961961299607</v>
      </c>
      <c r="M238" s="33" t="e">
        <f t="shared" si="93"/>
        <v>#NUM!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0.14741042750583666</v>
      </c>
      <c r="H239" s="228">
        <f t="shared" si="80"/>
        <v>0.14451762869464999</v>
      </c>
      <c r="I239" s="33">
        <f t="shared" si="80"/>
        <v>0.13976975330135413</v>
      </c>
      <c r="J239" s="33">
        <f t="shared" si="80"/>
        <v>0.13988055132825675</v>
      </c>
      <c r="K239" s="33">
        <f t="shared" si="80"/>
        <v>0.13889221825865367</v>
      </c>
      <c r="L239" s="33">
        <f t="shared" ref="L239:M239" si="94">L175*L218</f>
        <v>0.13777114463224638</v>
      </c>
      <c r="M239" s="33" t="e">
        <f t="shared" si="94"/>
        <v>#NUM!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-0.53481586310601215</v>
      </c>
      <c r="H240" s="228">
        <f t="shared" si="80"/>
        <v>-0.53039586834832408</v>
      </c>
      <c r="I240" s="33">
        <f t="shared" si="80"/>
        <v>-0.51710862163845484</v>
      </c>
      <c r="J240" s="33">
        <f t="shared" si="80"/>
        <v>-0.52343302032088146</v>
      </c>
      <c r="K240" s="33">
        <f t="shared" si="80"/>
        <v>-0.52322794042777598</v>
      </c>
      <c r="L240" s="33">
        <f t="shared" ref="L240:M240" si="95">L176*L219</f>
        <v>-0.52252383761916588</v>
      </c>
      <c r="M240" s="33" t="e">
        <f t="shared" si="95"/>
        <v>#NUM!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-0.49959211336658482</v>
      </c>
      <c r="H241" s="228">
        <f t="shared" si="80"/>
        <v>-0.50344498244312907</v>
      </c>
      <c r="I241" s="33">
        <f t="shared" si="80"/>
        <v>-0.50636773366728516</v>
      </c>
      <c r="J241" s="33">
        <f t="shared" si="80"/>
        <v>-0.5090503741393152</v>
      </c>
      <c r="K241" s="33">
        <f t="shared" si="80"/>
        <v>-0.51152142516817412</v>
      </c>
      <c r="L241" s="33">
        <f t="shared" ref="L241:M241" si="96">L177*L220</f>
        <v>-0.51380504891984913</v>
      </c>
      <c r="M241" s="33">
        <f t="shared" si="96"/>
        <v>-0.52574069260075118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1.0927411359724581E-2</v>
      </c>
      <c r="H242" s="228">
        <f t="shared" ref="H242:K243" si="97">H178*H221</f>
        <v>1.094190972743094E-2</v>
      </c>
      <c r="I242" s="33">
        <f t="shared" si="97"/>
        <v>1.126459531005297E-2</v>
      </c>
      <c r="J242" s="33">
        <f t="shared" si="97"/>
        <v>1.2964603083717876E-2</v>
      </c>
      <c r="K242" s="33">
        <f t="shared" si="97"/>
        <v>1.3894163056400002E-2</v>
      </c>
      <c r="L242" s="33">
        <f t="shared" ref="L242:M242" si="98">L178*L221</f>
        <v>1.4414852754977697E-2</v>
      </c>
      <c r="M242" s="33">
        <f t="shared" si="98"/>
        <v>0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0.23631232756623249</v>
      </c>
      <c r="H243" s="228">
        <f t="shared" si="97"/>
        <v>0.25319177953524907</v>
      </c>
      <c r="I243" s="33">
        <f t="shared" si="97"/>
        <v>0.27007123150426571</v>
      </c>
      <c r="J243" s="33">
        <f t="shared" si="97"/>
        <v>0.28695068347328234</v>
      </c>
      <c r="K243" s="33">
        <f t="shared" si="97"/>
        <v>0.30383013544229892</v>
      </c>
      <c r="L243" s="33">
        <f t="shared" ref="L243:M243" si="99">L179*L222</f>
        <v>0.3207095874113155</v>
      </c>
      <c r="M243" s="33">
        <f t="shared" si="99"/>
        <v>0.33758903938033213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11.350384209728011</v>
      </c>
      <c r="H245" s="227">
        <f t="shared" ref="H245:K245" si="100">SUM(H226:H243)</f>
        <v>11.356973135716572</v>
      </c>
      <c r="I245" s="27">
        <f t="shared" si="100"/>
        <v>11.408455267346097</v>
      </c>
      <c r="J245" s="27">
        <f t="shared" si="100"/>
        <v>11.497491401730933</v>
      </c>
      <c r="K245" s="27">
        <f t="shared" si="100"/>
        <v>11.518276496344455</v>
      </c>
      <c r="L245" s="27">
        <f t="shared" ref="L245:M245" si="101">SUM(L226:L243)</f>
        <v>11.552872520751576</v>
      </c>
      <c r="M245" s="27" t="e">
        <f t="shared" si="101"/>
        <v>#NUM!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84998.102332905881</v>
      </c>
      <c r="H246" s="6">
        <f t="shared" ref="H246:K246" si="102">EXP(H245)</f>
        <v>85559.997648830933</v>
      </c>
      <c r="I246" s="6">
        <f t="shared" si="102"/>
        <v>90080.164303599842</v>
      </c>
      <c r="J246" s="6">
        <f t="shared" si="102"/>
        <v>98468.443151297557</v>
      </c>
      <c r="K246" s="6">
        <f t="shared" si="102"/>
        <v>100536.53737133015</v>
      </c>
      <c r="L246" s="6">
        <f t="shared" ref="L246:M246" si="103">EXP(L245)</f>
        <v>104075.56707379011</v>
      </c>
      <c r="M246" s="6" t="e">
        <f t="shared" si="103"/>
        <v>#NUM!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139.41058766261668</v>
      </c>
      <c r="H247" s="15">
        <f t="shared" ref="H247:K247" si="104">H137</f>
        <v>144.14233150638228</v>
      </c>
      <c r="I247" s="15">
        <f t="shared" si="104"/>
        <v>149.85910899311455</v>
      </c>
      <c r="J247" s="15">
        <f t="shared" si="104"/>
        <v>155.33678703221972</v>
      </c>
      <c r="K247" s="15">
        <f t="shared" si="104"/>
        <v>160.67691012636072</v>
      </c>
      <c r="L247" s="15">
        <f t="shared" ref="L247:M247" si="105">L137</f>
        <v>166.20061442625089</v>
      </c>
      <c r="M247" s="15">
        <f t="shared" si="105"/>
        <v>166.20061442625089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11849635.396437638</v>
      </c>
      <c r="H248" s="6">
        <f t="shared" ref="H248:K248" si="106">H246*H247</f>
        <v>12332817.544783076</v>
      </c>
      <c r="I248" s="6">
        <f t="shared" si="106"/>
        <v>13499333.160490835</v>
      </c>
      <c r="J248" s="6">
        <f t="shared" si="106"/>
        <v>15295771.583187344</v>
      </c>
      <c r="K248" s="6">
        <f t="shared" si="106"/>
        <v>16153900.179628721</v>
      </c>
      <c r="L248" s="6">
        <f t="shared" ref="L248:M248" si="107">L246*L247</f>
        <v>17297423.194424402</v>
      </c>
      <c r="M248" s="6" t="e">
        <f t="shared" si="107"/>
        <v>#NUM!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5" t="s">
        <v>151</v>
      </c>
      <c r="B253" s="235"/>
      <c r="C253" s="235"/>
      <c r="D253" s="235"/>
      <c r="E253" s="235"/>
      <c r="F253" s="235"/>
      <c r="G253" s="235"/>
      <c r="H253" s="235"/>
      <c r="I253" s="235"/>
      <c r="J253" s="235"/>
      <c r="K253" s="235"/>
      <c r="L253" s="235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10011356.07783832</v>
      </c>
      <c r="H256" s="39">
        <f t="shared" ref="H256:K256" si="109">H121</f>
        <v>10139727.544107849</v>
      </c>
      <c r="I256" s="39">
        <f t="shared" si="109"/>
        <v>11412287.132065792</v>
      </c>
      <c r="J256" s="39">
        <f t="shared" si="109"/>
        <v>13019008.598560039</v>
      </c>
      <c r="K256" s="39">
        <f t="shared" si="109"/>
        <v>13764993.241206516</v>
      </c>
      <c r="L256" s="39">
        <f t="shared" ref="L256:M256" si="110">L121</f>
        <v>14674781.821103867</v>
      </c>
      <c r="M256" s="39">
        <f t="shared" si="110"/>
        <v>3184095.3524634382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11849635.396437638</v>
      </c>
      <c r="H257" s="39">
        <f t="shared" ref="H257:K257" si="112">H248</f>
        <v>12332817.544783076</v>
      </c>
      <c r="I257" s="39">
        <f t="shared" si="112"/>
        <v>13499333.160490835</v>
      </c>
      <c r="J257" s="39">
        <f t="shared" si="112"/>
        <v>15295771.583187344</v>
      </c>
      <c r="K257" s="39">
        <f t="shared" si="112"/>
        <v>16153900.179628721</v>
      </c>
      <c r="L257" s="39">
        <f t="shared" ref="L257:M257" si="113">L248</f>
        <v>17297423.194424402</v>
      </c>
      <c r="M257" s="39" t="e">
        <f t="shared" si="113"/>
        <v>#NUM!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-1838279.3185993172</v>
      </c>
      <c r="H258" s="17">
        <f t="shared" ref="H258:K258" si="115">H256-H257</f>
        <v>-2193090.0006752275</v>
      </c>
      <c r="I258" s="17">
        <f t="shared" si="115"/>
        <v>-2087046.0284250434</v>
      </c>
      <c r="J258" s="17">
        <f t="shared" si="115"/>
        <v>-2276762.9846273046</v>
      </c>
      <c r="K258" s="17">
        <f t="shared" si="115"/>
        <v>-2388906.9384222049</v>
      </c>
      <c r="L258" s="17">
        <f t="shared" ref="L258:M258" si="116">L256-L257</f>
        <v>-2622641.3733205348</v>
      </c>
      <c r="M258" s="17" t="e">
        <f t="shared" si="116"/>
        <v>#NUM!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-0.15513382961571628</v>
      </c>
      <c r="H259" s="40">
        <f t="shared" ref="H259:K259" si="117">H258/H257</f>
        <v>-0.17782554495042618</v>
      </c>
      <c r="I259" s="40">
        <f t="shared" si="117"/>
        <v>-0.15460363883256872</v>
      </c>
      <c r="J259" s="40">
        <f t="shared" si="117"/>
        <v>-0.14884917522760699</v>
      </c>
      <c r="K259" s="40">
        <f t="shared" si="117"/>
        <v>-0.14788422064380438</v>
      </c>
      <c r="L259" s="40">
        <f t="shared" ref="L259:M259" si="118">L258/L257</f>
        <v>-0.15162035083733796</v>
      </c>
      <c r="M259" s="40" t="e">
        <f t="shared" si="118"/>
        <v>#NUM!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-0.16857704241157284</v>
      </c>
      <c r="H261" s="41">
        <f t="shared" si="119"/>
        <v>-0.19580267402366511</v>
      </c>
      <c r="I261" s="41">
        <f t="shared" si="119"/>
        <v>-0.16794969513191729</v>
      </c>
      <c r="J261" s="41">
        <f t="shared" si="119"/>
        <v>-0.16116593371257748</v>
      </c>
      <c r="K261" s="41">
        <f t="shared" si="119"/>
        <v>-0.16003287012206219</v>
      </c>
      <c r="L261" s="41">
        <f t="shared" ref="L261:M261" si="120">LN(L256/L257)</f>
        <v>-0.16442704389347532</v>
      </c>
      <c r="M261" s="41" t="e">
        <f t="shared" si="120"/>
        <v>#NUM!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0.12447496433497029</v>
      </c>
      <c r="R275" s="226">
        <f t="shared" ref="R275:BW275" si="121">R261-$G$261</f>
        <v>0.78774903983178435</v>
      </c>
      <c r="S275" s="226">
        <f t="shared" si="121"/>
        <v>0.19662472746178078</v>
      </c>
      <c r="T275" s="226">
        <f t="shared" si="121"/>
        <v>0.12313540055695021</v>
      </c>
      <c r="U275" s="226">
        <f t="shared" si="121"/>
        <v>0.1205971381913484</v>
      </c>
      <c r="V275" s="226">
        <f t="shared" si="121"/>
        <v>3.8455591588104215E-2</v>
      </c>
      <c r="W275" s="226">
        <f t="shared" si="121"/>
        <v>0.27845899093883419</v>
      </c>
      <c r="X275" s="226">
        <f t="shared" si="121"/>
        <v>5.6725443613768647E-2</v>
      </c>
      <c r="Y275" s="226">
        <f t="shared" si="121"/>
        <v>0.35710923502721259</v>
      </c>
      <c r="Z275" s="226">
        <f t="shared" si="121"/>
        <v>-0.37891026226999297</v>
      </c>
      <c r="AA275" s="226">
        <f t="shared" si="121"/>
        <v>-0.42154404588813305</v>
      </c>
      <c r="AB275" s="226">
        <f t="shared" si="121"/>
        <v>0.12605590610317077</v>
      </c>
      <c r="AC275" s="226">
        <f t="shared" si="121"/>
        <v>2.4946882608612053E-2</v>
      </c>
      <c r="AD275" s="226">
        <f t="shared" si="121"/>
        <v>-8.5405977659895549E-2</v>
      </c>
      <c r="AE275" s="226">
        <f t="shared" si="121"/>
        <v>1.5408821114061388E-2</v>
      </c>
      <c r="AF275" s="226">
        <f t="shared" si="121"/>
        <v>7.0768810286386319E-2</v>
      </c>
      <c r="AG275" s="226">
        <f t="shared" si="121"/>
        <v>0.15338932833382668</v>
      </c>
      <c r="AH275" s="226">
        <f t="shared" si="121"/>
        <v>-8.6920322436063568E-2</v>
      </c>
      <c r="AI275" s="226">
        <f t="shared" si="121"/>
        <v>-6.9083441502957532E-2</v>
      </c>
      <c r="AJ275" s="226">
        <f t="shared" si="121"/>
        <v>0.1849672604232773</v>
      </c>
      <c r="AK275" s="226">
        <f t="shared" si="121"/>
        <v>5.5031910391882807E-2</v>
      </c>
      <c r="AL275" s="226">
        <f t="shared" si="121"/>
        <v>0.19881918218529146</v>
      </c>
      <c r="AM275" s="226">
        <f t="shared" si="121"/>
        <v>-0.17681519787903888</v>
      </c>
      <c r="AN275" s="226">
        <f t="shared" si="121"/>
        <v>-0.16944022428748551</v>
      </c>
      <c r="AO275" s="226">
        <f t="shared" si="121"/>
        <v>-0.14780600075508959</v>
      </c>
      <c r="AP275" s="226">
        <f t="shared" si="121"/>
        <v>-1.0961543651250877E-2</v>
      </c>
      <c r="AQ275" s="226">
        <f t="shared" si="121"/>
        <v>-0.49506930733046278</v>
      </c>
      <c r="AR275" s="226">
        <f t="shared" si="121"/>
        <v>0.32979337320435909</v>
      </c>
      <c r="AS275" s="226">
        <f t="shared" si="121"/>
        <v>0.36675766687029465</v>
      </c>
      <c r="AT275" s="226">
        <f t="shared" si="121"/>
        <v>0.10037556146527976</v>
      </c>
      <c r="AU275" s="226">
        <f t="shared" si="121"/>
        <v>0.1004731102605563</v>
      </c>
      <c r="AV275" s="226">
        <f t="shared" si="121"/>
        <v>-5.2107659381746468E-2</v>
      </c>
      <c r="AW275" s="226">
        <f t="shared" si="121"/>
        <v>-0.1032211394267068</v>
      </c>
      <c r="AX275" s="226">
        <f t="shared" si="121"/>
        <v>0</v>
      </c>
      <c r="AY275" s="226">
        <f t="shared" si="121"/>
        <v>0.10550472922630737</v>
      </c>
      <c r="AZ275" s="226">
        <f t="shared" si="121"/>
        <v>-6.8272690542793668E-2</v>
      </c>
      <c r="BA275" s="226">
        <f t="shared" si="121"/>
        <v>9.8707264968009023E-3</v>
      </c>
      <c r="BB275" s="226">
        <f t="shared" si="121"/>
        <v>0.14016524032727648</v>
      </c>
      <c r="BC275" s="226">
        <f t="shared" si="121"/>
        <v>4.172024799774654E-2</v>
      </c>
      <c r="BD275" s="226">
        <f t="shared" si="121"/>
        <v>0.18281918726516078</v>
      </c>
      <c r="BE275" s="226">
        <f t="shared" si="121"/>
        <v>-0.25225717378038909</v>
      </c>
      <c r="BF275" s="226">
        <f t="shared" si="121"/>
        <v>0.13032118365284226</v>
      </c>
      <c r="BG275" s="226">
        <f t="shared" si="121"/>
        <v>-0.11904567234041558</v>
      </c>
      <c r="BH275" s="226">
        <f t="shared" si="121"/>
        <v>0.15002502176327354</v>
      </c>
      <c r="BI275" s="226">
        <f t="shared" si="121"/>
        <v>2.4061100036734395E-3</v>
      </c>
      <c r="BJ275" s="226">
        <f t="shared" si="121"/>
        <v>-7.4225353414101247E-2</v>
      </c>
      <c r="BK275" s="226">
        <f t="shared" si="121"/>
        <v>0.16259282456842641</v>
      </c>
      <c r="BL275" s="226">
        <f t="shared" si="121"/>
        <v>0.17958114204720615</v>
      </c>
      <c r="BM275" s="226">
        <f t="shared" si="121"/>
        <v>0.14375259729772261</v>
      </c>
      <c r="BN275" s="226">
        <f t="shared" si="121"/>
        <v>1.4665918804997846E-2</v>
      </c>
      <c r="BO275" s="226">
        <f t="shared" si="121"/>
        <v>-8.9921862623588089E-2</v>
      </c>
      <c r="BP275" s="226">
        <f t="shared" si="121"/>
        <v>0.17337885281063201</v>
      </c>
      <c r="BQ275" s="226">
        <f t="shared" si="121"/>
        <v>0.1134091061293853</v>
      </c>
      <c r="BR275" s="226">
        <f t="shared" si="121"/>
        <v>0.69720972396790915</v>
      </c>
      <c r="BS275" s="226">
        <f t="shared" si="121"/>
        <v>-0.29777643429807626</v>
      </c>
      <c r="BT275" s="226">
        <f t="shared" si="121"/>
        <v>0.20326791956026491</v>
      </c>
      <c r="BU275" s="226">
        <f t="shared" si="121"/>
        <v>-0.134736649387876</v>
      </c>
      <c r="BV275" s="226">
        <f t="shared" si="121"/>
        <v>0.19744276822014228</v>
      </c>
      <c r="BW275" s="226">
        <f t="shared" si="121"/>
        <v>5.7973886708529251E-2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I16" sqref="I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6" t="s">
        <v>168</v>
      </c>
      <c r="D2" s="236"/>
      <c r="E2" s="236"/>
      <c r="F2" s="236"/>
      <c r="G2" s="236"/>
      <c r="H2" s="236"/>
      <c r="I2" s="236"/>
      <c r="J2" s="236"/>
      <c r="K2" s="236"/>
    </row>
    <row r="3" spans="3:17" ht="23.25" customHeight="1" x14ac:dyDescent="0.25">
      <c r="C3" s="232" t="str">
        <f>'Model Inputs'!F5</f>
        <v>Lakeland Power Distribution Ltd.</v>
      </c>
      <c r="D3" s="232"/>
      <c r="E3" s="232"/>
      <c r="F3" s="232"/>
      <c r="G3" s="232"/>
      <c r="H3" s="232"/>
      <c r="I3" s="232"/>
      <c r="J3" s="232"/>
      <c r="K3" s="232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182</v>
      </c>
      <c r="I7" s="2" t="s">
        <v>182</v>
      </c>
      <c r="J7" s="2" t="s">
        <v>183</v>
      </c>
      <c r="K7" s="2" t="s">
        <v>184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10011356.07783832</v>
      </c>
      <c r="G10" s="54">
        <f>'Benchmarking Calculations'!H121</f>
        <v>10139727.544107849</v>
      </c>
      <c r="H10" s="54">
        <f>'Benchmarking Calculations'!I121</f>
        <v>11412287.132065792</v>
      </c>
      <c r="I10" s="53">
        <f>IF(ISNUMBER(I12),'Benchmarking Calculations'!J121,"na")</f>
        <v>13019008.598560039</v>
      </c>
      <c r="J10" s="53">
        <f>IF(ISNUMBER(J12),'Benchmarking Calculations'!K121,"na")</f>
        <v>13764993.241206516</v>
      </c>
      <c r="K10" s="53">
        <f>IF(ISNUMBER(K12),'Benchmarking Calculations'!L121,"na")</f>
        <v>14674781.821103867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11849635.396437638</v>
      </c>
      <c r="G12" s="54">
        <f>'Benchmarking Calculations'!H257</f>
        <v>12332817.544783076</v>
      </c>
      <c r="H12" s="54">
        <f>'Benchmarking Calculations'!I257</f>
        <v>13499333.160490835</v>
      </c>
      <c r="I12" s="53">
        <f>IF(ISNUMBER('Benchmarking Calculations'!J257),'Benchmarking Calculations'!J257,"na")</f>
        <v>15295771.583187344</v>
      </c>
      <c r="J12" s="53">
        <f>IF(ISNUMBER('Benchmarking Calculations'!K257),'Benchmarking Calculations'!K257,"na")</f>
        <v>16153900.179628721</v>
      </c>
      <c r="K12" s="53">
        <f>IF(ISNUMBER('Benchmarking Calculations'!L257),'Benchmarking Calculations'!L257,"na")</f>
        <v>17297423.194424402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-1838279.3185993172</v>
      </c>
      <c r="G14" s="54">
        <f t="shared" si="1"/>
        <v>-2193090.0006752275</v>
      </c>
      <c r="H14" s="54">
        <f t="shared" si="1"/>
        <v>-2087046.0284250434</v>
      </c>
      <c r="I14" s="53">
        <f>IF(ISNUMBER(I12),I10-I12,"na")</f>
        <v>-2276762.9846273046</v>
      </c>
      <c r="J14" s="53">
        <f t="shared" ref="J14:K14" si="2">IF(ISNUMBER(J12),J10-J12,"na")</f>
        <v>-2388906.9384222049</v>
      </c>
      <c r="K14" s="53">
        <f t="shared" si="2"/>
        <v>-2622641.3733205348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9">
        <f>LN(F10/F12)</f>
        <v>-0.16857704241157284</v>
      </c>
      <c r="G16" s="139">
        <f t="shared" ref="G16:H16" si="3">LN(G10/G12)</f>
        <v>-0.19580267402366511</v>
      </c>
      <c r="H16" s="139">
        <f t="shared" si="3"/>
        <v>-0.16794969513191729</v>
      </c>
      <c r="I16" s="91">
        <f>IF(ISNUMBER(I14),LN(I10/I12),"na")</f>
        <v>-0.16116593371257748</v>
      </c>
      <c r="J16" s="91">
        <f t="shared" ref="J16:K16" si="4">IF(ISNUMBER(J14),LN(J10/J12),"na")</f>
        <v>-0.16003287012206219</v>
      </c>
      <c r="K16" s="91">
        <f t="shared" si="4"/>
        <v>-0.16442704389347532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178</v>
      </c>
      <c r="F18" s="109"/>
      <c r="G18" s="109"/>
      <c r="H18" s="109">
        <f>AVERAGE(F16:H16)</f>
        <v>-0.17744313718905172</v>
      </c>
      <c r="I18" s="43">
        <f>IF(ISNUMBER(I16),AVERAGE(G16:I16),"na")</f>
        <v>-0.17497276762271996</v>
      </c>
      <c r="J18" s="43">
        <f t="shared" ref="J18:K18" si="5">IF(ISNUMBER(J16),AVERAGE(H16:J16),"na")</f>
        <v>-0.16304949965551899</v>
      </c>
      <c r="K18" s="43">
        <f t="shared" si="5"/>
        <v>-0.16187528257603834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179</v>
      </c>
      <c r="F22" s="92">
        <f>IF(F16&lt;-0.25,1,IF(F16&lt;-0.1,2,IF(F16&lt;0.1,3,IF(F16&lt;0.25,4,5))))</f>
        <v>2</v>
      </c>
      <c r="G22" s="92">
        <f t="shared" ref="G22" si="6">IF(G16&lt;-0.25,1,IF(G16&lt;-0.1,2,IF(G16&lt;0.1,3,IF(G16&lt;0.25,4,5))))</f>
        <v>2</v>
      </c>
      <c r="H22" s="92">
        <f>IF($H$16&lt;-0.25,1,IF($H$16&lt;-0.1,2,IF($H$16&lt;0.1,3,IF($H$16&lt;0.25,4,5))))</f>
        <v>2</v>
      </c>
      <c r="I22" s="92">
        <f>IF(ISNUMBER(I16),IF(I16&lt;-0.25,1,IF(I16&lt;-0.1,2,IF(I16&lt;0.1,3,IF(I16&lt;0.25,4,5)))),"na")</f>
        <v>2</v>
      </c>
      <c r="J22" s="92">
        <f t="shared" ref="J22:K22" si="7">IF(ISNUMBER(J16),IF(J16&lt;-0.25,1,IF(J16&lt;-0.1,2,IF(J16&lt;0.1,3,IF(J16&lt;0.25,4,5)))),"na")</f>
        <v>2</v>
      </c>
      <c r="K22" s="92">
        <f t="shared" si="7"/>
        <v>2</v>
      </c>
    </row>
    <row r="24" spans="4:11" ht="15" x14ac:dyDescent="0.25">
      <c r="E24" t="s">
        <v>155</v>
      </c>
      <c r="H24" s="92">
        <f>IF(H$18&lt;-0.25,1,IF(H$18&lt;-0.1,2,IF(H$18&lt;0.1,3,IF(H$18&lt;0.25,4,5))))</f>
        <v>2</v>
      </c>
      <c r="I24" s="92">
        <f t="shared" ref="I24:K24" si="8">IF(I$18&lt;-0.25,1,IF(I$18&lt;-0.1,2,IF(I$18&lt;0.1,3,IF(I$18&lt;0.25,4,5))))</f>
        <v>2</v>
      </c>
      <c r="J24" s="92">
        <f t="shared" si="8"/>
        <v>2</v>
      </c>
      <c r="K24" s="92">
        <f t="shared" si="8"/>
        <v>2</v>
      </c>
    </row>
    <row r="27" spans="4:11" x14ac:dyDescent="0.2">
      <c r="D27" s="8"/>
      <c r="G27" s="54"/>
      <c r="H27" s="54"/>
    </row>
    <row r="29" spans="4:11" x14ac:dyDescent="0.2">
      <c r="F29" s="85"/>
      <c r="G29" s="17"/>
      <c r="H29" s="17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Dawn Punkari</cp:lastModifiedBy>
  <cp:lastPrinted>2018-07-25T01:09:59Z</cp:lastPrinted>
  <dcterms:created xsi:type="dcterms:W3CDTF">2016-07-20T15:58:10Z</dcterms:created>
  <dcterms:modified xsi:type="dcterms:W3CDTF">2024-10-30T21:38:09Z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