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ube\Dropbox\Boxifier\Active Files\SEC\EB-2024-0063 Cost of Capital Generic Hearing\Argument\"/>
    </mc:Choice>
  </mc:AlternateContent>
  <xr:revisionPtr revIDLastSave="0" documentId="13_ncr:1_{82EBE356-2BE4-4C3B-9A6A-767ABEBBD89D}" xr6:coauthVersionLast="47" xr6:coauthVersionMax="47" xr10:uidLastSave="{00000000-0000-0000-0000-000000000000}"/>
  <bookViews>
    <workbookView xWindow="-120" yWindow="-120" windowWidth="29040" windowHeight="15720" xr2:uid="{260E6C93-969A-4477-A986-7475B9977967}"/>
  </bookViews>
  <sheets>
    <sheet name="Impact Summary" sheetId="2" r:id="rId1"/>
    <sheet name="ROE &amp; Cap Structure " sheetId="1" r:id="rId2"/>
    <sheet name="Flotation Cost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18" i="1"/>
  <c r="B56" i="4"/>
  <c r="B63" i="4" s="1"/>
  <c r="B65" i="4" s="1"/>
  <c r="B66" i="4" s="1"/>
  <c r="B68" i="4" s="1"/>
  <c r="L9" i="2" s="1"/>
  <c r="B39" i="4"/>
  <c r="B46" i="4" s="1"/>
  <c r="B48" i="4" s="1"/>
  <c r="B49" i="4" s="1"/>
  <c r="B51" i="4" s="1"/>
  <c r="L8" i="2" s="1"/>
  <c r="B22" i="4"/>
  <c r="B29" i="4" s="1"/>
  <c r="B31" i="4" s="1"/>
  <c r="B32" i="4" s="1"/>
  <c r="B34" i="4" s="1"/>
  <c r="L7" i="2" s="1"/>
  <c r="B6" i="4"/>
  <c r="B13" i="4" l="1"/>
  <c r="B15" i="4" s="1"/>
  <c r="B16" i="4" s="1"/>
  <c r="B18" i="4" s="1"/>
  <c r="L6" i="2" s="1"/>
  <c r="L10" i="2" s="1"/>
  <c r="E6" i="2" l="1"/>
  <c r="F9" i="2"/>
  <c r="F8" i="2"/>
  <c r="F7" i="2"/>
  <c r="F6" i="2"/>
  <c r="D8" i="2"/>
  <c r="D7" i="2"/>
  <c r="D6" i="2"/>
  <c r="C9" i="2"/>
  <c r="C8" i="2"/>
  <c r="C7" i="2"/>
  <c r="F86" i="1"/>
  <c r="C86" i="1"/>
  <c r="B86" i="1"/>
  <c r="C64" i="1"/>
  <c r="D64" i="1"/>
  <c r="F64" i="1"/>
  <c r="B64" i="1"/>
  <c r="C42" i="1"/>
  <c r="D42" i="1"/>
  <c r="F42" i="1"/>
  <c r="B42" i="1"/>
  <c r="B21" i="1"/>
  <c r="E21" i="1"/>
  <c r="F21" i="1"/>
  <c r="E22" i="1" l="1"/>
  <c r="F22" i="1"/>
  <c r="B19" i="1"/>
  <c r="D18" i="1"/>
  <c r="D19" i="1"/>
  <c r="F43" i="1"/>
  <c r="D43" i="1"/>
  <c r="C43" i="1"/>
  <c r="B43" i="1"/>
  <c r="F65" i="1"/>
  <c r="C65" i="1"/>
  <c r="D65" i="1"/>
  <c r="B65" i="1"/>
  <c r="B73" i="1"/>
  <c r="B84" i="1" s="1"/>
  <c r="F72" i="1"/>
  <c r="C72" i="1"/>
  <c r="B51" i="1"/>
  <c r="F50" i="1"/>
  <c r="D50" i="1"/>
  <c r="G50" i="1" s="1"/>
  <c r="C50" i="1"/>
  <c r="B29" i="1"/>
  <c r="F28" i="1"/>
  <c r="D28" i="1"/>
  <c r="G28" i="1" s="1"/>
  <c r="C28" i="1"/>
  <c r="B7" i="1"/>
  <c r="E7" i="1" s="1"/>
  <c r="E18" i="1" s="1"/>
  <c r="E6" i="1"/>
  <c r="D6" i="1"/>
  <c r="G6" i="1" s="1"/>
  <c r="C6" i="1"/>
  <c r="F6" i="1" s="1"/>
  <c r="B62" i="1"/>
  <c r="B61" i="1"/>
  <c r="F51" i="1"/>
  <c r="F61" i="1" s="1"/>
  <c r="D51" i="1"/>
  <c r="D62" i="1" s="1"/>
  <c r="C51" i="1"/>
  <c r="C62" i="1" s="1"/>
  <c r="D21" i="1" l="1"/>
  <c r="C73" i="1"/>
  <c r="C84" i="1" s="1"/>
  <c r="B83" i="1"/>
  <c r="B87" i="1" s="1"/>
  <c r="F73" i="1"/>
  <c r="F83" i="1" s="1"/>
  <c r="D7" i="1"/>
  <c r="B22" i="1"/>
  <c r="C7" i="1"/>
  <c r="F7" i="1" s="1"/>
  <c r="F19" i="1" s="1"/>
  <c r="C29" i="1"/>
  <c r="C40" i="1" s="1"/>
  <c r="F29" i="1"/>
  <c r="F39" i="1" s="1"/>
  <c r="D29" i="1"/>
  <c r="D40" i="1" s="1"/>
  <c r="B40" i="1"/>
  <c r="C18" i="1"/>
  <c r="C19" i="1"/>
  <c r="C83" i="1"/>
  <c r="F62" i="1"/>
  <c r="G51" i="1"/>
  <c r="D61" i="1"/>
  <c r="C61" i="1"/>
  <c r="E19" i="1"/>
  <c r="C21" i="1" l="1"/>
  <c r="C22" i="1" s="1"/>
  <c r="C24" i="1" s="1"/>
  <c r="C6" i="2" s="1"/>
  <c r="F84" i="1"/>
  <c r="G7" i="1"/>
  <c r="F18" i="1"/>
  <c r="F40" i="1"/>
  <c r="F45" i="1" s="1"/>
  <c r="C39" i="1"/>
  <c r="D39" i="1"/>
  <c r="D45" i="1" s="1"/>
  <c r="G29" i="1"/>
  <c r="G39" i="1" s="1"/>
  <c r="C45" i="1"/>
  <c r="F67" i="1"/>
  <c r="F87" i="1"/>
  <c r="F89" i="1" s="1"/>
  <c r="F24" i="1"/>
  <c r="G19" i="1"/>
  <c r="G18" i="1"/>
  <c r="G21" i="1" s="1"/>
  <c r="G22" i="1" s="1"/>
  <c r="C87" i="1"/>
  <c r="C89" i="1" s="1"/>
  <c r="G61" i="1"/>
  <c r="G64" i="1" s="1"/>
  <c r="G65" i="1" s="1"/>
  <c r="G62" i="1"/>
  <c r="C67" i="1"/>
  <c r="D67" i="1"/>
  <c r="E24" i="1"/>
  <c r="D22" i="1" l="1"/>
  <c r="D24" i="1" s="1"/>
  <c r="G40" i="1"/>
  <c r="G42" i="1" s="1"/>
  <c r="G43" i="1" s="1"/>
  <c r="G24" i="1"/>
  <c r="G6" i="2" s="1"/>
  <c r="G67" i="1"/>
  <c r="G8" i="2" s="1"/>
  <c r="G45" i="1" l="1"/>
  <c r="G7" i="2" s="1"/>
</calcChain>
</file>

<file path=xl/sharedStrings.xml><?xml version="1.0" encoding="utf-8"?>
<sst xmlns="http://schemas.openxmlformats.org/spreadsheetml/2006/main" count="148" uniqueCount="33">
  <si>
    <t>Rate Base</t>
  </si>
  <si>
    <t>Equity Ratio</t>
  </si>
  <si>
    <t>ROE</t>
  </si>
  <si>
    <t>LT Debt Ratio</t>
  </si>
  <si>
    <t>LT Debt Rate</t>
  </si>
  <si>
    <t>Tax Rate</t>
  </si>
  <si>
    <t>ROE RR</t>
  </si>
  <si>
    <t>Tax Impact</t>
  </si>
  <si>
    <t>Debt RR</t>
  </si>
  <si>
    <t>Grossed Up</t>
  </si>
  <si>
    <t>Concentric</t>
  </si>
  <si>
    <t>Nexus</t>
  </si>
  <si>
    <t>LEI</t>
  </si>
  <si>
    <t>Cleary</t>
  </si>
  <si>
    <t>SEC</t>
  </si>
  <si>
    <t>Electricity Distribution</t>
  </si>
  <si>
    <t>Electricity Transmission</t>
  </si>
  <si>
    <t>Natural Gas Utilities</t>
  </si>
  <si>
    <t>OPG</t>
  </si>
  <si>
    <t>RR Change</t>
  </si>
  <si>
    <t>Existing</t>
  </si>
  <si>
    <t>PP&amp;E</t>
  </si>
  <si>
    <t xml:space="preserve">Rate Base </t>
  </si>
  <si>
    <t>Undertaking J2.1</t>
  </si>
  <si>
    <t>Assume 5.4% Working Capital Allowance per calculcations from OPG's Payments Order (EB-2020-0290)</t>
  </si>
  <si>
    <t>Assume 3.6% Working Capital Allowance per calculcations from EGI Rate Order Working Papers (EB-2022-0200)</t>
  </si>
  <si>
    <t>Assume 0.2% Working Capital Allowance per calculcations from Hydro One Settlement Proposal (EB-2021-0110))</t>
  </si>
  <si>
    <t>Assume 3.9% Working Capital Allowance per calculcations from TH Settlement Proposal (EB-2023-0195)</t>
  </si>
  <si>
    <t>Estimated Impact of ROE and Capital Structure Proposals ($M)</t>
  </si>
  <si>
    <t>Flotation Costs</t>
  </si>
  <si>
    <t>RR Impact</t>
  </si>
  <si>
    <t>Estimated Impact of 50 BPS Flotation Costs in ROE ($M)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</si>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</sst>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3" fontId="1" fillId="0" borderId="0" xfId="0" applyNumberFormat="1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/>
    </xf>
    <xf numFmtId="164" fontId="0" fillId="0" borderId="0" xfId="0" applyNumberFormat="1"/>
  </cellXfs>
  <cellStyles count="6">
    <cellStyle name="Comma 2" xfId="2" xr:uid="{88F6826D-EBF4-44D3-86EA-746A8CDD2D91}"/>
    <cellStyle name="Currency 2" xfId="3" xr:uid="{253199C9-1B2E-4C85-9A29-7F0FBCF3EC8E}"/>
    <cellStyle name="Normal" xfId="0" builtinId="0"/>
    <cellStyle name="Normal 2" xfId="5" xr:uid="{5ABE3C14-734C-4773-B309-98FCBC50F7FC}"/>
    <cellStyle name="Normal 3" xfId="1" xr:uid="{71183190-A8E9-48AF-9525-3B26094BD98C}"/>
    <cellStyle name="Percent 2" xfId="4" xr:uid="{2054C134-79A6-41B4-AAD9-A4E6FFCFD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FC52-C30B-444B-870E-F4BD808C25A8}">
  <sheetPr>
    <tabColor theme="5"/>
  </sheetPr>
  <dimension ref="A4:L11"/>
  <sheetViews>
    <sheetView tabSelected="1" workbookViewId="0">
      <selection activeCell="E16" sqref="E16"/>
    </sheetView>
  </sheetViews>
  <sheetFormatPr defaultRowHeight="15" x14ac:dyDescent="0.25"/>
  <cols>
    <col min="1" max="1" width="18.140625" customWidth="1"/>
    <col min="3" max="3" width="13.140625" customWidth="1"/>
    <col min="4" max="4" width="13.85546875" customWidth="1"/>
    <col min="5" max="5" width="14" customWidth="1"/>
    <col min="6" max="6" width="14.42578125" customWidth="1"/>
    <col min="7" max="7" width="13.85546875" customWidth="1"/>
    <col min="8" max="8" width="10.7109375" customWidth="1"/>
    <col min="11" max="11" width="29.7109375" customWidth="1"/>
    <col min="12" max="12" width="19.5703125" customWidth="1"/>
    <col min="13" max="13" width="32.140625" customWidth="1"/>
  </cols>
  <sheetData>
    <row r="4" spans="1:12" x14ac:dyDescent="0.25">
      <c r="A4" s="19" t="s">
        <v>28</v>
      </c>
      <c r="B4" s="19"/>
      <c r="C4" s="19"/>
      <c r="D4" s="19"/>
      <c r="E4" s="19"/>
      <c r="F4" s="19"/>
      <c r="G4" s="19"/>
    </row>
    <row r="5" spans="1:12" x14ac:dyDescent="0.25">
      <c r="A5" s="15"/>
      <c r="B5" s="15"/>
      <c r="C5" s="14" t="s">
        <v>12</v>
      </c>
      <c r="D5" s="14" t="s">
        <v>10</v>
      </c>
      <c r="E5" s="8" t="s">
        <v>11</v>
      </c>
      <c r="F5" s="14" t="s">
        <v>13</v>
      </c>
      <c r="G5" s="14" t="s">
        <v>14</v>
      </c>
      <c r="H5" s="12"/>
      <c r="J5" s="19" t="s">
        <v>31</v>
      </c>
      <c r="K5" s="19"/>
      <c r="L5" s="19"/>
    </row>
    <row r="6" spans="1:12" x14ac:dyDescent="0.25">
      <c r="A6" s="13" t="s">
        <v>15</v>
      </c>
      <c r="C6" s="16">
        <f>'ROE &amp; Cap Structure '!C24/1000000</f>
        <v>-50.526635491265743</v>
      </c>
      <c r="D6" s="16">
        <f>'ROE &amp; Cap Structure '!D24/1000000</f>
        <v>235.73065229975771</v>
      </c>
      <c r="E6" s="16">
        <f>'ROE &amp; Cap Structure '!E24/1000000</f>
        <v>249.9020079703146</v>
      </c>
      <c r="F6" s="16">
        <f>'ROE &amp; Cap Structure '!F24/1000000</f>
        <v>-346.58404219048009</v>
      </c>
      <c r="G6" s="16">
        <f>'ROE &amp; Cap Structure '!G24/1000000</f>
        <v>-284.51753282843219</v>
      </c>
      <c r="J6" s="13" t="s">
        <v>15</v>
      </c>
      <c r="L6" s="16">
        <f>'Flotation Costs'!B18/1000000</f>
        <v>68.27923715035918</v>
      </c>
    </row>
    <row r="7" spans="1:12" x14ac:dyDescent="0.25">
      <c r="A7" s="13" t="s">
        <v>16</v>
      </c>
      <c r="C7" s="16">
        <f>'ROE &amp; Cap Structure '!C45/1000000</f>
        <v>-33.492142188107735</v>
      </c>
      <c r="D7" s="16">
        <f>'ROE &amp; Cap Structure '!D45/1000000</f>
        <v>156.25668418558476</v>
      </c>
      <c r="E7" s="16"/>
      <c r="F7" s="16">
        <f>'ROE &amp; Cap Structure '!F45/1000000</f>
        <v>-229.7370863567449</v>
      </c>
      <c r="G7" s="16">
        <f>'ROE &amp; Cap Structure '!G45/1000000</f>
        <v>-188.59561045078286</v>
      </c>
      <c r="J7" s="13" t="s">
        <v>16</v>
      </c>
      <c r="L7" s="16">
        <f>'Flotation Costs'!B34/1000000</f>
        <v>45.259651605551028</v>
      </c>
    </row>
    <row r="8" spans="1:12" x14ac:dyDescent="0.25">
      <c r="A8" s="13" t="s">
        <v>17</v>
      </c>
      <c r="C8" s="16">
        <f>'ROE &amp; Cap Structure '!C67/1000000</f>
        <v>-30.001666082819046</v>
      </c>
      <c r="D8" s="16">
        <f>'ROE &amp; Cap Structure '!D67/1000000</f>
        <v>177.46775005515971</v>
      </c>
      <c r="E8" s="16"/>
      <c r="F8" s="16">
        <f>'ROE &amp; Cap Structure '!F67/1000000</f>
        <v>-186.4968432175238</v>
      </c>
      <c r="G8" s="16">
        <f>'ROE &amp; Cap Structure '!G67/1000000</f>
        <v>-136.22378113280007</v>
      </c>
      <c r="J8" s="13" t="s">
        <v>17</v>
      </c>
      <c r="L8" s="16">
        <f>'Flotation Costs'!B51/1000000</f>
        <v>40.542792003809524</v>
      </c>
    </row>
    <row r="9" spans="1:12" x14ac:dyDescent="0.25">
      <c r="A9" s="13" t="s">
        <v>18</v>
      </c>
      <c r="C9" s="16">
        <f>'ROE &amp; Cap Structure '!C89/1000000</f>
        <v>-48.922593061224447</v>
      </c>
      <c r="D9" s="16"/>
      <c r="E9" s="16"/>
      <c r="F9" s="16">
        <f>'ROE &amp; Cap Structure '!F89/1000000</f>
        <v>-284.80706257469376</v>
      </c>
      <c r="G9" s="16"/>
      <c r="J9" s="13" t="s">
        <v>18</v>
      </c>
      <c r="L9" s="16">
        <f>'Flotation Costs'!B68/1000000</f>
        <v>66.11161224489797</v>
      </c>
    </row>
    <row r="10" spans="1:12" x14ac:dyDescent="0.25">
      <c r="A10" s="7"/>
      <c r="J10" s="18" t="s">
        <v>32</v>
      </c>
      <c r="L10" s="17">
        <f>SUM(L6:L9)</f>
        <v>220.19329300461771</v>
      </c>
    </row>
    <row r="11" spans="1:12" x14ac:dyDescent="0.25">
      <c r="D11" s="20"/>
      <c r="E11" s="20"/>
      <c r="F11" s="20"/>
      <c r="G11" s="20"/>
    </row>
  </sheetData>
  <mergeCells count="2">
    <mergeCell ref="A4:G4"/>
    <mergeCell ref="J5:L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AF0D-AF04-4B83-912E-B8AE86C15782}">
  <dimension ref="A4:L89"/>
  <sheetViews>
    <sheetView topLeftCell="A40" workbookViewId="0">
      <selection activeCell="G23" sqref="G23"/>
    </sheetView>
  </sheetViews>
  <sheetFormatPr defaultRowHeight="15" x14ac:dyDescent="0.25"/>
  <cols>
    <col min="1" max="1" width="22" customWidth="1"/>
    <col min="2" max="4" width="14.28515625" customWidth="1"/>
    <col min="5" max="5" width="15" customWidth="1"/>
    <col min="6" max="6" width="14.42578125" customWidth="1"/>
    <col min="7" max="7" width="14.7109375" customWidth="1"/>
    <col min="11" max="11" width="11.140625" bestFit="1" customWidth="1"/>
    <col min="13" max="13" width="17.85546875" customWidth="1"/>
  </cols>
  <sheetData>
    <row r="4" spans="1:9" x14ac:dyDescent="0.25">
      <c r="B4" s="19" t="s">
        <v>15</v>
      </c>
      <c r="C4" s="19"/>
      <c r="D4" s="19"/>
      <c r="E4" s="19"/>
      <c r="F4" s="19"/>
      <c r="G4" s="19"/>
    </row>
    <row r="5" spans="1:9" x14ac:dyDescent="0.25">
      <c r="A5" s="7"/>
      <c r="B5" s="6" t="s">
        <v>20</v>
      </c>
      <c r="C5" s="6" t="s">
        <v>12</v>
      </c>
      <c r="D5" s="6" t="s">
        <v>10</v>
      </c>
      <c r="E5" s="6" t="s">
        <v>11</v>
      </c>
      <c r="F5" s="6" t="s">
        <v>13</v>
      </c>
      <c r="G5" s="6" t="s">
        <v>14</v>
      </c>
    </row>
    <row r="6" spans="1:9" x14ac:dyDescent="0.25">
      <c r="A6" t="s">
        <v>21</v>
      </c>
      <c r="B6" s="3">
        <v>24150740763</v>
      </c>
      <c r="C6" s="3">
        <f>B6</f>
        <v>24150740763</v>
      </c>
      <c r="D6" s="3">
        <f>B6</f>
        <v>24150740763</v>
      </c>
      <c r="E6" s="3">
        <f t="shared" ref="E6:G7" si="0">B6</f>
        <v>24150740763</v>
      </c>
      <c r="F6" s="3">
        <f t="shared" si="0"/>
        <v>24150740763</v>
      </c>
      <c r="G6" s="3">
        <f t="shared" si="0"/>
        <v>24150740763</v>
      </c>
      <c r="I6" t="s">
        <v>23</v>
      </c>
    </row>
    <row r="7" spans="1:9" x14ac:dyDescent="0.25">
      <c r="A7" t="s">
        <v>22</v>
      </c>
      <c r="B7" s="3">
        <f>B6*(1.039)</f>
        <v>25092619652.757</v>
      </c>
      <c r="C7" s="3">
        <f>B7</f>
        <v>25092619652.757</v>
      </c>
      <c r="D7" s="3">
        <f>B7</f>
        <v>25092619652.757</v>
      </c>
      <c r="E7" s="3">
        <f t="shared" si="0"/>
        <v>25092619652.757</v>
      </c>
      <c r="F7" s="3">
        <f t="shared" si="0"/>
        <v>25092619652.757</v>
      </c>
      <c r="G7" s="3">
        <f t="shared" si="0"/>
        <v>25092619652.757</v>
      </c>
      <c r="I7" t="s">
        <v>27</v>
      </c>
    </row>
    <row r="8" spans="1:9" x14ac:dyDescent="0.25">
      <c r="B8" s="3"/>
      <c r="C8" s="3"/>
      <c r="D8" s="3"/>
      <c r="E8" s="3"/>
      <c r="F8" s="3"/>
      <c r="G8" s="3"/>
    </row>
    <row r="9" spans="1:9" x14ac:dyDescent="0.25">
      <c r="B9" s="2"/>
      <c r="C9" s="2"/>
      <c r="D9" s="2"/>
      <c r="E9" s="2"/>
    </row>
    <row r="10" spans="1:9" x14ac:dyDescent="0.25">
      <c r="A10" t="s">
        <v>1</v>
      </c>
      <c r="B10" s="4">
        <v>0.4</v>
      </c>
      <c r="C10" s="4">
        <v>0.4</v>
      </c>
      <c r="D10" s="4">
        <v>0.45</v>
      </c>
      <c r="E10" s="4">
        <v>0.4</v>
      </c>
      <c r="F10" s="4">
        <v>0.38</v>
      </c>
      <c r="G10" s="4">
        <v>0.37</v>
      </c>
    </row>
    <row r="11" spans="1:9" x14ac:dyDescent="0.25">
      <c r="A11" t="s">
        <v>2</v>
      </c>
      <c r="B11" s="5">
        <v>9.2499999999999999E-2</v>
      </c>
      <c r="C11" s="5">
        <v>8.8800000000000004E-2</v>
      </c>
      <c r="D11" s="5">
        <v>0.1</v>
      </c>
      <c r="E11" s="5">
        <v>0.1108</v>
      </c>
      <c r="F11" s="5">
        <v>6.9500000000000006E-2</v>
      </c>
      <c r="G11" s="5">
        <v>7.5700000000000003E-2</v>
      </c>
    </row>
    <row r="12" spans="1:9" x14ac:dyDescent="0.25">
      <c r="B12" s="2"/>
      <c r="C12" s="2"/>
      <c r="D12" s="2"/>
      <c r="E12" s="2"/>
    </row>
    <row r="13" spans="1:9" x14ac:dyDescent="0.25">
      <c r="A13" t="s">
        <v>3</v>
      </c>
      <c r="B13" s="4">
        <v>0.56000000000000005</v>
      </c>
      <c r="C13" s="4">
        <v>0.56000000000000005</v>
      </c>
      <c r="D13" s="4">
        <v>0.51</v>
      </c>
      <c r="E13" s="4">
        <v>0.56000000000000005</v>
      </c>
      <c r="F13" s="4">
        <v>0.57999999999999996</v>
      </c>
      <c r="G13" s="4">
        <v>0.59</v>
      </c>
    </row>
    <row r="14" spans="1:9" x14ac:dyDescent="0.25">
      <c r="A14" t="s">
        <v>4</v>
      </c>
      <c r="B14" s="5">
        <v>4.6600000000000003E-2</v>
      </c>
      <c r="C14" s="5">
        <v>4.6600000000000003E-2</v>
      </c>
      <c r="D14" s="5">
        <v>4.6600000000000003E-2</v>
      </c>
      <c r="E14" s="5">
        <v>4.6600000000000003E-2</v>
      </c>
      <c r="F14" s="5">
        <v>4.6600000000000003E-2</v>
      </c>
      <c r="G14" s="5">
        <v>4.6600000000000003E-2</v>
      </c>
    </row>
    <row r="15" spans="1:9" x14ac:dyDescent="0.25">
      <c r="B15" s="2"/>
      <c r="C15" s="2"/>
      <c r="D15" s="2"/>
      <c r="E15" s="2"/>
    </row>
    <row r="16" spans="1:9" x14ac:dyDescent="0.25">
      <c r="A16" t="s">
        <v>5</v>
      </c>
      <c r="B16" s="5">
        <v>0.26500000000000001</v>
      </c>
      <c r="C16" s="5">
        <v>0.26500000000000001</v>
      </c>
      <c r="D16" s="5">
        <v>0.26500000000000001</v>
      </c>
      <c r="E16" s="5">
        <v>0.26500000000000001</v>
      </c>
      <c r="F16" s="5">
        <v>0.26500000000000001</v>
      </c>
      <c r="G16" s="5">
        <v>0.26500000000000001</v>
      </c>
    </row>
    <row r="17" spans="1:9" x14ac:dyDescent="0.25">
      <c r="B17" s="2"/>
      <c r="C17" s="2"/>
      <c r="D17" s="2"/>
      <c r="E17" s="2"/>
    </row>
    <row r="18" spans="1:9" x14ac:dyDescent="0.25">
      <c r="A18" t="s">
        <v>6</v>
      </c>
      <c r="B18" s="3">
        <f>B7*(B10*B11)</f>
        <v>928426927.15200901</v>
      </c>
      <c r="C18" s="3">
        <f t="shared" ref="C18:G18" si="1">C7*(C10*C11)</f>
        <v>891289850.0659287</v>
      </c>
      <c r="D18" s="3">
        <f t="shared" si="1"/>
        <v>1129167884.3740652</v>
      </c>
      <c r="E18" s="3">
        <f t="shared" si="1"/>
        <v>1112104903.0101902</v>
      </c>
      <c r="F18" s="3">
        <f t="shared" si="1"/>
        <v>662696085.02931249</v>
      </c>
      <c r="G18" s="3">
        <f t="shared" si="1"/>
        <v>702819183.8540709</v>
      </c>
    </row>
    <row r="19" spans="1:9" x14ac:dyDescent="0.25">
      <c r="A19" t="s">
        <v>8</v>
      </c>
      <c r="B19" s="3">
        <f t="shared" ref="B19:G19" si="2">B7*(B13*B14)</f>
        <v>654817002.45834684</v>
      </c>
      <c r="C19" s="3">
        <f t="shared" si="2"/>
        <v>654817002.45834684</v>
      </c>
      <c r="D19" s="3">
        <f t="shared" si="2"/>
        <v>596351198.66742289</v>
      </c>
      <c r="E19" s="3">
        <f t="shared" si="2"/>
        <v>654817002.45834684</v>
      </c>
      <c r="F19" s="3">
        <f t="shared" si="2"/>
        <v>678203323.97471619</v>
      </c>
      <c r="G19" s="3">
        <f t="shared" si="2"/>
        <v>689896484.73290098</v>
      </c>
    </row>
    <row r="20" spans="1:9" x14ac:dyDescent="0.25">
      <c r="B20" s="3"/>
      <c r="C20" s="3"/>
      <c r="D20" s="3"/>
      <c r="E20" s="2"/>
    </row>
    <row r="21" spans="1:9" x14ac:dyDescent="0.25">
      <c r="A21" t="s">
        <v>7</v>
      </c>
      <c r="B21" s="3">
        <f>(B18*B16)-(B19*B16)</f>
        <v>72506630.043820471</v>
      </c>
      <c r="C21" s="3">
        <f>(C18*C16)-(C19*C16)</f>
        <v>62665304.616009176</v>
      </c>
      <c r="D21" s="3">
        <f t="shared" ref="D21:F21" si="3">(D18*D16)-(D19*D16)</f>
        <v>141196421.71226022</v>
      </c>
      <c r="E21" s="3">
        <f t="shared" si="3"/>
        <v>121181293.64623848</v>
      </c>
      <c r="F21" s="3">
        <f t="shared" si="3"/>
        <v>-4109418.3205319643</v>
      </c>
      <c r="G21" s="3">
        <f>(G18*G16)-(G19*G16)</f>
        <v>3424515.2671100199</v>
      </c>
    </row>
    <row r="22" spans="1:9" x14ac:dyDescent="0.25">
      <c r="A22" t="s">
        <v>9</v>
      </c>
      <c r="B22" s="3">
        <f>B21/(1-B16)</f>
        <v>98648476.250095874</v>
      </c>
      <c r="C22" s="3">
        <f>C21/(1-C16)</f>
        <v>85258917.844910443</v>
      </c>
      <c r="D22" s="3">
        <f t="shared" ref="D22:F22" si="4">D21/(1-D16)</f>
        <v>192103975.1187214</v>
      </c>
      <c r="E22" s="3">
        <f t="shared" si="4"/>
        <v>164872508.36222923</v>
      </c>
      <c r="F22" s="3">
        <f t="shared" si="4"/>
        <v>-5591045.3340570945</v>
      </c>
      <c r="G22" s="3">
        <f>G21/(1-G16)</f>
        <v>4659204.4450476458</v>
      </c>
    </row>
    <row r="23" spans="1:9" x14ac:dyDescent="0.25">
      <c r="B23" s="3"/>
      <c r="C23" s="3"/>
      <c r="D23" s="3"/>
      <c r="E23" s="2"/>
    </row>
    <row r="24" spans="1:9" x14ac:dyDescent="0.25">
      <c r="A24" s="9" t="s">
        <v>19</v>
      </c>
      <c r="B24" s="10"/>
      <c r="C24" s="10">
        <f>(C18-$B18)+(C19-$B19)+(C22-$B22)</f>
        <v>-50526635.491265744</v>
      </c>
      <c r="D24" s="10">
        <f>(D18-$B18)+(D19-$B19)+(D22-$B22)</f>
        <v>235730652.29975772</v>
      </c>
      <c r="E24" s="10">
        <f>(E18-$B18)+(E19-$B19)+(E22-$B22)</f>
        <v>249902007.97031459</v>
      </c>
      <c r="F24" s="10">
        <f>(F18-$B18)+(F19-$B19)+(F22-$B22)</f>
        <v>-346584042.19048011</v>
      </c>
      <c r="G24" s="10">
        <f>(G18-$B18)+(G19-$B19)+(G22-$B22)</f>
        <v>-284517532.8284322</v>
      </c>
    </row>
    <row r="26" spans="1:9" x14ac:dyDescent="0.25">
      <c r="B26" s="19" t="s">
        <v>16</v>
      </c>
      <c r="C26" s="19"/>
      <c r="D26" s="19"/>
      <c r="E26" s="19"/>
      <c r="F26" s="19"/>
      <c r="G26" s="19"/>
    </row>
    <row r="27" spans="1:9" x14ac:dyDescent="0.25">
      <c r="A27" s="7"/>
      <c r="B27" s="6" t="s">
        <v>20</v>
      </c>
      <c r="C27" s="6" t="s">
        <v>12</v>
      </c>
      <c r="D27" s="6" t="s">
        <v>10</v>
      </c>
      <c r="E27" s="6" t="s">
        <v>11</v>
      </c>
      <c r="F27" s="6" t="s">
        <v>13</v>
      </c>
      <c r="G27" s="6" t="s">
        <v>14</v>
      </c>
    </row>
    <row r="28" spans="1:9" x14ac:dyDescent="0.25">
      <c r="A28" t="s">
        <v>21</v>
      </c>
      <c r="B28" s="1">
        <v>16599722520</v>
      </c>
      <c r="C28" s="1">
        <f>B28</f>
        <v>16599722520</v>
      </c>
      <c r="D28" s="3">
        <f>B28</f>
        <v>16599722520</v>
      </c>
      <c r="E28" s="3"/>
      <c r="F28" s="3">
        <f>B28</f>
        <v>16599722520</v>
      </c>
      <c r="G28" s="3">
        <f>D28</f>
        <v>16599722520</v>
      </c>
      <c r="I28" t="s">
        <v>23</v>
      </c>
    </row>
    <row r="29" spans="1:9" x14ac:dyDescent="0.25">
      <c r="A29" t="s">
        <v>22</v>
      </c>
      <c r="B29" s="1">
        <f>B28*1.002</f>
        <v>16632921965.040001</v>
      </c>
      <c r="C29" s="1">
        <f>B29</f>
        <v>16632921965.040001</v>
      </c>
      <c r="D29" s="3">
        <f>B29</f>
        <v>16632921965.040001</v>
      </c>
      <c r="E29" s="3"/>
      <c r="F29" s="3">
        <f>B29</f>
        <v>16632921965.040001</v>
      </c>
      <c r="G29" s="3">
        <f>D29</f>
        <v>16632921965.040001</v>
      </c>
      <c r="I29" t="s">
        <v>26</v>
      </c>
    </row>
    <row r="30" spans="1:9" x14ac:dyDescent="0.25">
      <c r="B30" s="2"/>
      <c r="C30" s="2"/>
      <c r="D30" s="2"/>
      <c r="E30" s="2"/>
    </row>
    <row r="31" spans="1:9" x14ac:dyDescent="0.25">
      <c r="A31" t="s">
        <v>1</v>
      </c>
      <c r="B31" s="4">
        <v>0.4</v>
      </c>
      <c r="C31" s="4">
        <v>0.4</v>
      </c>
      <c r="D31" s="4">
        <v>0.45</v>
      </c>
      <c r="E31" s="4"/>
      <c r="F31" s="4">
        <v>0.38</v>
      </c>
      <c r="G31" s="4">
        <v>0.37</v>
      </c>
    </row>
    <row r="32" spans="1:9" x14ac:dyDescent="0.25">
      <c r="A32" t="s">
        <v>2</v>
      </c>
      <c r="B32" s="5">
        <v>9.2499999999999999E-2</v>
      </c>
      <c r="C32" s="5">
        <v>8.8800000000000004E-2</v>
      </c>
      <c r="D32" s="5">
        <v>0.1</v>
      </c>
      <c r="E32" s="5"/>
      <c r="F32" s="5">
        <v>6.9500000000000006E-2</v>
      </c>
      <c r="G32" s="5">
        <v>7.5700000000000003E-2</v>
      </c>
    </row>
    <row r="33" spans="1:7" x14ac:dyDescent="0.25">
      <c r="B33" s="2"/>
      <c r="C33" s="2"/>
      <c r="D33" s="2"/>
      <c r="E33" s="2"/>
    </row>
    <row r="34" spans="1:7" x14ac:dyDescent="0.25">
      <c r="A34" t="s">
        <v>3</v>
      </c>
      <c r="B34" s="4">
        <v>0.56000000000000005</v>
      </c>
      <c r="C34" s="4">
        <v>0.56000000000000005</v>
      </c>
      <c r="D34" s="4">
        <v>0.51</v>
      </c>
      <c r="E34" s="4"/>
      <c r="F34" s="4">
        <v>0.57999999999999996</v>
      </c>
      <c r="G34" s="4">
        <v>0.59</v>
      </c>
    </row>
    <row r="35" spans="1:7" x14ac:dyDescent="0.25">
      <c r="A35" t="s">
        <v>4</v>
      </c>
      <c r="B35" s="5">
        <v>4.6600000000000003E-2</v>
      </c>
      <c r="C35" s="5">
        <v>4.6600000000000003E-2</v>
      </c>
      <c r="D35" s="5">
        <v>4.6600000000000003E-2</v>
      </c>
      <c r="E35" s="5"/>
      <c r="F35" s="5">
        <v>4.6600000000000003E-2</v>
      </c>
      <c r="G35" s="5">
        <v>4.6600000000000003E-2</v>
      </c>
    </row>
    <row r="36" spans="1:7" x14ac:dyDescent="0.25">
      <c r="B36" s="2"/>
      <c r="C36" s="2"/>
      <c r="D36" s="2"/>
      <c r="E36" s="2"/>
    </row>
    <row r="37" spans="1:7" x14ac:dyDescent="0.25">
      <c r="A37" t="s">
        <v>5</v>
      </c>
      <c r="B37" s="5">
        <v>0.26500000000000001</v>
      </c>
      <c r="C37" s="5">
        <v>0.26500000000000001</v>
      </c>
      <c r="D37" s="5">
        <v>0.26500000000000001</v>
      </c>
      <c r="E37" s="5"/>
      <c r="F37" s="5">
        <v>0.26500000000000001</v>
      </c>
      <c r="G37" s="5">
        <v>0.26500000000000001</v>
      </c>
    </row>
    <row r="38" spans="1:7" x14ac:dyDescent="0.25">
      <c r="B38" s="2"/>
      <c r="C38" s="2"/>
      <c r="D38" s="2"/>
      <c r="E38" s="2"/>
    </row>
    <row r="39" spans="1:7" x14ac:dyDescent="0.25">
      <c r="A39" t="s">
        <v>6</v>
      </c>
      <c r="B39" s="3">
        <f>B29*(B31*B32)</f>
        <v>615418112.70648003</v>
      </c>
      <c r="C39" s="3">
        <f>C29*(C31*C32)</f>
        <v>590801388.19822085</v>
      </c>
      <c r="D39" s="3">
        <f>D29*(D31*D32)</f>
        <v>748481488.42680013</v>
      </c>
      <c r="E39" s="3"/>
      <c r="F39" s="3">
        <f>F29*(F31*F32)</f>
        <v>439275469.09670645</v>
      </c>
      <c r="G39" s="3">
        <f>G29*(G31*G32)</f>
        <v>465871511.31880546</v>
      </c>
    </row>
    <row r="40" spans="1:7" x14ac:dyDescent="0.25">
      <c r="A40" t="s">
        <v>8</v>
      </c>
      <c r="B40" s="3">
        <f>B29*(B34*B35)</f>
        <v>434052731.59968394</v>
      </c>
      <c r="C40" s="3">
        <f>C29*(C34*C35)</f>
        <v>434052731.59968394</v>
      </c>
      <c r="D40" s="3">
        <f>D29*(D34*D35)</f>
        <v>395298023.42114073</v>
      </c>
      <c r="E40" s="3"/>
      <c r="F40" s="3">
        <f>F29*(F34*F35)</f>
        <v>449554614.87110114</v>
      </c>
      <c r="G40" s="3">
        <f>G29*(G34*G35)</f>
        <v>457305556.50680983</v>
      </c>
    </row>
    <row r="41" spans="1:7" x14ac:dyDescent="0.25">
      <c r="B41" s="3"/>
      <c r="C41" s="3"/>
      <c r="D41" s="3"/>
      <c r="E41" s="2"/>
    </row>
    <row r="42" spans="1:7" x14ac:dyDescent="0.25">
      <c r="A42" t="s">
        <v>7</v>
      </c>
      <c r="B42" s="3">
        <f>(B39*B37)-(B40*B37)</f>
        <v>48061825.993300959</v>
      </c>
      <c r="C42" s="3">
        <f t="shared" ref="C42:G42" si="5">(C39*C37)-(C40*C37)</f>
        <v>41538393.99861227</v>
      </c>
      <c r="D42" s="3">
        <f t="shared" si="5"/>
        <v>93593618.226499736</v>
      </c>
      <c r="E42" s="3"/>
      <c r="F42" s="3">
        <f t="shared" si="5"/>
        <v>-2723973.6302145869</v>
      </c>
      <c r="G42" s="3">
        <f t="shared" si="5"/>
        <v>2269978.0251788348</v>
      </c>
    </row>
    <row r="43" spans="1:7" x14ac:dyDescent="0.25">
      <c r="A43" t="s">
        <v>9</v>
      </c>
      <c r="B43" s="3">
        <f t="shared" ref="B43:D43" si="6">B42/(1-B37)</f>
        <v>65390239.446667977</v>
      </c>
      <c r="C43" s="3">
        <f t="shared" si="6"/>
        <v>56514821.766819417</v>
      </c>
      <c r="D43" s="3">
        <f t="shared" si="6"/>
        <v>127338256.09047583</v>
      </c>
      <c r="E43" s="3"/>
      <c r="F43" s="3">
        <f t="shared" ref="F43" si="7">F42/(1-F37)</f>
        <v>-3706086.5717205266</v>
      </c>
      <c r="G43" s="3">
        <f>G42/(1-G37)</f>
        <v>3088405.4764337889</v>
      </c>
    </row>
    <row r="44" spans="1:7" x14ac:dyDescent="0.25">
      <c r="B44" s="3"/>
      <c r="C44" s="3"/>
      <c r="D44" s="3"/>
      <c r="E44" s="2"/>
    </row>
    <row r="45" spans="1:7" x14ac:dyDescent="0.25">
      <c r="A45" s="9" t="s">
        <v>19</v>
      </c>
      <c r="B45" s="10"/>
      <c r="C45" s="10">
        <f>(C39-$B39)+(C40-$B40)+(C43-$B43)</f>
        <v>-33492142.188107736</v>
      </c>
      <c r="D45" s="10">
        <f>(D39-$B39)+(D40-$B40)+(D43-$B43)</f>
        <v>156256684.18558475</v>
      </c>
      <c r="E45" s="10"/>
      <c r="F45" s="10">
        <f>(F39-$B39)+(F40-$B40)+(F43-$B43)</f>
        <v>-229737086.35674489</v>
      </c>
      <c r="G45" s="10">
        <f>(G39-$B39)+(G40-$B40)+(G43-$B43)</f>
        <v>-188595610.45078287</v>
      </c>
    </row>
    <row r="48" spans="1:7" x14ac:dyDescent="0.25">
      <c r="B48" s="19" t="s">
        <v>17</v>
      </c>
      <c r="C48" s="19"/>
      <c r="D48" s="19"/>
      <c r="E48" s="19"/>
      <c r="F48" s="19"/>
      <c r="G48" s="19"/>
    </row>
    <row r="49" spans="1:9" x14ac:dyDescent="0.25">
      <c r="B49" s="6" t="s">
        <v>20</v>
      </c>
      <c r="C49" s="6" t="s">
        <v>12</v>
      </c>
      <c r="D49" s="6" t="s">
        <v>10</v>
      </c>
      <c r="E49" s="6" t="s">
        <v>11</v>
      </c>
      <c r="F49" s="6" t="s">
        <v>13</v>
      </c>
      <c r="G49" s="6" t="s">
        <v>14</v>
      </c>
    </row>
    <row r="50" spans="1:9" x14ac:dyDescent="0.25">
      <c r="A50" t="s">
        <v>21</v>
      </c>
      <c r="B50" s="1">
        <v>15138667000</v>
      </c>
      <c r="C50" s="1">
        <f>B50</f>
        <v>15138667000</v>
      </c>
      <c r="D50" s="3">
        <f>B50</f>
        <v>15138667000</v>
      </c>
      <c r="E50" s="3"/>
      <c r="F50" s="3">
        <f>B50</f>
        <v>15138667000</v>
      </c>
      <c r="G50" s="3">
        <f>D50</f>
        <v>15138667000</v>
      </c>
      <c r="I50" t="s">
        <v>23</v>
      </c>
    </row>
    <row r="51" spans="1:9" x14ac:dyDescent="0.25">
      <c r="A51" t="s">
        <v>0</v>
      </c>
      <c r="B51" s="1">
        <f>B50*(1.036)</f>
        <v>15683659012</v>
      </c>
      <c r="C51" s="1">
        <f>B51</f>
        <v>15683659012</v>
      </c>
      <c r="D51" s="3">
        <f>B51</f>
        <v>15683659012</v>
      </c>
      <c r="E51" s="3"/>
      <c r="F51" s="3">
        <f>B51</f>
        <v>15683659012</v>
      </c>
      <c r="G51" s="3">
        <f>D51</f>
        <v>15683659012</v>
      </c>
      <c r="I51" t="s">
        <v>25</v>
      </c>
    </row>
    <row r="52" spans="1:9" x14ac:dyDescent="0.25">
      <c r="B52" s="2"/>
      <c r="C52" s="2"/>
      <c r="D52" s="2"/>
      <c r="E52" s="2"/>
    </row>
    <row r="53" spans="1:9" x14ac:dyDescent="0.25">
      <c r="A53" t="s">
        <v>1</v>
      </c>
      <c r="B53" s="4">
        <v>0.38</v>
      </c>
      <c r="C53" s="4">
        <v>0.38</v>
      </c>
      <c r="D53" s="4">
        <v>0.45</v>
      </c>
      <c r="E53" s="4"/>
      <c r="F53" s="4">
        <v>0.38</v>
      </c>
      <c r="G53" s="4">
        <v>0.38</v>
      </c>
    </row>
    <row r="54" spans="1:9" x14ac:dyDescent="0.25">
      <c r="A54" t="s">
        <v>2</v>
      </c>
      <c r="B54" s="5">
        <v>9.2499999999999999E-2</v>
      </c>
      <c r="C54" s="5">
        <v>8.8800000000000004E-2</v>
      </c>
      <c r="D54" s="5">
        <v>0.1</v>
      </c>
      <c r="E54" s="5"/>
      <c r="F54" s="5">
        <v>6.9500000000000006E-2</v>
      </c>
      <c r="G54" s="5">
        <v>7.5700000000000003E-2</v>
      </c>
    </row>
    <row r="55" spans="1:9" x14ac:dyDescent="0.25">
      <c r="B55" s="2"/>
      <c r="C55" s="2"/>
      <c r="D55" s="2"/>
      <c r="E55" s="2"/>
    </row>
    <row r="56" spans="1:9" x14ac:dyDescent="0.25">
      <c r="A56" t="s">
        <v>3</v>
      </c>
      <c r="B56" s="4">
        <v>0.57999999999999996</v>
      </c>
      <c r="C56" s="4">
        <v>0.57999999999999996</v>
      </c>
      <c r="D56" s="4">
        <v>0.51</v>
      </c>
      <c r="E56" s="4"/>
      <c r="F56" s="4">
        <v>0.57999999999999996</v>
      </c>
      <c r="G56" s="4">
        <v>0.57999999999999996</v>
      </c>
    </row>
    <row r="57" spans="1:9" x14ac:dyDescent="0.25">
      <c r="A57" t="s">
        <v>4</v>
      </c>
      <c r="B57" s="5">
        <v>4.6600000000000003E-2</v>
      </c>
      <c r="C57" s="5">
        <v>4.6600000000000003E-2</v>
      </c>
      <c r="D57" s="5">
        <v>4.6600000000000003E-2</v>
      </c>
      <c r="E57" s="5"/>
      <c r="F57" s="5">
        <v>4.6600000000000003E-2</v>
      </c>
      <c r="G57" s="5">
        <v>4.6600000000000003E-2</v>
      </c>
    </row>
    <row r="58" spans="1:9" x14ac:dyDescent="0.25">
      <c r="B58" s="2"/>
      <c r="C58" s="2"/>
      <c r="D58" s="2"/>
      <c r="E58" s="2"/>
    </row>
    <row r="59" spans="1:9" x14ac:dyDescent="0.25">
      <c r="A59" t="s">
        <v>5</v>
      </c>
      <c r="B59" s="5">
        <v>0.26500000000000001</v>
      </c>
      <c r="C59" s="5">
        <v>0.26500000000000001</v>
      </c>
      <c r="D59" s="5">
        <v>0.26500000000000001</v>
      </c>
      <c r="E59" s="5"/>
      <c r="F59" s="5">
        <v>0.26500000000000001</v>
      </c>
      <c r="G59" s="5">
        <v>0.26500000000000001</v>
      </c>
    </row>
    <row r="60" spans="1:9" x14ac:dyDescent="0.25">
      <c r="B60" s="2"/>
      <c r="C60" s="2"/>
      <c r="D60" s="2"/>
      <c r="E60" s="2"/>
    </row>
    <row r="61" spans="1:9" x14ac:dyDescent="0.25">
      <c r="A61" t="s">
        <v>6</v>
      </c>
      <c r="B61" s="3">
        <f>B51*(B53*B54)</f>
        <v>551280614.27180004</v>
      </c>
      <c r="C61" s="3">
        <f>C51*(C53*C54)</f>
        <v>529229389.70092803</v>
      </c>
      <c r="D61" s="3">
        <f>D51*(D53*D54)</f>
        <v>705764655.54000008</v>
      </c>
      <c r="E61" s="3"/>
      <c r="F61" s="3">
        <f>F51*(F53*F54)</f>
        <v>414205434.50692004</v>
      </c>
      <c r="G61" s="3">
        <f>G51*(G53*G54)</f>
        <v>451156135.13919199</v>
      </c>
    </row>
    <row r="62" spans="1:9" x14ac:dyDescent="0.25">
      <c r="A62" t="s">
        <v>8</v>
      </c>
      <c r="B62" s="3">
        <f>B51*(B56*B57)</f>
        <v>423897935.77633601</v>
      </c>
      <c r="C62" s="3">
        <f>C51*(C56*C57)</f>
        <v>423897935.77633601</v>
      </c>
      <c r="D62" s="3">
        <f>D51*(D56*D57)</f>
        <v>372737840.07919204</v>
      </c>
      <c r="E62" s="3"/>
      <c r="F62" s="3">
        <f>F51*(F56*F57)</f>
        <v>423897935.77633601</v>
      </c>
      <c r="G62" s="3">
        <f>G51*(G56*G57)</f>
        <v>423897935.77633601</v>
      </c>
    </row>
    <row r="63" spans="1:9" x14ac:dyDescent="0.25">
      <c r="B63" s="3"/>
      <c r="C63" s="3"/>
      <c r="D63" s="3"/>
      <c r="E63" s="3"/>
      <c r="F63" s="3"/>
      <c r="G63" s="3"/>
    </row>
    <row r="64" spans="1:9" x14ac:dyDescent="0.25">
      <c r="A64" t="s">
        <v>7</v>
      </c>
      <c r="B64" s="3">
        <f>(B61*B59)-(B62*B59)</f>
        <v>33756409.801297963</v>
      </c>
      <c r="C64" s="3">
        <f t="shared" ref="C64:G64" si="8">(C61*C59)-(C62*C59)</f>
        <v>27912835.29001689</v>
      </c>
      <c r="D64" s="3">
        <f t="shared" si="8"/>
        <v>88252106.097114146</v>
      </c>
      <c r="E64" s="3"/>
      <c r="F64" s="3">
        <f t="shared" si="8"/>
        <v>-2568512.8363952339</v>
      </c>
      <c r="G64" s="3">
        <f t="shared" si="8"/>
        <v>7223422.831156835</v>
      </c>
    </row>
    <row r="65" spans="1:12" x14ac:dyDescent="0.25">
      <c r="A65" t="s">
        <v>9</v>
      </c>
      <c r="B65" s="3">
        <f>B64/(1-B59)</f>
        <v>45927088.165031239</v>
      </c>
      <c r="C65" s="3">
        <f t="shared" ref="C65:G65" si="9">C64/(1-C59)</f>
        <v>37976646.653084204</v>
      </c>
      <c r="D65" s="3">
        <f t="shared" si="9"/>
        <v>120070892.64913489</v>
      </c>
      <c r="E65" s="3"/>
      <c r="F65" s="3">
        <f t="shared" si="9"/>
        <v>-3494575.287612563</v>
      </c>
      <c r="G65" s="3">
        <f t="shared" si="9"/>
        <v>9827786.1648392323</v>
      </c>
    </row>
    <row r="66" spans="1:12" x14ac:dyDescent="0.25">
      <c r="B66" s="3"/>
      <c r="C66" s="3"/>
      <c r="D66" s="3"/>
      <c r="E66" s="2"/>
    </row>
    <row r="67" spans="1:12" x14ac:dyDescent="0.25">
      <c r="A67" s="9" t="s">
        <v>19</v>
      </c>
      <c r="B67" s="3"/>
      <c r="C67" s="10">
        <f>(C61-$B61)+(C62-$B62)+(C65-$B65)</f>
        <v>-30001666.082819045</v>
      </c>
      <c r="D67" s="10">
        <f>(D61-$B61)+(D62-$B62)+(D65-$B65)</f>
        <v>177467750.05515972</v>
      </c>
      <c r="E67" s="10"/>
      <c r="F67" s="10">
        <f>(F61-$B61)+(F62-$B62)+(F65-$B65)</f>
        <v>-186496843.21752381</v>
      </c>
      <c r="G67" s="10">
        <f>(G61-$B61)+(G62-$B62)+(G65-$B65)</f>
        <v>-136223781.13280007</v>
      </c>
      <c r="K67" s="1"/>
    </row>
    <row r="70" spans="1:12" x14ac:dyDescent="0.25">
      <c r="B70" s="19" t="s">
        <v>18</v>
      </c>
      <c r="C70" s="19"/>
      <c r="D70" s="19"/>
      <c r="E70" s="19"/>
      <c r="F70" s="19"/>
      <c r="G70" s="19"/>
    </row>
    <row r="71" spans="1:12" x14ac:dyDescent="0.25">
      <c r="B71" s="6" t="s">
        <v>20</v>
      </c>
      <c r="C71" s="6" t="s">
        <v>12</v>
      </c>
      <c r="D71" s="6" t="s">
        <v>10</v>
      </c>
      <c r="E71" s="6" t="s">
        <v>11</v>
      </c>
      <c r="F71" s="6" t="s">
        <v>13</v>
      </c>
      <c r="G71" s="6" t="s">
        <v>14</v>
      </c>
    </row>
    <row r="72" spans="1:12" x14ac:dyDescent="0.25">
      <c r="A72" t="s">
        <v>21</v>
      </c>
      <c r="B72" s="1">
        <v>20490000000</v>
      </c>
      <c r="C72" s="1">
        <f>B72</f>
        <v>20490000000</v>
      </c>
      <c r="D72" s="3"/>
      <c r="E72" s="3"/>
      <c r="F72" s="3">
        <f>B72</f>
        <v>20490000000</v>
      </c>
      <c r="G72" s="6"/>
      <c r="I72" t="s">
        <v>23</v>
      </c>
    </row>
    <row r="73" spans="1:12" x14ac:dyDescent="0.25">
      <c r="A73" t="s">
        <v>0</v>
      </c>
      <c r="B73" s="1">
        <f>B72*(1+0.054)</f>
        <v>21596460000</v>
      </c>
      <c r="C73" s="1">
        <f>B73</f>
        <v>21596460000</v>
      </c>
      <c r="D73" s="3"/>
      <c r="E73" s="3"/>
      <c r="F73" s="3">
        <f>B73</f>
        <v>21596460000</v>
      </c>
      <c r="G73" s="3"/>
      <c r="I73" t="s">
        <v>24</v>
      </c>
      <c r="L73" s="11"/>
    </row>
    <row r="74" spans="1:12" x14ac:dyDescent="0.25">
      <c r="B74" s="2"/>
      <c r="C74" s="2"/>
      <c r="D74" s="2"/>
      <c r="E74" s="2"/>
    </row>
    <row r="75" spans="1:12" x14ac:dyDescent="0.25">
      <c r="A75" t="s">
        <v>1</v>
      </c>
      <c r="B75" s="4">
        <v>0.45</v>
      </c>
      <c r="C75" s="4">
        <v>0.45</v>
      </c>
      <c r="D75" s="4"/>
      <c r="E75" s="4"/>
      <c r="F75" s="4">
        <v>0.45</v>
      </c>
    </row>
    <row r="76" spans="1:12" x14ac:dyDescent="0.25">
      <c r="A76" t="s">
        <v>2</v>
      </c>
      <c r="B76" s="5">
        <v>9.2499999999999999E-2</v>
      </c>
      <c r="C76" s="5">
        <v>8.8800000000000004E-2</v>
      </c>
      <c r="D76" s="5"/>
      <c r="E76" s="5"/>
      <c r="F76" s="5">
        <v>6.9500000000000006E-2</v>
      </c>
      <c r="G76" s="5"/>
    </row>
    <row r="77" spans="1:12" x14ac:dyDescent="0.25">
      <c r="B77" s="2"/>
      <c r="C77" s="2"/>
      <c r="D77" s="2"/>
      <c r="E77" s="2"/>
      <c r="L77" s="11"/>
    </row>
    <row r="78" spans="1:12" x14ac:dyDescent="0.25">
      <c r="A78" t="s">
        <v>3</v>
      </c>
      <c r="B78" s="4">
        <v>0.55000000000000004</v>
      </c>
      <c r="C78" s="4">
        <v>0.55000000000000004</v>
      </c>
      <c r="D78" s="4"/>
      <c r="E78" s="4"/>
      <c r="F78" s="4">
        <v>0.57999999999999996</v>
      </c>
    </row>
    <row r="79" spans="1:12" x14ac:dyDescent="0.25">
      <c r="A79" t="s">
        <v>4</v>
      </c>
      <c r="B79" s="5">
        <v>4.6600000000000003E-2</v>
      </c>
      <c r="C79" s="5">
        <v>4.6600000000000003E-2</v>
      </c>
      <c r="D79" s="5"/>
      <c r="E79" s="5"/>
      <c r="F79" s="5">
        <v>4.6600000000000003E-2</v>
      </c>
      <c r="G79" s="5"/>
    </row>
    <row r="80" spans="1:12" x14ac:dyDescent="0.25">
      <c r="B80" s="2"/>
      <c r="C80" s="2"/>
      <c r="D80" s="2"/>
      <c r="E80" s="2"/>
    </row>
    <row r="81" spans="1:7" x14ac:dyDescent="0.25">
      <c r="A81" t="s">
        <v>5</v>
      </c>
      <c r="B81" s="5">
        <v>0.26500000000000001</v>
      </c>
      <c r="C81" s="5">
        <v>0.26500000000000001</v>
      </c>
      <c r="D81" s="5"/>
      <c r="E81" s="5"/>
      <c r="F81" s="5">
        <v>0.26500000000000001</v>
      </c>
      <c r="G81" s="5"/>
    </row>
    <row r="82" spans="1:7" x14ac:dyDescent="0.25">
      <c r="B82" s="2"/>
      <c r="C82" s="2"/>
      <c r="D82" s="2"/>
      <c r="E82" s="2"/>
    </row>
    <row r="83" spans="1:7" x14ac:dyDescent="0.25">
      <c r="A83" t="s">
        <v>6</v>
      </c>
      <c r="B83" s="3">
        <f>B73*(B75*B76)</f>
        <v>898952647.5</v>
      </c>
      <c r="C83" s="3">
        <f>C73*(C75*C76)</f>
        <v>862994541.60000002</v>
      </c>
      <c r="D83" s="3"/>
      <c r="E83" s="3"/>
      <c r="F83" s="3">
        <f>F73*(F75*F76)</f>
        <v>675429286.50000012</v>
      </c>
      <c r="G83" s="3"/>
    </row>
    <row r="84" spans="1:7" x14ac:dyDescent="0.25">
      <c r="A84" t="s">
        <v>8</v>
      </c>
      <c r="B84" s="3">
        <f>B73*(B78*B79)</f>
        <v>553517269.80000007</v>
      </c>
      <c r="C84" s="3">
        <f>C73*(C78*C79)</f>
        <v>553517269.80000007</v>
      </c>
      <c r="D84" s="3"/>
      <c r="E84" s="3"/>
      <c r="F84" s="3">
        <f>F73*(F78*F79)</f>
        <v>583709120.88</v>
      </c>
      <c r="G84" s="3"/>
    </row>
    <row r="85" spans="1:7" x14ac:dyDescent="0.25">
      <c r="B85" s="3"/>
      <c r="C85" s="3"/>
      <c r="D85" s="3"/>
      <c r="E85" s="3"/>
      <c r="F85" s="3"/>
      <c r="G85" s="3"/>
    </row>
    <row r="86" spans="1:7" x14ac:dyDescent="0.25">
      <c r="A86" t="s">
        <v>7</v>
      </c>
      <c r="B86" s="3">
        <f>(B83*B81)-(B84*B81)</f>
        <v>91540375.090499967</v>
      </c>
      <c r="C86" s="3">
        <f>(C83*C81)-(C84*C81)</f>
        <v>82011477.02699998</v>
      </c>
      <c r="D86" s="3"/>
      <c r="E86" s="3"/>
      <c r="F86" s="3">
        <f t="shared" ref="F86" si="10">(F83*F81)-(F84*F81)</f>
        <v>24305843.889300048</v>
      </c>
      <c r="G86" s="3"/>
    </row>
    <row r="87" spans="1:7" x14ac:dyDescent="0.25">
      <c r="A87" t="s">
        <v>9</v>
      </c>
      <c r="B87" s="3">
        <f>B86*(1/(1-B81))</f>
        <v>124544728.01428567</v>
      </c>
      <c r="C87" s="3">
        <f>C86*(1/(1-C81))</f>
        <v>111580240.8530612</v>
      </c>
      <c r="D87" s="3"/>
      <c r="E87" s="3"/>
      <c r="F87" s="3">
        <f>F86*(1/(1-F81))</f>
        <v>33069175.359591901</v>
      </c>
      <c r="G87" s="3"/>
    </row>
    <row r="88" spans="1:7" x14ac:dyDescent="0.25">
      <c r="B88" s="3"/>
      <c r="C88" s="3"/>
      <c r="D88" s="3"/>
      <c r="E88" s="2"/>
    </row>
    <row r="89" spans="1:7" x14ac:dyDescent="0.25">
      <c r="A89" s="9" t="s">
        <v>19</v>
      </c>
      <c r="B89" s="3"/>
      <c r="C89" s="10">
        <f>(C83-$B83)+(C84-$B84)+(C87-$B87)</f>
        <v>-48922593.061224446</v>
      </c>
      <c r="D89" s="10"/>
      <c r="E89" s="10"/>
      <c r="F89" s="10">
        <f>(F83-$B83)+(F84-$B84)+(F87-$B87)</f>
        <v>-284807062.57469374</v>
      </c>
      <c r="G89" s="10"/>
    </row>
  </sheetData>
  <mergeCells count="4">
    <mergeCell ref="B4:G4"/>
    <mergeCell ref="B26:G26"/>
    <mergeCell ref="B48:G48"/>
    <mergeCell ref="B70:G7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DE98-6CED-4B6A-8540-8C05D917657C}">
  <dimension ref="A4:G72"/>
  <sheetViews>
    <sheetView workbookViewId="0">
      <selection activeCell="G90" sqref="G90"/>
    </sheetView>
  </sheetViews>
  <sheetFormatPr defaultRowHeight="15" x14ac:dyDescent="0.25"/>
  <cols>
    <col min="1" max="1" width="22" customWidth="1"/>
    <col min="2" max="2" width="27.7109375" customWidth="1"/>
    <col min="6" max="6" width="11.140625" bestFit="1" customWidth="1"/>
    <col min="8" max="8" width="17.85546875" customWidth="1"/>
  </cols>
  <sheetData>
    <row r="4" spans="1:4" x14ac:dyDescent="0.25">
      <c r="B4" s="8" t="s">
        <v>15</v>
      </c>
    </row>
    <row r="5" spans="1:4" x14ac:dyDescent="0.25">
      <c r="A5" t="s">
        <v>21</v>
      </c>
      <c r="B5" s="3">
        <v>24150740763</v>
      </c>
      <c r="D5" t="s">
        <v>23</v>
      </c>
    </row>
    <row r="6" spans="1:4" x14ac:dyDescent="0.25">
      <c r="A6" t="s">
        <v>22</v>
      </c>
      <c r="B6" s="3">
        <f>B5*(1.039)</f>
        <v>25092619652.757</v>
      </c>
      <c r="D6" t="s">
        <v>27</v>
      </c>
    </row>
    <row r="7" spans="1:4" x14ac:dyDescent="0.25">
      <c r="B7" s="3"/>
    </row>
    <row r="8" spans="1:4" x14ac:dyDescent="0.25">
      <c r="A8" t="s">
        <v>1</v>
      </c>
      <c r="B8" s="4">
        <v>0.4</v>
      </c>
    </row>
    <row r="9" spans="1:4" x14ac:dyDescent="0.25">
      <c r="A9" t="s">
        <v>29</v>
      </c>
      <c r="B9" s="5">
        <v>5.0000000000000001E-3</v>
      </c>
    </row>
    <row r="10" spans="1:4" x14ac:dyDescent="0.25">
      <c r="B10" s="2"/>
    </row>
    <row r="11" spans="1:4" x14ac:dyDescent="0.25">
      <c r="A11" t="s">
        <v>5</v>
      </c>
      <c r="B11" s="5">
        <v>0.26500000000000001</v>
      </c>
    </row>
    <row r="12" spans="1:4" x14ac:dyDescent="0.25">
      <c r="B12" s="2"/>
    </row>
    <row r="13" spans="1:4" x14ac:dyDescent="0.25">
      <c r="A13" t="s">
        <v>6</v>
      </c>
      <c r="B13" s="3">
        <f>B6*(B8*B9)</f>
        <v>50185239.305514</v>
      </c>
    </row>
    <row r="14" spans="1:4" x14ac:dyDescent="0.25">
      <c r="B14" s="3"/>
    </row>
    <row r="15" spans="1:4" x14ac:dyDescent="0.25">
      <c r="A15" t="s">
        <v>7</v>
      </c>
      <c r="B15" s="3">
        <f>(B13*B11)</f>
        <v>13299088.415961212</v>
      </c>
    </row>
    <row r="16" spans="1:4" x14ac:dyDescent="0.25">
      <c r="A16" t="s">
        <v>9</v>
      </c>
      <c r="B16" s="3">
        <f>B15/(1-B11)</f>
        <v>18093997.844845187</v>
      </c>
    </row>
    <row r="17" spans="1:4" x14ac:dyDescent="0.25">
      <c r="B17" s="3"/>
    </row>
    <row r="18" spans="1:4" x14ac:dyDescent="0.25">
      <c r="A18" s="9" t="s">
        <v>30</v>
      </c>
      <c r="B18" s="10">
        <f>B16+B13</f>
        <v>68279237.150359184</v>
      </c>
    </row>
    <row r="20" spans="1:4" x14ac:dyDescent="0.25">
      <c r="B20" s="8" t="s">
        <v>16</v>
      </c>
    </row>
    <row r="21" spans="1:4" x14ac:dyDescent="0.25">
      <c r="A21" t="s">
        <v>21</v>
      </c>
      <c r="B21" s="3">
        <v>16599722520</v>
      </c>
      <c r="D21" t="s">
        <v>23</v>
      </c>
    </row>
    <row r="22" spans="1:4" x14ac:dyDescent="0.25">
      <c r="A22" t="s">
        <v>22</v>
      </c>
      <c r="B22" s="3">
        <f>B21*1.002</f>
        <v>16632921965.040001</v>
      </c>
      <c r="D22" t="s">
        <v>26</v>
      </c>
    </row>
    <row r="23" spans="1:4" x14ac:dyDescent="0.25">
      <c r="B23" s="2"/>
    </row>
    <row r="24" spans="1:4" x14ac:dyDescent="0.25">
      <c r="A24" t="s">
        <v>1</v>
      </c>
      <c r="B24" s="4">
        <v>0.4</v>
      </c>
    </row>
    <row r="25" spans="1:4" x14ac:dyDescent="0.25">
      <c r="A25" t="s">
        <v>29</v>
      </c>
      <c r="B25" s="5">
        <v>5.0000000000000001E-3</v>
      </c>
    </row>
    <row r="26" spans="1:4" x14ac:dyDescent="0.25">
      <c r="B26" s="2"/>
    </row>
    <row r="27" spans="1:4" x14ac:dyDescent="0.25">
      <c r="A27" t="s">
        <v>5</v>
      </c>
      <c r="B27" s="5">
        <v>0.26500000000000001</v>
      </c>
    </row>
    <row r="28" spans="1:4" x14ac:dyDescent="0.25">
      <c r="B28" s="2"/>
    </row>
    <row r="29" spans="1:4" x14ac:dyDescent="0.25">
      <c r="A29" t="s">
        <v>6</v>
      </c>
      <c r="B29" s="3">
        <f>B22*(B24*B25)</f>
        <v>33265843.930080004</v>
      </c>
    </row>
    <row r="30" spans="1:4" x14ac:dyDescent="0.25">
      <c r="B30" s="3"/>
    </row>
    <row r="31" spans="1:4" x14ac:dyDescent="0.25">
      <c r="A31" t="s">
        <v>7</v>
      </c>
      <c r="B31" s="3">
        <f>(B29*B27)</f>
        <v>8815448.6414712016</v>
      </c>
    </row>
    <row r="32" spans="1:4" x14ac:dyDescent="0.25">
      <c r="A32" t="s">
        <v>9</v>
      </c>
      <c r="B32" s="3">
        <f>B31/(1-B27)</f>
        <v>11993807.675471023</v>
      </c>
    </row>
    <row r="34" spans="1:4" x14ac:dyDescent="0.25">
      <c r="A34" s="9" t="s">
        <v>30</v>
      </c>
      <c r="B34" s="10">
        <f>B32+B29</f>
        <v>45259651.605551027</v>
      </c>
    </row>
    <row r="37" spans="1:4" x14ac:dyDescent="0.25">
      <c r="B37" s="8" t="s">
        <v>17</v>
      </c>
    </row>
    <row r="38" spans="1:4" x14ac:dyDescent="0.25">
      <c r="A38" t="s">
        <v>21</v>
      </c>
      <c r="B38" s="3">
        <v>15138667000</v>
      </c>
      <c r="D38" t="s">
        <v>23</v>
      </c>
    </row>
    <row r="39" spans="1:4" x14ac:dyDescent="0.25">
      <c r="A39" t="s">
        <v>0</v>
      </c>
      <c r="B39" s="3">
        <f>B38*(1.036)</f>
        <v>15683659012</v>
      </c>
      <c r="D39" t="s">
        <v>25</v>
      </c>
    </row>
    <row r="40" spans="1:4" x14ac:dyDescent="0.25">
      <c r="B40" s="2"/>
    </row>
    <row r="41" spans="1:4" x14ac:dyDescent="0.25">
      <c r="A41" t="s">
        <v>1</v>
      </c>
      <c r="B41" s="4">
        <v>0.38</v>
      </c>
    </row>
    <row r="42" spans="1:4" x14ac:dyDescent="0.25">
      <c r="A42" t="s">
        <v>29</v>
      </c>
      <c r="B42" s="5">
        <v>5.0000000000000001E-3</v>
      </c>
    </row>
    <row r="43" spans="1:4" x14ac:dyDescent="0.25">
      <c r="B43" s="2"/>
    </row>
    <row r="44" spans="1:4" x14ac:dyDescent="0.25">
      <c r="A44" t="s">
        <v>5</v>
      </c>
      <c r="B44" s="5">
        <v>0.26500000000000001</v>
      </c>
    </row>
    <row r="45" spans="1:4" x14ac:dyDescent="0.25">
      <c r="B45" s="2"/>
    </row>
    <row r="46" spans="1:4" x14ac:dyDescent="0.25">
      <c r="A46" t="s">
        <v>6</v>
      </c>
      <c r="B46" s="3">
        <f>B39*(B41*B42)</f>
        <v>29798952.1228</v>
      </c>
    </row>
    <row r="47" spans="1:4" x14ac:dyDescent="0.25">
      <c r="B47" s="3"/>
    </row>
    <row r="48" spans="1:4" x14ac:dyDescent="0.25">
      <c r="A48" t="s">
        <v>7</v>
      </c>
      <c r="B48" s="3">
        <f>(B46*B44)</f>
        <v>7896722.3125420008</v>
      </c>
    </row>
    <row r="49" spans="1:7" x14ac:dyDescent="0.25">
      <c r="A49" t="s">
        <v>9</v>
      </c>
      <c r="B49" s="3">
        <f>B48/(1-B44)</f>
        <v>10743839.881009525</v>
      </c>
    </row>
    <row r="51" spans="1:7" x14ac:dyDescent="0.25">
      <c r="A51" s="9" t="s">
        <v>30</v>
      </c>
      <c r="B51" s="10">
        <f>B49+B46</f>
        <v>40542792.003809527</v>
      </c>
      <c r="F51" s="1"/>
    </row>
    <row r="54" spans="1:7" x14ac:dyDescent="0.25">
      <c r="B54" s="8" t="s">
        <v>18</v>
      </c>
    </row>
    <row r="55" spans="1:7" x14ac:dyDescent="0.25">
      <c r="A55" t="s">
        <v>21</v>
      </c>
      <c r="B55" s="3">
        <v>20490000000</v>
      </c>
      <c r="D55" t="s">
        <v>23</v>
      </c>
    </row>
    <row r="56" spans="1:7" x14ac:dyDescent="0.25">
      <c r="A56" t="s">
        <v>0</v>
      </c>
      <c r="B56" s="3">
        <f>B55*(1+0.054)</f>
        <v>21596460000</v>
      </c>
      <c r="D56" t="s">
        <v>24</v>
      </c>
      <c r="G56" s="11"/>
    </row>
    <row r="57" spans="1:7" x14ac:dyDescent="0.25">
      <c r="B57" s="2"/>
    </row>
    <row r="58" spans="1:7" x14ac:dyDescent="0.25">
      <c r="A58" t="s">
        <v>1</v>
      </c>
      <c r="B58" s="4">
        <v>0.45</v>
      </c>
    </row>
    <row r="59" spans="1:7" x14ac:dyDescent="0.25">
      <c r="A59" t="s">
        <v>29</v>
      </c>
      <c r="B59" s="5">
        <v>5.0000000000000001E-3</v>
      </c>
    </row>
    <row r="60" spans="1:7" x14ac:dyDescent="0.25">
      <c r="B60" s="2"/>
      <c r="G60" s="11"/>
    </row>
    <row r="61" spans="1:7" x14ac:dyDescent="0.25">
      <c r="A61" t="s">
        <v>5</v>
      </c>
      <c r="B61" s="5">
        <v>0.26500000000000001</v>
      </c>
    </row>
    <row r="62" spans="1:7" x14ac:dyDescent="0.25">
      <c r="B62" s="2"/>
    </row>
    <row r="63" spans="1:7" x14ac:dyDescent="0.25">
      <c r="A63" t="s">
        <v>6</v>
      </c>
      <c r="B63" s="3">
        <f>B56*(B58*B59)</f>
        <v>48592035.000000007</v>
      </c>
    </row>
    <row r="64" spans="1:7" x14ac:dyDescent="0.25">
      <c r="B64" s="3"/>
    </row>
    <row r="65" spans="1:2" x14ac:dyDescent="0.25">
      <c r="A65" t="s">
        <v>7</v>
      </c>
      <c r="B65" s="3">
        <f>(B63*B61)</f>
        <v>12876889.275000002</v>
      </c>
    </row>
    <row r="66" spans="1:2" x14ac:dyDescent="0.25">
      <c r="A66" t="s">
        <v>9</v>
      </c>
      <c r="B66" s="3">
        <f>B65/(1-B61)</f>
        <v>17519577.244897962</v>
      </c>
    </row>
    <row r="68" spans="1:2" x14ac:dyDescent="0.25">
      <c r="A68" s="9" t="s">
        <v>30</v>
      </c>
      <c r="B68" s="10">
        <f>B66+B63</f>
        <v>66111612.244897969</v>
      </c>
    </row>
    <row r="72" spans="1:2" x14ac:dyDescent="0.25">
      <c r="B7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Impact Summary</vt:lpstr>
      <vt:lpstr>ROE &amp; Cap Structure </vt:lpstr>
      <vt:lpstr>Flotation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Rubenstein</dc:creator>
  <cp:lastModifiedBy>Mark Rubenstein</cp:lastModifiedBy>
  <dcterms:created xsi:type="dcterms:W3CDTF">2024-11-01T23:40:58Z</dcterms:created>
  <dcterms:modified xsi:type="dcterms:W3CDTF">2024-11-07T15:52:37Z</dcterms:modified>
</cp:coreProperties>
</file>