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enbridge-my.sharepoint.com/personal/murdocha_enbridge_com/Documents/Personal Drive/Project Information/Aron Murdoch/Direct Reports/Tracey Browne/NPS 12 St Laurent/2023/LTC/Undertakings/JT1-6/"/>
    </mc:Choice>
  </mc:AlternateContent>
  <xr:revisionPtr revIDLastSave="0" documentId="8_{C72AA464-CB4C-4B2F-ABDC-4EF3BD341790}" xr6:coauthVersionLast="47" xr6:coauthVersionMax="47" xr10:uidLastSave="{00000000-0000-0000-0000-000000000000}"/>
  <bookViews>
    <workbookView xWindow="-120" yWindow="-120" windowWidth="29040" windowHeight="15840" tabRatio="776" firstSheet="1" activeTab="1" xr2:uid="{E10D1517-7723-49F2-B4C6-5B1CA9AC8C9A}"/>
  </bookViews>
  <sheets>
    <sheet name="Scenario A" sheetId="31" r:id="rId1"/>
    <sheet name="Scenario B" sheetId="29" r:id="rId2"/>
    <sheet name="Scenario B.2" sheetId="30" state="hidden" r:id="rId3"/>
  </sheet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2</definedName>
    <definedName name="_AtRisk_SimSetting_MultipleCPUManualCount" hidden="1">2</definedName>
    <definedName name="_AtRisk_SimSetting_MultipleCPUMode" hidden="1">1</definedName>
    <definedName name="_AtRisk_SimSetting_MultipleCPUModeV8" hidden="1">1</definedName>
    <definedName name="_AtRisk_SimSetting_RandomNumberGenerator" hidden="1">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0" hidden="1">'Scenario A'!$A$12:$NH$19</definedName>
    <definedName name="_xlnm._FilterDatabase" localSheetId="1" hidden="1">'Scenario B'!$A$15:$NH$73</definedName>
    <definedName name="_xlnm._FilterDatabase" localSheetId="2" hidden="1">'Scenario B.2'!$A$12:$M$17</definedName>
    <definedName name="Pal_Workbook_GUID" hidden="1">"FKGN5B7C5ICV5Y61J8HILJ1H"</definedName>
    <definedName name="_xlnm.Print_Area" localSheetId="0">'Scenario A'!$A$1:$M$19</definedName>
    <definedName name="_xlnm.Print_Area" localSheetId="1">'Scenario B'!$A$1:$M$73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TRUE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2" i="29" l="1"/>
  <c r="J19" i="31"/>
  <c r="J18" i="31"/>
  <c r="J17" i="31"/>
  <c r="J16" i="31"/>
  <c r="J15" i="31"/>
  <c r="J14" i="31"/>
  <c r="I14" i="31" s="1"/>
  <c r="I16" i="31"/>
  <c r="I15" i="31"/>
  <c r="I13" i="31"/>
  <c r="J13" i="31"/>
  <c r="I18" i="31" l="1"/>
  <c r="I19" i="31"/>
  <c r="I17" i="31"/>
  <c r="G62" i="29" l="1"/>
  <c r="J73" i="29" l="1"/>
  <c r="I73" i="29" s="1"/>
  <c r="J62" i="29"/>
  <c r="M73" i="29" s="1"/>
  <c r="I44" i="29"/>
  <c r="J44" i="29" s="1"/>
  <c r="G42" i="29" l="1"/>
  <c r="G43" i="29" s="1"/>
  <c r="G44" i="29" s="1"/>
  <c r="M44" i="29" s="1"/>
  <c r="I43" i="29"/>
  <c r="J43" i="29" s="1"/>
  <c r="I42" i="29"/>
  <c r="J42" i="29" s="1"/>
  <c r="G53" i="29"/>
  <c r="J53" i="29"/>
  <c r="G35" i="29"/>
  <c r="I35" i="29"/>
  <c r="J35" i="29" s="1"/>
  <c r="I34" i="29"/>
  <c r="J34" i="29" s="1"/>
  <c r="M34" i="29" s="1"/>
  <c r="I33" i="29"/>
  <c r="J33" i="29" s="1"/>
  <c r="M33" i="29" s="1"/>
  <c r="J52" i="29"/>
  <c r="M52" i="29" s="1"/>
  <c r="J51" i="29"/>
  <c r="M51" i="29" s="1"/>
  <c r="J60" i="29"/>
  <c r="J61" i="29"/>
  <c r="M61" i="29" l="1"/>
  <c r="M72" i="29" s="1"/>
  <c r="J72" i="29"/>
  <c r="I72" i="29" s="1"/>
  <c r="M60" i="29"/>
  <c r="M71" i="29" s="1"/>
  <c r="J71" i="29"/>
  <c r="I71" i="29" s="1"/>
  <c r="M43" i="29"/>
  <c r="M35" i="29"/>
  <c r="M42" i="29"/>
  <c r="M53" i="29"/>
  <c r="I37" i="29"/>
  <c r="J37" i="29" s="1"/>
  <c r="M37" i="29" s="1"/>
  <c r="I38" i="29"/>
  <c r="J38" i="29" s="1"/>
  <c r="M38" i="29" s="1"/>
  <c r="I39" i="29"/>
  <c r="J39" i="29" s="1"/>
  <c r="M39" i="29" s="1"/>
  <c r="I40" i="29"/>
  <c r="J40" i="29" s="1"/>
  <c r="M40" i="29" s="1"/>
  <c r="I41" i="29"/>
  <c r="J41" i="29" s="1"/>
  <c r="M41" i="29" s="1"/>
  <c r="I36" i="29"/>
  <c r="J36" i="29" s="1"/>
  <c r="M36" i="29" s="1"/>
  <c r="I20" i="29"/>
  <c r="J20" i="29" s="1"/>
  <c r="M20" i="29" s="1"/>
  <c r="J19" i="29"/>
  <c r="M19" i="29" s="1"/>
  <c r="J21" i="30"/>
  <c r="J20" i="30"/>
  <c r="J19" i="30"/>
  <c r="J18" i="30"/>
  <c r="I32" i="29"/>
  <c r="J32" i="29" s="1"/>
  <c r="M32" i="29" s="1"/>
  <c r="J50" i="29"/>
  <c r="M50" i="29" s="1"/>
  <c r="J23" i="29"/>
  <c r="M23" i="29" s="1"/>
  <c r="J17" i="29"/>
  <c r="J22" i="29"/>
  <c r="M22" i="29" s="1"/>
  <c r="J21" i="29"/>
  <c r="M21" i="29" s="1"/>
  <c r="J45" i="29"/>
  <c r="M45" i="29" s="1"/>
  <c r="J46" i="29"/>
  <c r="M46" i="29" s="1"/>
  <c r="J47" i="29"/>
  <c r="M47" i="29" s="1"/>
  <c r="J48" i="29"/>
  <c r="M48" i="29" s="1"/>
  <c r="J49" i="29"/>
  <c r="M49" i="29" s="1"/>
  <c r="J57" i="29"/>
  <c r="J18" i="29"/>
  <c r="M18" i="29" s="1"/>
  <c r="I27" i="29"/>
  <c r="J27" i="29" s="1"/>
  <c r="M27" i="29" s="1"/>
  <c r="I28" i="29"/>
  <c r="J28" i="29" s="1"/>
  <c r="M28" i="29" s="1"/>
  <c r="I29" i="29"/>
  <c r="J29" i="29" s="1"/>
  <c r="M29" i="29" s="1"/>
  <c r="I30" i="29"/>
  <c r="J30" i="29" s="1"/>
  <c r="M30" i="29" s="1"/>
  <c r="I31" i="29"/>
  <c r="J31" i="29" s="1"/>
  <c r="M31" i="29" s="1"/>
  <c r="I26" i="29"/>
  <c r="J26" i="29" s="1"/>
  <c r="M26" i="29" s="1"/>
  <c r="J25" i="29"/>
  <c r="M25" i="29" s="1"/>
  <c r="J59" i="29"/>
  <c r="J56" i="29"/>
  <c r="M57" i="29" l="1"/>
  <c r="M68" i="29" s="1"/>
  <c r="J68" i="29"/>
  <c r="I68" i="29" s="1"/>
  <c r="M17" i="29"/>
  <c r="M56" i="29"/>
  <c r="M67" i="29" s="1"/>
  <c r="J67" i="29"/>
  <c r="I67" i="29" s="1"/>
  <c r="M59" i="29"/>
  <c r="M70" i="29" s="1"/>
  <c r="J70" i="29"/>
  <c r="I70" i="29" s="1"/>
  <c r="J54" i="29"/>
  <c r="J16" i="29"/>
  <c r="J58" i="29"/>
  <c r="J24" i="29"/>
  <c r="M24" i="29" s="1"/>
  <c r="J55" i="29"/>
  <c r="J64" i="29" l="1"/>
  <c r="I64" i="29" s="1"/>
  <c r="M54" i="29"/>
  <c r="M65" i="29" s="1"/>
  <c r="J65" i="29"/>
  <c r="I65" i="29" s="1"/>
  <c r="M55" i="29"/>
  <c r="M66" i="29" s="1"/>
  <c r="J66" i="29"/>
  <c r="I66" i="29" s="1"/>
  <c r="M64" i="29"/>
  <c r="M58" i="29"/>
  <c r="M69" i="29" s="1"/>
  <c r="J69" i="29"/>
  <c r="I69" i="29" s="1"/>
  <c r="M16" i="29"/>
  <c r="M63" i="29" s="1"/>
  <c r="J63" i="29"/>
  <c r="I63" i="29" s="1"/>
</calcChain>
</file>

<file path=xl/sharedStrings.xml><?xml version="1.0" encoding="utf-8"?>
<sst xmlns="http://schemas.openxmlformats.org/spreadsheetml/2006/main" count="440" uniqueCount="80">
  <si>
    <t>Scenario Details</t>
  </si>
  <si>
    <t>Project Alternative:  Scenario A - Full Replacement</t>
  </si>
  <si>
    <r>
      <t xml:space="preserve">The scenaio cost analysis covers up to 61 years asset life starting from In-Service date: </t>
    </r>
    <r>
      <rPr>
        <b/>
        <sz val="11"/>
        <color theme="1"/>
        <rFont val="Calibri"/>
        <family val="2"/>
        <scheme val="minor"/>
      </rPr>
      <t>2026</t>
    </r>
  </si>
  <si>
    <t>Costs are based on 2024 dollars</t>
  </si>
  <si>
    <t>NPV as of:</t>
  </si>
  <si>
    <t>This scenario involves the replacement of the SLP pipeline with:
- Approximately 10.0 km of Nominal Pipe Size (NPS) 12 Extra High Pressure (XHP) Steel Coated (ST) natural gas pipeline;
- Approximately 2.5 km of NPS 16 XHP ST natural gas pipeline;
- Approximately 0.3 km of NPS 6 XHP ST natural gas pipeline;
- Approximately 0.9 km of NPS 6 Intermediate Pressure (IP) Polyethylene (PE) natural gas pipeline; and
- Approximately 3.9 km of NPS 4 IP PE natural gas pipeline.</t>
  </si>
  <si>
    <t>- Discount rate is based on 2024 Enbridge WACC</t>
  </si>
  <si>
    <t>- Cost escalation of 4% based on estimated provided by construction contractor</t>
  </si>
  <si>
    <t>Cost/Benefit Category</t>
  </si>
  <si>
    <t>Cost/Benefit Type</t>
  </si>
  <si>
    <t>Scenario Tasks</t>
  </si>
  <si>
    <t>Assumptions</t>
  </si>
  <si>
    <t>Type</t>
  </si>
  <si>
    <t>Activity</t>
  </si>
  <si>
    <t>Year</t>
  </si>
  <si>
    <t>Quantity</t>
  </si>
  <si>
    <t>Unit Cost
(2024 $)</t>
  </si>
  <si>
    <t>Cost 
(2024 $)</t>
  </si>
  <si>
    <t>Discount Rate (%)</t>
  </si>
  <si>
    <t>Cost Escalation (%)</t>
  </si>
  <si>
    <t>Cost in year spent ($)</t>
  </si>
  <si>
    <t>Cost</t>
  </si>
  <si>
    <t>Upfront</t>
  </si>
  <si>
    <t>Full Replacement of the SLP</t>
  </si>
  <si>
    <t>Class 3 estimate prepared by Capital Development</t>
  </si>
  <si>
    <t>Capital</t>
  </si>
  <si>
    <t>Replacement Work</t>
  </si>
  <si>
    <t>Interest During Construction</t>
  </si>
  <si>
    <t>Based on estimates prepared by Capital Development</t>
  </si>
  <si>
    <t>IDC</t>
  </si>
  <si>
    <t>N/A</t>
  </si>
  <si>
    <t>Project Alternative:  Scenario B - Extensive Inspection and Repair</t>
  </si>
  <si>
    <t>- Expand Crawler Inspection and Integrity Dig activities to mitigate current corrosion risks on the St. Laurent pipeline (where required)
- This includes 13 additional ILI runs through 12 additional launch points
- 4.6km needs short-term inspection, 7.8km will be inspected indefinitely.</t>
  </si>
  <si>
    <t>Add additional TPD barriers to mitigate TPD risk including:
- Adding SLP to Vital Mains program providing on-site supervision during third-party excavtion activities
- Increasing response time notifications to same day
- Locating pipeline using mechanical methods
- Installation of High Visibility Slabbing, where feasible</t>
  </si>
  <si>
    <t>- 1.9KM targeted replacements to address imeedate Third-Party damage risks</t>
  </si>
  <si>
    <t>- Accelerated ROW Patrol required until slabbing and replacements completed</t>
  </si>
  <si>
    <t>- General inflation rate of 3% applied broadly for most cost categories. Integrity Dig costs increased at an escalation rate of 6% based on cost trending over the previous 10 years</t>
  </si>
  <si>
    <t>Inspect and mitigate remaining critical features identified from the inspected sections of the pipeline (40% of pipeline)</t>
  </si>
  <si>
    <t>Integrity has identified the need for 19 additional digs based on the proposed EDIMP dig criteria and probability of sizing of the inspection tool. Based on the 2 year timeframe for Phase 2 digs in the proposed Dig Criteria, these dig would be required to be completed by 2025.  Dig costs is determined based the weighted average of the 19 known dig sites and their specified accessibility through Engineering Construction review.</t>
  </si>
  <si>
    <t>Integrity Digs + Mitigation</t>
  </si>
  <si>
    <t>Replacement @ NPS16 LRT crossing with identified corrosion issue</t>
  </si>
  <si>
    <t>Estimate based on a cut out and replacements of the above grade NPS16 pipe with Corrosion that requires repair. Based on the Engineer Assessment of corrosion on this segment, mitigation must occur by 2027. Estimate provided by Capital Development (CD).</t>
  </si>
  <si>
    <t>Replacement</t>
  </si>
  <si>
    <t>Inspect the uninspected portion of the pipeline with crawler inspection tool (only where required - 4.56km)</t>
  </si>
  <si>
    <t>Integrity has created an inspection plan for remaining segments of SLP that will require inspection.  CD has assessed the feasibility and costs of launch points in the plan.</t>
  </si>
  <si>
    <t>O&amp;M</t>
  </si>
  <si>
    <t>Launch Site Retrofits</t>
  </si>
  <si>
    <t>Crawler Tool Inspection</t>
  </si>
  <si>
    <t>ROW Patrol for pipeline and pubic awareness campaign as temporary TPD mitigation measures</t>
  </si>
  <si>
    <t>Assume daily patrol to reduce TPD risks (as per CFER TPD Fault tree model).  Cost is based on 2023 actual costs related to daily patrols and additional targeted public awareness campaign.</t>
  </si>
  <si>
    <t>Row Patrol + Public Awareness</t>
  </si>
  <si>
    <t>Implement additional TPD barriers to reduce the TPD threat.  Install protective slabbing with high visibility marker tape on portions of the pipeline that are deemed feasible.</t>
  </si>
  <si>
    <t>Based on slabbing feasibility assessment and updated costs estimates provided by CD in Feb 2024</t>
  </si>
  <si>
    <t>Install High Visibility Slabs</t>
  </si>
  <si>
    <t>Inspect and mitigate critical features identified from the uninspected portion of the pipeline</t>
  </si>
  <si>
    <t>Assumed that the uninspected portion of the pipelines will require similar post-inspection mitigation as the inspected portion.  Inspected and uninspected sections have same proportions, hence, 1:1 multiplier used for uninspected sections.</t>
  </si>
  <si>
    <t>Additional Replacements required to meet risk criteria</t>
  </si>
  <si>
    <t>2 segments have been identified for replacement to meet Risk targets.  These segments were strategically selected to also remove any uninspected segments of vintage pipe.(1828m)</t>
  </si>
  <si>
    <t>Uncertainty where continued inspections can result in stuck ILI tools</t>
  </si>
  <si>
    <t>Assume 1 in 500 chance of the tool getting stuck and requiring a cut-out to retrieve.</t>
  </si>
  <si>
    <t>Stuck Crawler Tool Retrieval</t>
  </si>
  <si>
    <t>On-going</t>
  </si>
  <si>
    <t>Continued inspection of the St. Laurent pipeline system to maintain a risk/reliability that meets our thresholds</t>
  </si>
  <si>
    <t>Assume a 7-year re-inspection interval (consistent with company standards) with additional construction costs to excavate and prepare launch locations.</t>
  </si>
  <si>
    <t>Launch Site Preparation</t>
  </si>
  <si>
    <t>Inspect and mitigate identified critical features identified from the ILI tool inspections</t>
  </si>
  <si>
    <t>Digs in second inspection campaign estimated based on growth of ILI data.  Digs in 3rd and later ILI campaign estimated based on TIMP ILI campaign trending.</t>
  </si>
  <si>
    <t>Assume 8 months of construction per year (construction period) and all work will be completed in the given year.  5.48% interest rate on debt.</t>
  </si>
  <si>
    <t>NOT UPDATED</t>
  </si>
  <si>
    <t>Project Alternative:  Scenario B.2 - Full Replacement</t>
  </si>
  <si>
    <t>The analysis covers 40 year asset life starting from In-Service date: 2026</t>
  </si>
  <si>
    <t>- Replace / Relocation of St. Laurent, Tremblay Lateral, and Sandridge Lateral XHP ST</t>
  </si>
  <si>
    <t>- General inflation rate of 3% applied broadly for more cost categories. Integrity Dig costs increases based on 10 year historical spend increase assessment</t>
  </si>
  <si>
    <t>- No periodic corrosion or leak survey carried out</t>
  </si>
  <si>
    <t>- Assume a 15% contingency of cost estimates in all scenarios and +60%/-30% uncertainty of constuction related costs</t>
  </si>
  <si>
    <t>- TPD threat will be temporarily mitigated as Enbridge will have a large presence in the area during construction and would know if any other construction activies are started.</t>
  </si>
  <si>
    <t>Unit Cost 
(2023 $)</t>
  </si>
  <si>
    <t>Cost
(2023 $)</t>
  </si>
  <si>
    <t>Replace all portions of St. Laurent Pipeline 
(St. Laurent, Tremblay, Sandridge)</t>
  </si>
  <si>
    <t>The steel scope is consistent with what was filed to the OEB as part of the original LTC application, but the PE components were removed north of Brittany, and removed on Coventry/Ogilvie between Belfast to Cummings.  This option maximized the number of services that could be relayed to the new steel main, but would need to be confirmed as a feasible solution by DOE.  Replacement estimates refreshed in November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</si>
</sst>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00000"/>
    <numFmt numFmtId="166" formatCode="#,##0_);\(#,##0\);&quot;-  &quot;;&quot; &quot;@"/>
    <numFmt numFmtId="167" formatCode="_(* #,##0_);_(* \(#,##0\);_(* &quot;-&quot;??_);_(@_)"/>
  </numFmts>
  <fonts count="9">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b/>
      <sz val="14"/>
      <color theme="1"/>
      <name val="Calibri"/>
      <family val="2"/>
      <scheme val="minor"/>
    </font>
    <font>
      <sz val="10"/>
      <name val="Arial"/>
      <family val="2"/>
    </font>
    <font>
      <sz val="12"/>
      <name val="Arial MT"/>
    </font>
    <font>
      <b/>
      <sz val="20"/>
      <color theme="1"/>
      <name val="Calibri"/>
      <family val="2"/>
      <scheme val="minor"/>
    </font>
    <font>
      <b/>
      <sz val="22"/>
      <color rgb="FFFF0000"/>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9" fontId="3" fillId="0" borderId="0" applyFont="0" applyFill="0" applyBorder="0" applyAlignment="0" applyProtection="0"/>
    <xf numFmtId="44" fontId="3" fillId="0" borderId="0" applyFont="0" applyFill="0" applyBorder="0" applyAlignment="0" applyProtection="0"/>
    <xf numFmtId="165" fontId="5" fillId="0" borderId="0">
      <alignment horizontal="left" wrapText="1"/>
    </xf>
    <xf numFmtId="166" fontId="6" fillId="0" borderId="0" applyFont="0" applyFill="0" applyBorder="0" applyProtection="0"/>
    <xf numFmtId="43" fontId="3" fillId="0" borderId="0" applyFont="0" applyFill="0" applyBorder="0" applyAlignment="0" applyProtection="0"/>
    <xf numFmtId="43" fontId="3" fillId="0" borderId="0" applyFont="0" applyFill="0" applyBorder="0" applyAlignment="0" applyProtection="0"/>
  </cellStyleXfs>
  <cellXfs count="61">
    <xf numFmtId="0" fontId="0" fillId="0" borderId="0" xfId="0"/>
    <xf numFmtId="0" fontId="1"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vertical="center"/>
    </xf>
    <xf numFmtId="0" fontId="0" fillId="0" borderId="1" xfId="0" applyBorder="1" applyAlignment="1">
      <alignment horizontal="center" vertical="center" wrapText="1"/>
    </xf>
    <xf numFmtId="0" fontId="0" fillId="0" borderId="3" xfId="0" applyBorder="1" applyAlignment="1">
      <alignment horizontal="center" vertical="center"/>
    </xf>
    <xf numFmtId="164" fontId="0" fillId="0" borderId="1" xfId="2" applyNumberFormat="1" applyFont="1" applyBorder="1" applyAlignment="1">
      <alignmen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4" fillId="0" borderId="0" xfId="0" applyFont="1"/>
    <xf numFmtId="0" fontId="1" fillId="2" borderId="2" xfId="0" applyFont="1" applyFill="1" applyBorder="1" applyAlignment="1">
      <alignment horizontal="center" vertical="center" wrapText="1"/>
    </xf>
    <xf numFmtId="10" fontId="0" fillId="0" borderId="1" xfId="1" applyNumberFormat="1" applyFont="1" applyBorder="1" applyAlignment="1">
      <alignment horizontal="center" vertical="center" wrapText="1"/>
    </xf>
    <xf numFmtId="0" fontId="1" fillId="2" borderId="1" xfId="0" applyFont="1" applyFill="1" applyBorder="1" applyAlignment="1">
      <alignment horizontal="center" vertical="center" wrapText="1"/>
    </xf>
    <xf numFmtId="164" fontId="0" fillId="0" borderId="1" xfId="2" applyNumberFormat="1" applyFont="1" applyFill="1" applyBorder="1" applyAlignment="1">
      <alignment vertical="center" wrapText="1"/>
    </xf>
    <xf numFmtId="164" fontId="0" fillId="0" borderId="0" xfId="0" applyNumberFormat="1"/>
    <xf numFmtId="0" fontId="0" fillId="0" borderId="1" xfId="0" quotePrefix="1" applyBorder="1" applyAlignment="1">
      <alignment vertical="center" wrapText="1"/>
    </xf>
    <xf numFmtId="44" fontId="0" fillId="0" borderId="0" xfId="2" applyFont="1" applyFill="1" applyBorder="1"/>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center" vertical="center"/>
    </xf>
    <xf numFmtId="10" fontId="0" fillId="0" borderId="0" xfId="0" applyNumberFormat="1" applyAlignment="1">
      <alignment horizontal="center" vertical="center"/>
    </xf>
    <xf numFmtId="0" fontId="0" fillId="0" borderId="0" xfId="0" applyAlignment="1">
      <alignment horizontal="center"/>
    </xf>
    <xf numFmtId="0" fontId="0" fillId="0" borderId="0" xfId="0" applyAlignment="1">
      <alignment horizontal="center" vertical="center"/>
    </xf>
    <xf numFmtId="164" fontId="0" fillId="0" borderId="0" xfId="2" applyNumberFormat="1" applyFont="1" applyFill="1" applyBorder="1" applyAlignment="1">
      <alignment horizontal="center"/>
    </xf>
    <xf numFmtId="164" fontId="0" fillId="0" borderId="0" xfId="0" applyNumberFormat="1" applyAlignment="1">
      <alignment vertical="center"/>
    </xf>
    <xf numFmtId="0" fontId="7" fillId="0" borderId="0" xfId="0" applyFont="1"/>
    <xf numFmtId="44" fontId="0" fillId="0" borderId="0" xfId="0" applyNumberFormat="1"/>
    <xf numFmtId="0" fontId="1" fillId="0" borderId="1" xfId="0" applyFont="1" applyBorder="1" applyAlignment="1">
      <alignment horizontal="center" vertical="center" wrapText="1"/>
    </xf>
    <xf numFmtId="0" fontId="1" fillId="3" borderId="3" xfId="0" applyFont="1" applyFill="1" applyBorder="1" applyAlignment="1">
      <alignment horizontal="center" vertical="center" wrapText="1"/>
    </xf>
    <xf numFmtId="0" fontId="0" fillId="0" borderId="1" xfId="0" applyBorder="1" applyAlignment="1">
      <alignment vertical="center" wrapText="1"/>
    </xf>
    <xf numFmtId="0" fontId="1" fillId="0" borderId="3" xfId="0" applyFont="1" applyBorder="1" applyAlignment="1">
      <alignment horizontal="center" vertical="center" wrapText="1"/>
    </xf>
    <xf numFmtId="0" fontId="0" fillId="0" borderId="3" xfId="0" applyBorder="1" applyAlignment="1">
      <alignment horizontal="center" vertical="center" wrapText="1"/>
    </xf>
    <xf numFmtId="10" fontId="0" fillId="0" borderId="1" xfId="1" applyNumberFormat="1" applyFont="1" applyFill="1" applyBorder="1" applyAlignment="1">
      <alignment horizontal="center" vertical="center" wrapText="1"/>
    </xf>
    <xf numFmtId="0" fontId="8" fillId="0" borderId="0" xfId="0" applyFont="1"/>
    <xf numFmtId="0" fontId="1" fillId="0" borderId="0" xfId="0" applyFont="1"/>
    <xf numFmtId="0" fontId="1" fillId="0" borderId="0" xfId="0" applyFont="1" applyAlignment="1">
      <alignment horizontal="right"/>
    </xf>
    <xf numFmtId="0" fontId="1" fillId="0" borderId="0" xfId="0" applyFont="1" applyAlignment="1">
      <alignment horizontal="left"/>
    </xf>
    <xf numFmtId="167" fontId="0" fillId="0" borderId="0" xfId="5" applyNumberFormat="1" applyFont="1" applyAlignment="1"/>
    <xf numFmtId="0" fontId="0" fillId="0" borderId="1" xfId="0" quotePrefix="1" applyBorder="1" applyAlignment="1">
      <alignment vertical="center" wrapText="1"/>
    </xf>
    <xf numFmtId="0" fontId="1" fillId="2" borderId="1" xfId="0" applyFont="1" applyFill="1" applyBorder="1" applyAlignment="1">
      <alignment horizontal="center" wrapText="1"/>
    </xf>
    <xf numFmtId="0" fontId="1" fillId="0" borderId="0" xfId="0" applyFont="1" applyAlignment="1">
      <alignment horizontal="center" vertical="center" wrapText="1"/>
    </xf>
    <xf numFmtId="0" fontId="0" fillId="0" borderId="1" xfId="0" quotePrefix="1" applyBorder="1" applyAlignment="1">
      <alignment vertical="top"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vertical="center" wrapText="1"/>
    </xf>
    <xf numFmtId="0" fontId="0" fillId="0" borderId="3" xfId="0" quotePrefix="1" applyBorder="1" applyAlignment="1">
      <alignment horizontal="center" vertical="center" wrapText="1"/>
    </xf>
    <xf numFmtId="0" fontId="0" fillId="0" borderId="5" xfId="0" quotePrefix="1" applyBorder="1" applyAlignment="1">
      <alignment horizontal="center" vertical="center" wrapText="1"/>
    </xf>
    <xf numFmtId="0" fontId="0" fillId="0" borderId="4" xfId="0" quotePrefix="1" applyBorder="1" applyAlignment="1">
      <alignment horizontal="center" vertical="center" wrapText="1"/>
    </xf>
    <xf numFmtId="0" fontId="0" fillId="0" borderId="2" xfId="0" quotePrefix="1" applyBorder="1" applyAlignment="1">
      <alignment vertical="center"/>
    </xf>
    <xf numFmtId="0" fontId="0" fillId="0" borderId="6" xfId="0" quotePrefix="1" applyBorder="1" applyAlignment="1">
      <alignment vertical="center"/>
    </xf>
    <xf numFmtId="0" fontId="0" fillId="0" borderId="7" xfId="0" quotePrefix="1" applyBorder="1" applyAlignment="1">
      <alignment vertical="center"/>
    </xf>
    <xf numFmtId="0" fontId="0" fillId="0" borderId="2" xfId="0" quotePrefix="1" applyBorder="1" applyAlignment="1">
      <alignment vertical="center" wrapText="1"/>
    </xf>
    <xf numFmtId="0" fontId="0" fillId="0" borderId="6" xfId="0" quotePrefix="1" applyBorder="1" applyAlignment="1">
      <alignment vertical="center" wrapText="1"/>
    </xf>
    <xf numFmtId="0" fontId="0" fillId="0" borderId="7" xfId="0" quotePrefix="1" applyBorder="1" applyAlignment="1">
      <alignment vertical="center" wrapText="1"/>
    </xf>
    <xf numFmtId="0" fontId="0" fillId="0" borderId="1" xfId="0" quotePrefix="1" applyBorder="1" applyAlignment="1">
      <alignment wrapText="1"/>
    </xf>
    <xf numFmtId="0" fontId="0" fillId="0" borderId="1" xfId="0" quotePrefix="1" applyBorder="1" applyAlignment="1">
      <alignment horizontal="left"/>
    </xf>
    <xf numFmtId="0" fontId="0" fillId="0" borderId="1" xfId="0" applyBorder="1" applyAlignment="1">
      <alignment horizontal="left" vertical="center" wrapText="1"/>
    </xf>
  </cellXfs>
  <cellStyles count="7">
    <cellStyle name="Comma" xfId="5" builtinId="3"/>
    <cellStyle name="Comma 39" xfId="6" xr:uid="{B409FC7F-D620-48C2-8098-0EDC01F6EE03}"/>
    <cellStyle name="Currency" xfId="2" builtinId="4"/>
    <cellStyle name="Normal" xfId="0" builtinId="0"/>
    <cellStyle name="Normal 2" xfId="3" xr:uid="{BEFEB9CC-E91D-4546-9D3A-C1E3FBEBA2AA}"/>
    <cellStyle name="Normal 3 185" xfId="4" xr:uid="{ED0E9C4D-47B4-4A86-AB92-51E6C7E13DFE}"/>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8F85C-B9F3-490C-B361-06BD50374ECE}">
  <sheetPr>
    <pageSetUpPr fitToPage="1"/>
  </sheetPr>
  <dimension ref="A1:M35"/>
  <sheetViews>
    <sheetView topLeftCell="A9" zoomScale="69" zoomScaleNormal="80" workbookViewId="0">
      <selection activeCell="J13" sqref="J13:J19"/>
    </sheetView>
  </sheetViews>
  <sheetFormatPr defaultRowHeight="14.5"/>
  <cols>
    <col min="1" max="1" width="24.81640625" customWidth="1"/>
    <col min="2" max="2" width="24.54296875" customWidth="1"/>
    <col min="3" max="3" width="66.81640625" customWidth="1"/>
    <col min="4" max="4" width="67" customWidth="1"/>
    <col min="5" max="5" width="19" customWidth="1"/>
    <col min="6" max="6" width="34.7265625" customWidth="1"/>
    <col min="7" max="9" width="18.26953125" customWidth="1"/>
    <col min="10" max="10" width="16.54296875" customWidth="1"/>
    <col min="11" max="12" width="17.453125" customWidth="1"/>
    <col min="13" max="13" width="37.453125" customWidth="1"/>
    <col min="14" max="14" width="11.1796875" customWidth="1"/>
  </cols>
  <sheetData>
    <row r="1" spans="1:13" ht="26">
      <c r="A1" s="26" t="s">
        <v>0</v>
      </c>
    </row>
    <row r="2" spans="1:13" ht="18.5">
      <c r="A2" s="9" t="s">
        <v>1</v>
      </c>
      <c r="M2" s="22"/>
    </row>
    <row r="3" spans="1:13">
      <c r="A3" t="s">
        <v>2</v>
      </c>
      <c r="M3" s="23"/>
    </row>
    <row r="4" spans="1:13">
      <c r="A4" s="35" t="s">
        <v>3</v>
      </c>
      <c r="M4" s="23"/>
    </row>
    <row r="5" spans="1:13">
      <c r="A5" s="36" t="s">
        <v>4</v>
      </c>
      <c r="B5" s="37">
        <v>2024</v>
      </c>
      <c r="M5" s="23"/>
    </row>
    <row r="6" spans="1:13">
      <c r="M6" s="24"/>
    </row>
    <row r="7" spans="1:13">
      <c r="A7" s="40" t="s">
        <v>0</v>
      </c>
      <c r="B7" s="40"/>
      <c r="C7" s="40"/>
      <c r="D7" s="40"/>
      <c r="E7" s="41"/>
      <c r="F7" s="41"/>
      <c r="G7" s="41"/>
      <c r="H7" s="41"/>
      <c r="L7" s="24"/>
      <c r="M7" s="25"/>
    </row>
    <row r="8" spans="1:13" ht="97.5" customHeight="1">
      <c r="A8" s="42" t="s">
        <v>5</v>
      </c>
      <c r="B8" s="42"/>
      <c r="C8" s="42"/>
      <c r="D8" s="42"/>
      <c r="E8" s="43"/>
      <c r="F8" s="43"/>
      <c r="G8" s="43"/>
      <c r="H8" s="43"/>
      <c r="L8" s="24"/>
      <c r="M8" s="25"/>
    </row>
    <row r="9" spans="1:13" ht="24.75" customHeight="1">
      <c r="A9" s="39" t="s">
        <v>6</v>
      </c>
      <c r="B9" s="39"/>
      <c r="C9" s="39"/>
      <c r="D9" s="39"/>
      <c r="E9" s="17"/>
      <c r="F9" s="18"/>
      <c r="G9" s="19"/>
      <c r="H9" s="19"/>
      <c r="L9" s="24"/>
      <c r="M9" s="25"/>
    </row>
    <row r="10" spans="1:13" ht="31.5" customHeight="1">
      <c r="A10" s="39" t="s">
        <v>7</v>
      </c>
      <c r="B10" s="39"/>
      <c r="C10" s="39"/>
      <c r="D10" s="39"/>
      <c r="L10" s="24"/>
      <c r="M10" s="25"/>
    </row>
    <row r="11" spans="1:13" ht="15" customHeight="1">
      <c r="M11" s="24"/>
    </row>
    <row r="12" spans="1:13" ht="51.75" customHeight="1">
      <c r="A12" s="12" t="s">
        <v>8</v>
      </c>
      <c r="B12" s="12" t="s">
        <v>9</v>
      </c>
      <c r="C12" s="7" t="s">
        <v>10</v>
      </c>
      <c r="D12" s="8" t="s">
        <v>11</v>
      </c>
      <c r="E12" s="7" t="s">
        <v>12</v>
      </c>
      <c r="F12" s="7" t="s">
        <v>13</v>
      </c>
      <c r="G12" s="7" t="s">
        <v>14</v>
      </c>
      <c r="H12" s="7" t="s">
        <v>15</v>
      </c>
      <c r="I12" s="12" t="s">
        <v>16</v>
      </c>
      <c r="J12" s="12" t="s">
        <v>17</v>
      </c>
      <c r="K12" s="10" t="s">
        <v>18</v>
      </c>
      <c r="L12" s="12" t="s">
        <v>19</v>
      </c>
      <c r="M12" s="12" t="s">
        <v>20</v>
      </c>
    </row>
    <row r="13" spans="1:13" ht="46.5" customHeight="1">
      <c r="A13" s="2" t="s">
        <v>21</v>
      </c>
      <c r="B13" s="2" t="s">
        <v>22</v>
      </c>
      <c r="C13" s="45" t="s">
        <v>23</v>
      </c>
      <c r="D13" s="45" t="s">
        <v>24</v>
      </c>
      <c r="E13" s="31" t="s">
        <v>25</v>
      </c>
      <c r="F13" s="4" t="s">
        <v>26</v>
      </c>
      <c r="G13" s="31">
        <v>2024</v>
      </c>
      <c r="H13" s="32">
        <v>1</v>
      </c>
      <c r="I13" s="13">
        <f t="shared" ref="I13:I15" si="0">-J13</f>
        <v>2515000</v>
      </c>
      <c r="J13" s="13">
        <f>M13</f>
        <v>-2515000</v>
      </c>
      <c r="K13" s="33">
        <v>5.7500000000000002E-2</v>
      </c>
      <c r="L13" s="33">
        <v>0.04</v>
      </c>
      <c r="M13" s="13">
        <v>-2515000</v>
      </c>
    </row>
    <row r="14" spans="1:13" ht="46.5" customHeight="1">
      <c r="A14" s="2" t="s">
        <v>21</v>
      </c>
      <c r="B14" s="2" t="s">
        <v>22</v>
      </c>
      <c r="C14" s="46"/>
      <c r="D14" s="46"/>
      <c r="E14" s="31" t="s">
        <v>25</v>
      </c>
      <c r="F14" s="4" t="s">
        <v>26</v>
      </c>
      <c r="G14" s="31">
        <v>2025</v>
      </c>
      <c r="H14" s="32">
        <v>1</v>
      </c>
      <c r="I14" s="13">
        <f t="shared" si="0"/>
        <v>68699826.15384616</v>
      </c>
      <c r="J14" s="13">
        <f>M14/(1.04^1)</f>
        <v>-68699826.15384616</v>
      </c>
      <c r="K14" s="33">
        <v>5.7500000000000002E-2</v>
      </c>
      <c r="L14" s="33">
        <v>0.04</v>
      </c>
      <c r="M14" s="13">
        <v>-71447819.200000003</v>
      </c>
    </row>
    <row r="15" spans="1:13" ht="46.5" customHeight="1">
      <c r="A15" s="2" t="s">
        <v>21</v>
      </c>
      <c r="B15" s="2" t="s">
        <v>22</v>
      </c>
      <c r="C15" s="46"/>
      <c r="D15" s="46"/>
      <c r="E15" s="31" t="s">
        <v>25</v>
      </c>
      <c r="F15" s="4" t="s">
        <v>26</v>
      </c>
      <c r="G15" s="31">
        <v>2026</v>
      </c>
      <c r="H15" s="4">
        <v>1</v>
      </c>
      <c r="I15" s="13">
        <f t="shared" si="0"/>
        <v>67110044.171227798</v>
      </c>
      <c r="J15" s="13">
        <f>M15/(1.04^2)</f>
        <v>-67110044.171227798</v>
      </c>
      <c r="K15" s="33">
        <v>5.7500000000000002E-2</v>
      </c>
      <c r="L15" s="33">
        <v>0.04</v>
      </c>
      <c r="M15" s="13">
        <v>-72586223.775600001</v>
      </c>
    </row>
    <row r="16" spans="1:13" ht="46.5" customHeight="1">
      <c r="A16" s="2" t="s">
        <v>21</v>
      </c>
      <c r="B16" s="2" t="s">
        <v>22</v>
      </c>
      <c r="C16" s="46"/>
      <c r="D16" s="46"/>
      <c r="E16" s="31" t="s">
        <v>25</v>
      </c>
      <c r="F16" s="4" t="s">
        <v>26</v>
      </c>
      <c r="G16" s="31">
        <v>2027</v>
      </c>
      <c r="H16" s="4">
        <v>1</v>
      </c>
      <c r="I16" s="13">
        <f>-J16</f>
        <v>12996943</v>
      </c>
      <c r="J16" s="13">
        <f>M16/(1.04^3)</f>
        <v>-12996943</v>
      </c>
      <c r="K16" s="33">
        <v>5.7500000000000002E-2</v>
      </c>
      <c r="L16" s="33">
        <v>0.04</v>
      </c>
      <c r="M16" s="13">
        <v>-14619793.290752001</v>
      </c>
    </row>
    <row r="17" spans="1:13" ht="46.5" customHeight="1">
      <c r="A17" s="2" t="s">
        <v>21</v>
      </c>
      <c r="B17" s="2" t="s">
        <v>22</v>
      </c>
      <c r="C17" s="44" t="s">
        <v>27</v>
      </c>
      <c r="D17" s="44" t="s">
        <v>28</v>
      </c>
      <c r="E17" s="1" t="s">
        <v>25</v>
      </c>
      <c r="F17" s="2" t="s">
        <v>29</v>
      </c>
      <c r="G17" s="31">
        <v>2024</v>
      </c>
      <c r="H17" s="33" t="s">
        <v>30</v>
      </c>
      <c r="I17" s="3">
        <f>-J17</f>
        <v>483724.57675333333</v>
      </c>
      <c r="J17" s="13">
        <f>M17</f>
        <v>-483724.57675333333</v>
      </c>
      <c r="K17" s="33" t="s">
        <v>30</v>
      </c>
      <c r="L17" s="33" t="s">
        <v>30</v>
      </c>
      <c r="M17" s="13">
        <v>-483724.57675333333</v>
      </c>
    </row>
    <row r="18" spans="1:13" ht="46.5" customHeight="1">
      <c r="A18" s="2" t="s">
        <v>21</v>
      </c>
      <c r="B18" s="2" t="s">
        <v>22</v>
      </c>
      <c r="C18" s="44"/>
      <c r="D18" s="44"/>
      <c r="E18" s="1" t="s">
        <v>25</v>
      </c>
      <c r="F18" s="2" t="s">
        <v>29</v>
      </c>
      <c r="G18" s="31">
        <v>2025</v>
      </c>
      <c r="H18" s="33" t="s">
        <v>30</v>
      </c>
      <c r="I18" s="3">
        <f t="shared" ref="I18:I19" si="1">-J18</f>
        <v>1814188.0223263074</v>
      </c>
      <c r="J18" s="13">
        <f>M18/(1.04^1)</f>
        <v>-1814188.0223263074</v>
      </c>
      <c r="K18" s="33" t="s">
        <v>30</v>
      </c>
      <c r="L18" s="33" t="s">
        <v>30</v>
      </c>
      <c r="M18" s="13">
        <v>-1886755.5432193598</v>
      </c>
    </row>
    <row r="19" spans="1:13" ht="46.5" customHeight="1">
      <c r="A19" s="2" t="s">
        <v>21</v>
      </c>
      <c r="B19" s="2" t="s">
        <v>22</v>
      </c>
      <c r="C19" s="44"/>
      <c r="D19" s="44"/>
      <c r="E19" s="1" t="s">
        <v>25</v>
      </c>
      <c r="F19" s="2" t="s">
        <v>29</v>
      </c>
      <c r="G19" s="28">
        <v>2026</v>
      </c>
      <c r="H19" s="33" t="s">
        <v>30</v>
      </c>
      <c r="I19" s="3">
        <f t="shared" si="1"/>
        <v>1352294.9302947249</v>
      </c>
      <c r="J19" s="13">
        <f>M19/(1.04^2)</f>
        <v>-1352294.9302947249</v>
      </c>
      <c r="K19" s="33" t="s">
        <v>30</v>
      </c>
      <c r="L19" s="33" t="s">
        <v>30</v>
      </c>
      <c r="M19" s="13">
        <v>-1462642.1966067746</v>
      </c>
    </row>
    <row r="22" spans="1:13">
      <c r="J22" s="14"/>
    </row>
    <row r="23" spans="1:13">
      <c r="J23" s="14"/>
    </row>
    <row r="24" spans="1:13">
      <c r="J24" s="14"/>
    </row>
    <row r="25" spans="1:13">
      <c r="M25" s="14"/>
    </row>
    <row r="26" spans="1:13">
      <c r="H26" s="38"/>
      <c r="M26" s="14"/>
    </row>
    <row r="27" spans="1:13">
      <c r="H27" s="38"/>
      <c r="M27" s="14"/>
    </row>
    <row r="28" spans="1:13">
      <c r="H28" s="38"/>
      <c r="M28" s="14"/>
    </row>
    <row r="29" spans="1:13">
      <c r="M29" s="14"/>
    </row>
    <row r="30" spans="1:13">
      <c r="M30" s="14"/>
    </row>
    <row r="31" spans="1:13">
      <c r="M31" s="14"/>
    </row>
    <row r="32" spans="1:13">
      <c r="M32" s="14"/>
    </row>
    <row r="33" spans="13:13">
      <c r="M33" s="14"/>
    </row>
    <row r="34" spans="13:13">
      <c r="M34" s="14"/>
    </row>
    <row r="35" spans="13:13">
      <c r="M35" s="14"/>
    </row>
  </sheetData>
  <mergeCells count="11">
    <mergeCell ref="C17:C19"/>
    <mergeCell ref="D17:D19"/>
    <mergeCell ref="A10:D10"/>
    <mergeCell ref="C13:C16"/>
    <mergeCell ref="D13:D16"/>
    <mergeCell ref="A9:D9"/>
    <mergeCell ref="A7:D7"/>
    <mergeCell ref="E7:H7"/>
    <mergeCell ref="A8:D8"/>
    <mergeCell ref="E8:F8"/>
    <mergeCell ref="G8:H8"/>
  </mergeCells>
  <pageMargins left="0.25" right="0.25" top="0.3" bottom="0.3" header="0.3" footer="0.3"/>
  <pageSetup scale="36"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C3D0B-C901-4C75-9843-DB32086AD8A9}">
  <sheetPr>
    <pageSetUpPr fitToPage="1"/>
  </sheetPr>
  <dimension ref="A1:M73"/>
  <sheetViews>
    <sheetView tabSelected="1" topLeftCell="D55" zoomScale="69" zoomScaleNormal="80" workbookViewId="0">
      <selection activeCell="J58" sqref="J58"/>
    </sheetView>
  </sheetViews>
  <sheetFormatPr defaultRowHeight="14.5"/>
  <cols>
    <col min="1" max="1" width="24.81640625" customWidth="1"/>
    <col min="2" max="2" width="24.54296875" customWidth="1"/>
    <col min="3" max="3" width="66.81640625" customWidth="1"/>
    <col min="4" max="4" width="67" customWidth="1"/>
    <col min="5" max="5" width="19" customWidth="1"/>
    <col min="6" max="6" width="34.7265625" customWidth="1"/>
    <col min="7" max="9" width="18.26953125" customWidth="1"/>
    <col min="10" max="10" width="16.54296875" customWidth="1"/>
    <col min="11" max="11" width="15.1796875" customWidth="1"/>
    <col min="12" max="12" width="15.54296875" customWidth="1"/>
    <col min="13" max="13" width="37.453125" customWidth="1"/>
  </cols>
  <sheetData>
    <row r="1" spans="1:13" ht="26">
      <c r="A1" s="26" t="s">
        <v>0</v>
      </c>
    </row>
    <row r="2" spans="1:13" ht="18.5">
      <c r="A2" s="9" t="s">
        <v>31</v>
      </c>
      <c r="M2" s="22"/>
    </row>
    <row r="3" spans="1:13">
      <c r="A3" t="s">
        <v>2</v>
      </c>
      <c r="M3" s="23"/>
    </row>
    <row r="4" spans="1:13">
      <c r="A4" s="35" t="s">
        <v>3</v>
      </c>
      <c r="M4" s="23"/>
    </row>
    <row r="5" spans="1:13">
      <c r="A5" s="36" t="s">
        <v>4</v>
      </c>
      <c r="B5" s="37">
        <v>2024</v>
      </c>
      <c r="M5" s="23"/>
    </row>
    <row r="6" spans="1:13">
      <c r="M6" s="24"/>
    </row>
    <row r="7" spans="1:13">
      <c r="A7" s="40" t="s">
        <v>0</v>
      </c>
      <c r="B7" s="40"/>
      <c r="C7" s="40"/>
      <c r="D7" s="40"/>
      <c r="E7" s="41"/>
      <c r="F7" s="41"/>
      <c r="G7" s="41"/>
      <c r="H7" s="41"/>
      <c r="L7" s="24"/>
      <c r="M7" s="25"/>
    </row>
    <row r="8" spans="1:13" ht="67.5" customHeight="1">
      <c r="A8" s="39" t="s">
        <v>32</v>
      </c>
      <c r="B8" s="39"/>
      <c r="C8" s="39"/>
      <c r="D8" s="39"/>
      <c r="E8" s="43"/>
      <c r="F8" s="43"/>
      <c r="G8" s="43"/>
      <c r="H8" s="43"/>
      <c r="L8" s="24"/>
      <c r="M8" s="25"/>
    </row>
    <row r="9" spans="1:13" ht="86.25" customHeight="1">
      <c r="A9" s="39" t="s">
        <v>33</v>
      </c>
      <c r="B9" s="39"/>
      <c r="C9" s="39"/>
      <c r="D9" s="39"/>
      <c r="E9" s="17"/>
      <c r="F9" s="18"/>
      <c r="G9" s="19"/>
      <c r="H9" s="19"/>
      <c r="L9" s="24"/>
      <c r="M9" s="25"/>
    </row>
    <row r="10" spans="1:13" ht="22.5" customHeight="1">
      <c r="A10" s="55" t="s">
        <v>34</v>
      </c>
      <c r="B10" s="56"/>
      <c r="C10" s="56"/>
      <c r="D10" s="57"/>
      <c r="E10" s="20"/>
      <c r="F10" s="21"/>
      <c r="G10" s="21"/>
      <c r="H10" s="21"/>
      <c r="L10" s="24"/>
      <c r="M10" s="25"/>
    </row>
    <row r="11" spans="1:13" ht="22.5" customHeight="1">
      <c r="A11" s="52" t="s">
        <v>35</v>
      </c>
      <c r="B11" s="53"/>
      <c r="C11" s="53"/>
      <c r="D11" s="54"/>
      <c r="E11" s="20"/>
      <c r="F11" s="21"/>
      <c r="G11" s="21"/>
      <c r="H11" s="21"/>
      <c r="L11" s="24"/>
      <c r="M11" s="25"/>
    </row>
    <row r="12" spans="1:13" ht="22.5" customHeight="1">
      <c r="A12" s="39" t="s">
        <v>6</v>
      </c>
      <c r="B12" s="39"/>
      <c r="C12" s="39"/>
      <c r="D12" s="39"/>
      <c r="E12" s="17"/>
      <c r="F12" s="18"/>
      <c r="G12" s="19"/>
      <c r="H12" s="19"/>
      <c r="L12" s="24"/>
      <c r="M12" s="25"/>
    </row>
    <row r="13" spans="1:13" ht="22.5" customHeight="1">
      <c r="A13" s="39" t="s">
        <v>36</v>
      </c>
      <c r="B13" s="39"/>
      <c r="C13" s="39"/>
      <c r="D13" s="39"/>
      <c r="L13" s="24"/>
      <c r="M13" s="25"/>
    </row>
    <row r="14" spans="1:13" ht="15" customHeight="1">
      <c r="M14" s="24"/>
    </row>
    <row r="15" spans="1:13" ht="29">
      <c r="A15" s="12" t="s">
        <v>8</v>
      </c>
      <c r="B15" s="12" t="s">
        <v>9</v>
      </c>
      <c r="C15" s="7" t="s">
        <v>10</v>
      </c>
      <c r="D15" s="8" t="s">
        <v>11</v>
      </c>
      <c r="E15" s="7" t="s">
        <v>12</v>
      </c>
      <c r="F15" s="7" t="s">
        <v>13</v>
      </c>
      <c r="G15" s="7" t="s">
        <v>14</v>
      </c>
      <c r="H15" s="7" t="s">
        <v>15</v>
      </c>
      <c r="I15" s="12" t="s">
        <v>16</v>
      </c>
      <c r="J15" s="12" t="s">
        <v>17</v>
      </c>
      <c r="K15" s="10" t="s">
        <v>18</v>
      </c>
      <c r="L15" s="12" t="s">
        <v>19</v>
      </c>
      <c r="M15" s="12" t="s">
        <v>20</v>
      </c>
    </row>
    <row r="16" spans="1:13" ht="132" customHeight="1">
      <c r="A16" s="2" t="s">
        <v>21</v>
      </c>
      <c r="B16" s="2" t="s">
        <v>22</v>
      </c>
      <c r="C16" s="30" t="s">
        <v>37</v>
      </c>
      <c r="D16" s="30" t="s">
        <v>38</v>
      </c>
      <c r="E16" s="31" t="s">
        <v>25</v>
      </c>
      <c r="F16" s="4" t="s">
        <v>39</v>
      </c>
      <c r="G16" s="31">
        <v>2025</v>
      </c>
      <c r="H16" s="32">
        <v>19</v>
      </c>
      <c r="I16" s="13">
        <v>657894.73684210505</v>
      </c>
      <c r="J16" s="13">
        <f t="shared" ref="J16:J59" si="0">I16*H16*IF(A16="Cost",-1,1)</f>
        <v>-12499999.999999996</v>
      </c>
      <c r="K16" s="33">
        <v>5.7500000000000002E-2</v>
      </c>
      <c r="L16" s="33">
        <v>0.06</v>
      </c>
      <c r="M16" s="13">
        <f>J16*(1+L16)^(G16-$B$5)</f>
        <v>-13249999.999999996</v>
      </c>
    </row>
    <row r="17" spans="1:13" ht="77.25" customHeight="1">
      <c r="A17" s="2" t="s">
        <v>21</v>
      </c>
      <c r="B17" s="2" t="s">
        <v>22</v>
      </c>
      <c r="C17" s="30" t="s">
        <v>40</v>
      </c>
      <c r="D17" s="30" t="s">
        <v>41</v>
      </c>
      <c r="E17" s="31" t="s">
        <v>25</v>
      </c>
      <c r="F17" s="4" t="s">
        <v>42</v>
      </c>
      <c r="G17" s="31">
        <v>2026</v>
      </c>
      <c r="H17" s="32">
        <v>1</v>
      </c>
      <c r="I17" s="13">
        <v>2741043</v>
      </c>
      <c r="J17" s="13">
        <f t="shared" si="0"/>
        <v>-2741043</v>
      </c>
      <c r="K17" s="33">
        <v>5.7500000000000002E-2</v>
      </c>
      <c r="L17" s="33">
        <v>0.03</v>
      </c>
      <c r="M17" s="13">
        <f t="shared" ref="M17:M22" si="1">J17*(1+L17)^(G17-$B$5)</f>
        <v>-2907972.5186999999</v>
      </c>
    </row>
    <row r="18" spans="1:13" ht="45" customHeight="1">
      <c r="A18" s="2" t="s">
        <v>21</v>
      </c>
      <c r="B18" s="2" t="s">
        <v>22</v>
      </c>
      <c r="C18" s="39" t="s">
        <v>43</v>
      </c>
      <c r="D18" s="48" t="s">
        <v>44</v>
      </c>
      <c r="E18" s="1" t="s">
        <v>45</v>
      </c>
      <c r="F18" s="2" t="s">
        <v>46</v>
      </c>
      <c r="G18" s="31">
        <v>2025</v>
      </c>
      <c r="H18" s="4">
        <v>12</v>
      </c>
      <c r="I18" s="13">
        <v>200000</v>
      </c>
      <c r="J18" s="13">
        <f t="shared" si="0"/>
        <v>-2400000</v>
      </c>
      <c r="K18" s="33">
        <v>5.7500000000000002E-2</v>
      </c>
      <c r="L18" s="33">
        <v>0.03</v>
      </c>
      <c r="M18" s="13">
        <f t="shared" si="1"/>
        <v>-2472000</v>
      </c>
    </row>
    <row r="19" spans="1:13" ht="45" customHeight="1">
      <c r="A19" s="2" t="s">
        <v>21</v>
      </c>
      <c r="B19" s="2" t="s">
        <v>22</v>
      </c>
      <c r="C19" s="39"/>
      <c r="D19" s="48"/>
      <c r="E19" s="1" t="s">
        <v>25</v>
      </c>
      <c r="F19" s="2" t="s">
        <v>46</v>
      </c>
      <c r="G19" s="31">
        <v>2025</v>
      </c>
      <c r="H19" s="4">
        <v>12</v>
      </c>
      <c r="I19" s="13">
        <v>40000</v>
      </c>
      <c r="J19" s="13">
        <f t="shared" si="0"/>
        <v>-480000</v>
      </c>
      <c r="K19" s="33">
        <v>5.7500000000000002E-2</v>
      </c>
      <c r="L19" s="33">
        <v>0.03</v>
      </c>
      <c r="M19" s="13">
        <f t="shared" si="1"/>
        <v>-494400</v>
      </c>
    </row>
    <row r="20" spans="1:13" ht="45" customHeight="1">
      <c r="A20" s="2" t="s">
        <v>21</v>
      </c>
      <c r="B20" s="2" t="s">
        <v>22</v>
      </c>
      <c r="C20" s="39"/>
      <c r="D20" s="48"/>
      <c r="E20" s="1" t="s">
        <v>45</v>
      </c>
      <c r="F20" s="2" t="s">
        <v>47</v>
      </c>
      <c r="G20" s="31">
        <v>2025</v>
      </c>
      <c r="H20" s="2">
        <v>13</v>
      </c>
      <c r="I20" s="13">
        <f>815000/10</f>
        <v>81500</v>
      </c>
      <c r="J20" s="13">
        <f t="shared" si="0"/>
        <v>-1059500</v>
      </c>
      <c r="K20" s="33">
        <v>5.7500000000000002E-2</v>
      </c>
      <c r="L20" s="33">
        <v>0.03</v>
      </c>
      <c r="M20" s="13">
        <f t="shared" si="1"/>
        <v>-1091285</v>
      </c>
    </row>
    <row r="21" spans="1:13" ht="61.5" customHeight="1">
      <c r="A21" s="2" t="s">
        <v>21</v>
      </c>
      <c r="B21" s="2" t="s">
        <v>22</v>
      </c>
      <c r="C21" s="30" t="s">
        <v>48</v>
      </c>
      <c r="D21" s="30" t="s">
        <v>49</v>
      </c>
      <c r="E21" s="1" t="s">
        <v>45</v>
      </c>
      <c r="F21" s="2" t="s">
        <v>50</v>
      </c>
      <c r="G21" s="31">
        <v>2025</v>
      </c>
      <c r="H21" s="2">
        <v>1</v>
      </c>
      <c r="I21" s="3">
        <v>140000</v>
      </c>
      <c r="J21" s="13">
        <f t="shared" si="0"/>
        <v>-140000</v>
      </c>
      <c r="K21" s="33">
        <v>5.7500000000000002E-2</v>
      </c>
      <c r="L21" s="33">
        <v>0.03</v>
      </c>
      <c r="M21" s="13">
        <f t="shared" si="1"/>
        <v>-144200</v>
      </c>
    </row>
    <row r="22" spans="1:13" ht="61.5" customHeight="1">
      <c r="A22" s="2" t="s">
        <v>21</v>
      </c>
      <c r="B22" s="2" t="s">
        <v>22</v>
      </c>
      <c r="C22" s="30" t="s">
        <v>48</v>
      </c>
      <c r="D22" s="30" t="s">
        <v>49</v>
      </c>
      <c r="E22" s="1" t="s">
        <v>45</v>
      </c>
      <c r="F22" s="2" t="s">
        <v>50</v>
      </c>
      <c r="G22" s="31">
        <v>2026</v>
      </c>
      <c r="H22" s="2">
        <v>1</v>
      </c>
      <c r="I22" s="3">
        <v>140000</v>
      </c>
      <c r="J22" s="13">
        <f t="shared" si="0"/>
        <v>-140000</v>
      </c>
      <c r="K22" s="33">
        <v>5.7500000000000002E-2</v>
      </c>
      <c r="L22" s="33">
        <v>0.03</v>
      </c>
      <c r="M22" s="13">
        <f t="shared" si="1"/>
        <v>-148526</v>
      </c>
    </row>
    <row r="23" spans="1:13" ht="81.75" customHeight="1">
      <c r="A23" s="2" t="s">
        <v>21</v>
      </c>
      <c r="B23" s="2" t="s">
        <v>22</v>
      </c>
      <c r="C23" s="30" t="s">
        <v>51</v>
      </c>
      <c r="D23" s="30" t="s">
        <v>52</v>
      </c>
      <c r="E23" s="1" t="s">
        <v>25</v>
      </c>
      <c r="F23" s="4" t="s">
        <v>53</v>
      </c>
      <c r="G23" s="31">
        <v>2025</v>
      </c>
      <c r="H23" s="2">
        <v>4.9370000000000003</v>
      </c>
      <c r="I23" s="3">
        <v>2329349.7999999998</v>
      </c>
      <c r="J23" s="13">
        <f t="shared" si="0"/>
        <v>-11499999.9626</v>
      </c>
      <c r="K23" s="33">
        <v>5.7500000000000002E-2</v>
      </c>
      <c r="L23" s="33">
        <v>0.03</v>
      </c>
      <c r="M23" s="13">
        <f t="shared" ref="M23" si="2">J23*(1+L23)^(G23-$B$5)</f>
        <v>-11844999.961478001</v>
      </c>
    </row>
    <row r="24" spans="1:13" ht="71.25" customHeight="1">
      <c r="A24" s="2" t="s">
        <v>21</v>
      </c>
      <c r="B24" s="2" t="s">
        <v>22</v>
      </c>
      <c r="C24" s="15" t="s">
        <v>54</v>
      </c>
      <c r="D24" s="30" t="s">
        <v>55</v>
      </c>
      <c r="E24" s="1" t="s">
        <v>25</v>
      </c>
      <c r="F24" s="2" t="s">
        <v>39</v>
      </c>
      <c r="G24" s="29">
        <v>2026</v>
      </c>
      <c r="H24" s="2">
        <v>24</v>
      </c>
      <c r="I24" s="3">
        <v>680420.04504504497</v>
      </c>
      <c r="J24" s="13">
        <f t="shared" si="0"/>
        <v>-16330081.081081079</v>
      </c>
      <c r="K24" s="33">
        <v>5.7500000000000002E-2</v>
      </c>
      <c r="L24" s="33">
        <v>0.06</v>
      </c>
      <c r="M24" s="13">
        <f>J24*(1+L24)^(G24-$B$5)</f>
        <v>-18348479.102702703</v>
      </c>
    </row>
    <row r="25" spans="1:13" ht="48" customHeight="1">
      <c r="A25" s="2" t="s">
        <v>21</v>
      </c>
      <c r="B25" s="2" t="s">
        <v>22</v>
      </c>
      <c r="C25" s="15" t="s">
        <v>56</v>
      </c>
      <c r="D25" s="30" t="s">
        <v>57</v>
      </c>
      <c r="E25" s="1" t="s">
        <v>25</v>
      </c>
      <c r="F25" s="2" t="s">
        <v>42</v>
      </c>
      <c r="G25" s="31">
        <v>2025</v>
      </c>
      <c r="H25" s="2">
        <v>1</v>
      </c>
      <c r="I25" s="3">
        <v>41500000</v>
      </c>
      <c r="J25" s="13">
        <f t="shared" si="0"/>
        <v>-41500000</v>
      </c>
      <c r="K25" s="33">
        <v>5.7500000000000002E-2</v>
      </c>
      <c r="L25" s="33">
        <v>0.03</v>
      </c>
      <c r="M25" s="13">
        <f>J25*(1+L25)^(G25-$B$5)</f>
        <v>-42745000</v>
      </c>
    </row>
    <row r="26" spans="1:13" ht="18" customHeight="1">
      <c r="A26" s="2" t="s">
        <v>21</v>
      </c>
      <c r="B26" s="2" t="s">
        <v>22</v>
      </c>
      <c r="C26" s="49" t="s">
        <v>58</v>
      </c>
      <c r="D26" s="45" t="s">
        <v>59</v>
      </c>
      <c r="E26" s="1" t="s">
        <v>45</v>
      </c>
      <c r="F26" s="2" t="s">
        <v>60</v>
      </c>
      <c r="G26" s="29">
        <v>2025</v>
      </c>
      <c r="H26" s="2">
        <v>13</v>
      </c>
      <c r="I26" s="3">
        <f>1/500*5000000</f>
        <v>10000</v>
      </c>
      <c r="J26" s="6">
        <f t="shared" si="0"/>
        <v>-130000</v>
      </c>
      <c r="K26" s="11">
        <v>5.7500000000000002E-2</v>
      </c>
      <c r="L26" s="11">
        <v>0.03</v>
      </c>
      <c r="M26" s="13">
        <f t="shared" ref="M26:M59" si="3">J26*(1+L26)^(G26-$B$5)</f>
        <v>-133900</v>
      </c>
    </row>
    <row r="27" spans="1:13" ht="18" customHeight="1">
      <c r="A27" s="2" t="s">
        <v>21</v>
      </c>
      <c r="B27" s="2" t="s">
        <v>61</v>
      </c>
      <c r="C27" s="50"/>
      <c r="D27" s="46"/>
      <c r="E27" s="1" t="s">
        <v>45</v>
      </c>
      <c r="F27" s="2" t="s">
        <v>60</v>
      </c>
      <c r="G27" s="29">
        <v>2029</v>
      </c>
      <c r="H27" s="2">
        <v>19</v>
      </c>
      <c r="I27" s="3">
        <f t="shared" ref="I27:I35" si="4">1/500*5000000</f>
        <v>10000</v>
      </c>
      <c r="J27" s="6">
        <f t="shared" si="0"/>
        <v>-190000</v>
      </c>
      <c r="K27" s="11">
        <v>5.7500000000000002E-2</v>
      </c>
      <c r="L27" s="11">
        <v>0.03</v>
      </c>
      <c r="M27" s="13">
        <f t="shared" si="3"/>
        <v>-220262.07411699998</v>
      </c>
    </row>
    <row r="28" spans="1:13" ht="18" customHeight="1">
      <c r="A28" s="2" t="s">
        <v>21</v>
      </c>
      <c r="B28" s="2" t="s">
        <v>61</v>
      </c>
      <c r="C28" s="50"/>
      <c r="D28" s="46"/>
      <c r="E28" s="1" t="s">
        <v>45</v>
      </c>
      <c r="F28" s="2" t="s">
        <v>60</v>
      </c>
      <c r="G28" s="29">
        <v>2036</v>
      </c>
      <c r="H28" s="2">
        <v>19</v>
      </c>
      <c r="I28" s="3">
        <f t="shared" si="4"/>
        <v>10000</v>
      </c>
      <c r="J28" s="6">
        <f t="shared" si="0"/>
        <v>-190000</v>
      </c>
      <c r="K28" s="11">
        <v>5.7500000000000002E-2</v>
      </c>
      <c r="L28" s="11">
        <v>0.03</v>
      </c>
      <c r="M28" s="13">
        <f t="shared" si="3"/>
        <v>-270894.56850077392</v>
      </c>
    </row>
    <row r="29" spans="1:13" ht="18" customHeight="1">
      <c r="A29" s="2" t="s">
        <v>21</v>
      </c>
      <c r="B29" s="2" t="s">
        <v>61</v>
      </c>
      <c r="C29" s="50"/>
      <c r="D29" s="46"/>
      <c r="E29" s="1" t="s">
        <v>45</v>
      </c>
      <c r="F29" s="2" t="s">
        <v>60</v>
      </c>
      <c r="G29" s="29">
        <v>2043</v>
      </c>
      <c r="H29" s="2">
        <v>19</v>
      </c>
      <c r="I29" s="3">
        <f t="shared" si="4"/>
        <v>10000</v>
      </c>
      <c r="J29" s="6">
        <f t="shared" si="0"/>
        <v>-190000</v>
      </c>
      <c r="K29" s="11">
        <v>5.7500000000000002E-2</v>
      </c>
      <c r="L29" s="11">
        <v>0.03</v>
      </c>
      <c r="M29" s="13">
        <f t="shared" si="3"/>
        <v>-333166.15008464904</v>
      </c>
    </row>
    <row r="30" spans="1:13" ht="18" customHeight="1">
      <c r="A30" s="2" t="s">
        <v>21</v>
      </c>
      <c r="B30" s="2" t="s">
        <v>61</v>
      </c>
      <c r="C30" s="50"/>
      <c r="D30" s="46"/>
      <c r="E30" s="1" t="s">
        <v>45</v>
      </c>
      <c r="F30" s="2" t="s">
        <v>60</v>
      </c>
      <c r="G30" s="29">
        <v>2050</v>
      </c>
      <c r="H30" s="2">
        <v>19</v>
      </c>
      <c r="I30" s="3">
        <f t="shared" si="4"/>
        <v>10000</v>
      </c>
      <c r="J30" s="6">
        <f t="shared" si="0"/>
        <v>-190000</v>
      </c>
      <c r="K30" s="11">
        <v>5.7500000000000002E-2</v>
      </c>
      <c r="L30" s="11">
        <v>0.03</v>
      </c>
      <c r="M30" s="13">
        <f t="shared" si="3"/>
        <v>-409752.34083332971</v>
      </c>
    </row>
    <row r="31" spans="1:13" ht="18" customHeight="1">
      <c r="A31" s="2" t="s">
        <v>21</v>
      </c>
      <c r="B31" s="2" t="s">
        <v>61</v>
      </c>
      <c r="C31" s="50"/>
      <c r="D31" s="46"/>
      <c r="E31" s="1" t="s">
        <v>45</v>
      </c>
      <c r="F31" s="2" t="s">
        <v>60</v>
      </c>
      <c r="G31" s="29">
        <v>2057</v>
      </c>
      <c r="H31" s="2">
        <v>19</v>
      </c>
      <c r="I31" s="3">
        <f t="shared" si="4"/>
        <v>10000</v>
      </c>
      <c r="J31" s="6">
        <f t="shared" si="0"/>
        <v>-190000</v>
      </c>
      <c r="K31" s="11">
        <v>5.7500000000000002E-2</v>
      </c>
      <c r="L31" s="11">
        <v>0.03</v>
      </c>
      <c r="M31" s="13">
        <f t="shared" si="3"/>
        <v>-503943.69528757589</v>
      </c>
    </row>
    <row r="32" spans="1:13" ht="18" customHeight="1">
      <c r="A32" s="2" t="s">
        <v>21</v>
      </c>
      <c r="B32" s="2" t="s">
        <v>61</v>
      </c>
      <c r="C32" s="50"/>
      <c r="D32" s="46"/>
      <c r="E32" s="1" t="s">
        <v>45</v>
      </c>
      <c r="F32" s="2" t="s">
        <v>60</v>
      </c>
      <c r="G32" s="29">
        <v>2064</v>
      </c>
      <c r="H32" s="2">
        <v>19</v>
      </c>
      <c r="I32" s="3">
        <f t="shared" si="4"/>
        <v>10000</v>
      </c>
      <c r="J32" s="6">
        <f t="shared" si="0"/>
        <v>-190000</v>
      </c>
      <c r="K32" s="11">
        <v>5.7500000000000002E-2</v>
      </c>
      <c r="L32" s="11">
        <v>0.03</v>
      </c>
      <c r="M32" s="13">
        <f t="shared" si="3"/>
        <v>-619787.18047982373</v>
      </c>
    </row>
    <row r="33" spans="1:13" ht="18" customHeight="1">
      <c r="A33" s="2" t="s">
        <v>21</v>
      </c>
      <c r="B33" s="2" t="s">
        <v>61</v>
      </c>
      <c r="C33" s="50"/>
      <c r="D33" s="46"/>
      <c r="E33" s="1" t="s">
        <v>45</v>
      </c>
      <c r="F33" s="2" t="s">
        <v>60</v>
      </c>
      <c r="G33" s="31">
        <v>2071</v>
      </c>
      <c r="H33" s="2">
        <v>19</v>
      </c>
      <c r="I33" s="3">
        <f t="shared" si="4"/>
        <v>10000</v>
      </c>
      <c r="J33" s="13">
        <f t="shared" ref="J33:J34" si="5">I33*H33*IF(A33="Cost",-1,1)</f>
        <v>-190000</v>
      </c>
      <c r="K33" s="33">
        <v>5.7500000000000002E-2</v>
      </c>
      <c r="L33" s="33">
        <v>0.03</v>
      </c>
      <c r="M33" s="13">
        <f t="shared" ref="M33:M34" si="6">J33*(1+L33)^(G33-$B$5)</f>
        <v>-762260.05539750238</v>
      </c>
    </row>
    <row r="34" spans="1:13" ht="18" customHeight="1">
      <c r="A34" s="2" t="s">
        <v>21</v>
      </c>
      <c r="B34" s="2" t="s">
        <v>61</v>
      </c>
      <c r="C34" s="50"/>
      <c r="D34" s="46"/>
      <c r="E34" s="1" t="s">
        <v>45</v>
      </c>
      <c r="F34" s="2" t="s">
        <v>60</v>
      </c>
      <c r="G34" s="31">
        <v>2078</v>
      </c>
      <c r="H34" s="2">
        <v>19</v>
      </c>
      <c r="I34" s="3">
        <f t="shared" si="4"/>
        <v>10000</v>
      </c>
      <c r="J34" s="13">
        <f t="shared" si="5"/>
        <v>-190000</v>
      </c>
      <c r="K34" s="33">
        <v>5.7500000000000002E-2</v>
      </c>
      <c r="L34" s="33">
        <v>0.03</v>
      </c>
      <c r="M34" s="13">
        <f t="shared" si="6"/>
        <v>-937483.72079070157</v>
      </c>
    </row>
    <row r="35" spans="1:13" ht="18" customHeight="1">
      <c r="A35" s="2" t="s">
        <v>21</v>
      </c>
      <c r="B35" s="2" t="s">
        <v>61</v>
      </c>
      <c r="C35" s="51"/>
      <c r="D35" s="47"/>
      <c r="E35" s="1" t="s">
        <v>45</v>
      </c>
      <c r="F35" s="2" t="s">
        <v>60</v>
      </c>
      <c r="G35" s="31">
        <f>G34+7</f>
        <v>2085</v>
      </c>
      <c r="H35" s="2">
        <v>19</v>
      </c>
      <c r="I35" s="3">
        <f t="shared" si="4"/>
        <v>10000</v>
      </c>
      <c r="J35" s="13">
        <f t="shared" ref="J35" si="7">I35*H35*IF(A35="Cost",-1,1)</f>
        <v>-190000</v>
      </c>
      <c r="K35" s="33">
        <v>5.7500000000000002E-2</v>
      </c>
      <c r="L35" s="33">
        <v>0.03</v>
      </c>
      <c r="M35" s="13">
        <f t="shared" ref="M35" si="8">J35*(1+L35)^(G35-$B$5)</f>
        <v>-1152986.7274617495</v>
      </c>
    </row>
    <row r="36" spans="1:13" ht="18" customHeight="1">
      <c r="A36" s="2" t="s">
        <v>21</v>
      </c>
      <c r="B36" s="2" t="s">
        <v>61</v>
      </c>
      <c r="C36" s="45" t="s">
        <v>62</v>
      </c>
      <c r="D36" s="45" t="s">
        <v>63</v>
      </c>
      <c r="E36" s="1" t="s">
        <v>45</v>
      </c>
      <c r="F36" s="2" t="s">
        <v>47</v>
      </c>
      <c r="G36" s="29">
        <v>2029</v>
      </c>
      <c r="H36" s="2">
        <v>19</v>
      </c>
      <c r="I36" s="13">
        <f>815000/10</f>
        <v>81500</v>
      </c>
      <c r="J36" s="6">
        <f t="shared" si="0"/>
        <v>-1548500</v>
      </c>
      <c r="K36" s="11">
        <v>5.7500000000000002E-2</v>
      </c>
      <c r="L36" s="11">
        <v>0.03</v>
      </c>
      <c r="M36" s="13">
        <f t="shared" si="3"/>
        <v>-1795135.9040535497</v>
      </c>
    </row>
    <row r="37" spans="1:13" ht="18" customHeight="1">
      <c r="A37" s="2" t="s">
        <v>21</v>
      </c>
      <c r="B37" s="2" t="s">
        <v>61</v>
      </c>
      <c r="C37" s="46"/>
      <c r="D37" s="46"/>
      <c r="E37" s="1" t="s">
        <v>45</v>
      </c>
      <c r="F37" s="2" t="s">
        <v>47</v>
      </c>
      <c r="G37" s="29">
        <v>2036</v>
      </c>
      <c r="H37" s="2">
        <v>19</v>
      </c>
      <c r="I37" s="13">
        <f t="shared" ref="I37:I44" si="9">815000/10</f>
        <v>81500</v>
      </c>
      <c r="J37" s="6">
        <f t="shared" si="0"/>
        <v>-1548500</v>
      </c>
      <c r="K37" s="11">
        <v>5.7500000000000002E-2</v>
      </c>
      <c r="L37" s="11">
        <v>0.03</v>
      </c>
      <c r="M37" s="13">
        <f t="shared" si="3"/>
        <v>-2207790.7332813074</v>
      </c>
    </row>
    <row r="38" spans="1:13" ht="18" customHeight="1">
      <c r="A38" s="2" t="s">
        <v>21</v>
      </c>
      <c r="B38" s="2" t="s">
        <v>61</v>
      </c>
      <c r="C38" s="46"/>
      <c r="D38" s="46"/>
      <c r="E38" s="1" t="s">
        <v>45</v>
      </c>
      <c r="F38" s="2" t="s">
        <v>47</v>
      </c>
      <c r="G38" s="29">
        <v>2043</v>
      </c>
      <c r="H38" s="2">
        <v>19</v>
      </c>
      <c r="I38" s="13">
        <f t="shared" si="9"/>
        <v>81500</v>
      </c>
      <c r="J38" s="6">
        <f t="shared" si="0"/>
        <v>-1548500</v>
      </c>
      <c r="K38" s="11">
        <v>5.7500000000000002E-2</v>
      </c>
      <c r="L38" s="11">
        <v>0.03</v>
      </c>
      <c r="M38" s="13">
        <f t="shared" si="3"/>
        <v>-2715304.1231898898</v>
      </c>
    </row>
    <row r="39" spans="1:13" ht="18" customHeight="1">
      <c r="A39" s="2" t="s">
        <v>21</v>
      </c>
      <c r="B39" s="2" t="s">
        <v>61</v>
      </c>
      <c r="C39" s="46"/>
      <c r="D39" s="46"/>
      <c r="E39" s="1" t="s">
        <v>45</v>
      </c>
      <c r="F39" s="2" t="s">
        <v>47</v>
      </c>
      <c r="G39" s="29">
        <v>2050</v>
      </c>
      <c r="H39" s="2">
        <v>19</v>
      </c>
      <c r="I39" s="13">
        <f t="shared" si="9"/>
        <v>81500</v>
      </c>
      <c r="J39" s="6">
        <f t="shared" si="0"/>
        <v>-1548500</v>
      </c>
      <c r="K39" s="11">
        <v>5.7500000000000002E-2</v>
      </c>
      <c r="L39" s="11">
        <v>0.03</v>
      </c>
      <c r="M39" s="13">
        <f t="shared" si="3"/>
        <v>-3339481.5777916373</v>
      </c>
    </row>
    <row r="40" spans="1:13" ht="18" customHeight="1">
      <c r="A40" s="2" t="s">
        <v>21</v>
      </c>
      <c r="B40" s="2" t="s">
        <v>61</v>
      </c>
      <c r="C40" s="46"/>
      <c r="D40" s="46"/>
      <c r="E40" s="1" t="s">
        <v>45</v>
      </c>
      <c r="F40" s="2" t="s">
        <v>47</v>
      </c>
      <c r="G40" s="29">
        <v>2057</v>
      </c>
      <c r="H40" s="2">
        <v>19</v>
      </c>
      <c r="I40" s="13">
        <f t="shared" si="9"/>
        <v>81500</v>
      </c>
      <c r="J40" s="6">
        <f t="shared" si="0"/>
        <v>-1548500</v>
      </c>
      <c r="K40" s="11">
        <v>5.7500000000000002E-2</v>
      </c>
      <c r="L40" s="11">
        <v>0.03</v>
      </c>
      <c r="M40" s="13">
        <f t="shared" si="3"/>
        <v>-4107141.1165937437</v>
      </c>
    </row>
    <row r="41" spans="1:13" ht="18" customHeight="1">
      <c r="A41" s="2" t="s">
        <v>21</v>
      </c>
      <c r="B41" s="2" t="s">
        <v>61</v>
      </c>
      <c r="C41" s="46"/>
      <c r="D41" s="46"/>
      <c r="E41" s="1" t="s">
        <v>45</v>
      </c>
      <c r="F41" s="2" t="s">
        <v>47</v>
      </c>
      <c r="G41" s="29">
        <v>2064</v>
      </c>
      <c r="H41" s="2">
        <v>19</v>
      </c>
      <c r="I41" s="13">
        <f t="shared" si="9"/>
        <v>81500</v>
      </c>
      <c r="J41" s="6">
        <f t="shared" si="0"/>
        <v>-1548500</v>
      </c>
      <c r="K41" s="11">
        <v>5.7500000000000002E-2</v>
      </c>
      <c r="L41" s="11">
        <v>0.03</v>
      </c>
      <c r="M41" s="13">
        <f t="shared" si="3"/>
        <v>-5051265.5209105629</v>
      </c>
    </row>
    <row r="42" spans="1:13" ht="18" customHeight="1">
      <c r="A42" s="2" t="s">
        <v>21</v>
      </c>
      <c r="B42" s="2" t="s">
        <v>61</v>
      </c>
      <c r="C42" s="46"/>
      <c r="D42" s="46"/>
      <c r="E42" s="1" t="s">
        <v>45</v>
      </c>
      <c r="F42" s="2" t="s">
        <v>47</v>
      </c>
      <c r="G42" s="31">
        <f>G41+7</f>
        <v>2071</v>
      </c>
      <c r="H42" s="2">
        <v>19</v>
      </c>
      <c r="I42" s="13">
        <f t="shared" si="9"/>
        <v>81500</v>
      </c>
      <c r="J42" s="13">
        <f t="shared" ref="J42" si="10">I42*H42*IF(A42="Cost",-1,1)</f>
        <v>-1548500</v>
      </c>
      <c r="K42" s="33">
        <v>5.7500000000000002E-2</v>
      </c>
      <c r="L42" s="33">
        <v>0.03</v>
      </c>
      <c r="M42" s="13">
        <f t="shared" ref="M42" si="11">J42*(1+L42)^(G42-$B$5)</f>
        <v>-6212419.4514896441</v>
      </c>
    </row>
    <row r="43" spans="1:13" ht="18" customHeight="1">
      <c r="A43" s="2" t="s">
        <v>21</v>
      </c>
      <c r="B43" s="2" t="s">
        <v>61</v>
      </c>
      <c r="C43" s="46"/>
      <c r="D43" s="46"/>
      <c r="E43" s="1" t="s">
        <v>45</v>
      </c>
      <c r="F43" s="2" t="s">
        <v>47</v>
      </c>
      <c r="G43" s="31">
        <f t="shared" ref="G43:G44" si="12">G42+7</f>
        <v>2078</v>
      </c>
      <c r="H43" s="2">
        <v>19</v>
      </c>
      <c r="I43" s="13">
        <f t="shared" si="9"/>
        <v>81500</v>
      </c>
      <c r="J43" s="13">
        <f t="shared" ref="J43" si="13">I43*H43*IF(A43="Cost",-1,1)</f>
        <v>-1548500</v>
      </c>
      <c r="K43" s="33">
        <v>5.7500000000000002E-2</v>
      </c>
      <c r="L43" s="33">
        <v>0.03</v>
      </c>
      <c r="M43" s="13">
        <f t="shared" ref="M43" si="14">J43*(1+L43)^(G43-$B$5)</f>
        <v>-7640492.3244442176</v>
      </c>
    </row>
    <row r="44" spans="1:13" ht="18" customHeight="1">
      <c r="A44" s="2" t="s">
        <v>21</v>
      </c>
      <c r="B44" s="2" t="s">
        <v>61</v>
      </c>
      <c r="C44" s="46"/>
      <c r="D44" s="46"/>
      <c r="E44" s="1" t="s">
        <v>45</v>
      </c>
      <c r="F44" s="2" t="s">
        <v>47</v>
      </c>
      <c r="G44" s="31">
        <f t="shared" si="12"/>
        <v>2085</v>
      </c>
      <c r="H44" s="2">
        <v>19</v>
      </c>
      <c r="I44" s="13">
        <f t="shared" si="9"/>
        <v>81500</v>
      </c>
      <c r="J44" s="13">
        <f t="shared" ref="J44" si="15">I44*H44*IF(A44="Cost",-1,1)</f>
        <v>-1548500</v>
      </c>
      <c r="K44" s="33">
        <v>5.7500000000000002E-2</v>
      </c>
      <c r="L44" s="33">
        <v>0.03</v>
      </c>
      <c r="M44" s="13">
        <f t="shared" ref="M44" si="16">J44*(1+L44)^(G44-$B$5)</f>
        <v>-9396841.8288132567</v>
      </c>
    </row>
    <row r="45" spans="1:13" ht="18" customHeight="1">
      <c r="A45" s="2" t="s">
        <v>21</v>
      </c>
      <c r="B45" s="2" t="s">
        <v>61</v>
      </c>
      <c r="C45" s="46"/>
      <c r="D45" s="46"/>
      <c r="E45" s="1" t="s">
        <v>45</v>
      </c>
      <c r="F45" s="2" t="s">
        <v>64</v>
      </c>
      <c r="G45" s="29">
        <v>2029</v>
      </c>
      <c r="H45" s="2">
        <v>16</v>
      </c>
      <c r="I45" s="3">
        <v>200000</v>
      </c>
      <c r="J45" s="6">
        <f t="shared" si="0"/>
        <v>-3200000</v>
      </c>
      <c r="K45" s="11">
        <v>5.7500000000000002E-2</v>
      </c>
      <c r="L45" s="11">
        <v>0.03</v>
      </c>
      <c r="M45" s="13">
        <f t="shared" si="3"/>
        <v>-3709677.0377599993</v>
      </c>
    </row>
    <row r="46" spans="1:13" ht="18" customHeight="1">
      <c r="A46" s="2" t="s">
        <v>21</v>
      </c>
      <c r="B46" s="2" t="s">
        <v>61</v>
      </c>
      <c r="C46" s="46"/>
      <c r="D46" s="46"/>
      <c r="E46" s="1" t="s">
        <v>45</v>
      </c>
      <c r="F46" s="2" t="s">
        <v>64</v>
      </c>
      <c r="G46" s="29">
        <v>2036</v>
      </c>
      <c r="H46" s="2">
        <v>16</v>
      </c>
      <c r="I46" s="3">
        <v>200000</v>
      </c>
      <c r="J46" s="6">
        <f t="shared" si="0"/>
        <v>-3200000</v>
      </c>
      <c r="K46" s="11">
        <v>5.7500000000000002E-2</v>
      </c>
      <c r="L46" s="11">
        <v>0.03</v>
      </c>
      <c r="M46" s="13">
        <f t="shared" si="3"/>
        <v>-4562434.8379077716</v>
      </c>
    </row>
    <row r="47" spans="1:13" ht="18" customHeight="1">
      <c r="A47" s="2" t="s">
        <v>21</v>
      </c>
      <c r="B47" s="2" t="s">
        <v>61</v>
      </c>
      <c r="C47" s="46"/>
      <c r="D47" s="46"/>
      <c r="E47" s="1" t="s">
        <v>45</v>
      </c>
      <c r="F47" s="2" t="s">
        <v>64</v>
      </c>
      <c r="G47" s="29">
        <v>2043</v>
      </c>
      <c r="H47" s="2">
        <v>16</v>
      </c>
      <c r="I47" s="3">
        <v>200000</v>
      </c>
      <c r="J47" s="6">
        <f t="shared" si="0"/>
        <v>-3200000</v>
      </c>
      <c r="K47" s="11">
        <v>5.7500000000000002E-2</v>
      </c>
      <c r="L47" s="11">
        <v>0.03</v>
      </c>
      <c r="M47" s="13">
        <f t="shared" si="3"/>
        <v>-5611219.3698467212</v>
      </c>
    </row>
    <row r="48" spans="1:13" ht="18" customHeight="1">
      <c r="A48" s="2" t="s">
        <v>21</v>
      </c>
      <c r="B48" s="2" t="s">
        <v>61</v>
      </c>
      <c r="C48" s="46"/>
      <c r="D48" s="46"/>
      <c r="E48" s="1" t="s">
        <v>45</v>
      </c>
      <c r="F48" s="2" t="s">
        <v>64</v>
      </c>
      <c r="G48" s="29">
        <v>2050</v>
      </c>
      <c r="H48" s="2">
        <v>16</v>
      </c>
      <c r="I48" s="3">
        <v>200000</v>
      </c>
      <c r="J48" s="6">
        <f t="shared" si="0"/>
        <v>-3200000</v>
      </c>
      <c r="K48" s="11">
        <v>5.7500000000000002E-2</v>
      </c>
      <c r="L48" s="11">
        <v>0.03</v>
      </c>
      <c r="M48" s="13">
        <f t="shared" si="3"/>
        <v>-6901092.0561402896</v>
      </c>
    </row>
    <row r="49" spans="1:13" ht="18" customHeight="1">
      <c r="A49" s="2" t="s">
        <v>21</v>
      </c>
      <c r="B49" s="2" t="s">
        <v>61</v>
      </c>
      <c r="C49" s="46"/>
      <c r="D49" s="46"/>
      <c r="E49" s="1" t="s">
        <v>45</v>
      </c>
      <c r="F49" s="2" t="s">
        <v>64</v>
      </c>
      <c r="G49" s="29">
        <v>2057</v>
      </c>
      <c r="H49" s="2">
        <v>16</v>
      </c>
      <c r="I49" s="3">
        <v>200000</v>
      </c>
      <c r="J49" s="6">
        <f t="shared" si="0"/>
        <v>-3200000</v>
      </c>
      <c r="K49" s="11">
        <v>5.7500000000000002E-2</v>
      </c>
      <c r="L49" s="11">
        <v>0.03</v>
      </c>
      <c r="M49" s="13">
        <f t="shared" si="3"/>
        <v>-8487472.7627381198</v>
      </c>
    </row>
    <row r="50" spans="1:13" ht="18" customHeight="1">
      <c r="A50" s="5" t="s">
        <v>21</v>
      </c>
      <c r="B50" s="5" t="s">
        <v>61</v>
      </c>
      <c r="C50" s="46"/>
      <c r="D50" s="46"/>
      <c r="E50" s="1" t="s">
        <v>45</v>
      </c>
      <c r="F50" s="2" t="s">
        <v>64</v>
      </c>
      <c r="G50" s="29">
        <v>2064</v>
      </c>
      <c r="H50" s="2">
        <v>16</v>
      </c>
      <c r="I50" s="3">
        <v>200000</v>
      </c>
      <c r="J50" s="6">
        <f t="shared" si="0"/>
        <v>-3200000</v>
      </c>
      <c r="K50" s="11">
        <v>5.7500000000000002E-2</v>
      </c>
      <c r="L50" s="11">
        <v>0.03</v>
      </c>
      <c r="M50" s="13">
        <f t="shared" si="3"/>
        <v>-10438520.934397031</v>
      </c>
    </row>
    <row r="51" spans="1:13" ht="18" customHeight="1">
      <c r="A51" s="2" t="s">
        <v>21</v>
      </c>
      <c r="B51" s="2" t="s">
        <v>61</v>
      </c>
      <c r="C51" s="46"/>
      <c r="D51" s="46"/>
      <c r="E51" s="1" t="s">
        <v>45</v>
      </c>
      <c r="F51" s="2" t="s">
        <v>64</v>
      </c>
      <c r="G51" s="31">
        <v>2071</v>
      </c>
      <c r="H51" s="2">
        <v>16</v>
      </c>
      <c r="I51" s="3">
        <v>200000</v>
      </c>
      <c r="J51" s="13">
        <f t="shared" ref="J51:J52" si="17">I51*H51*IF(A51="Cost",-1,1)</f>
        <v>-3200000</v>
      </c>
      <c r="K51" s="33">
        <v>5.7500000000000002E-2</v>
      </c>
      <c r="L51" s="33">
        <v>0.03</v>
      </c>
      <c r="M51" s="13">
        <f t="shared" ref="M51:M52" si="18">J51*(1+L51)^(G51-$B$5)</f>
        <v>-12838064.090905303</v>
      </c>
    </row>
    <row r="52" spans="1:13" ht="18" customHeight="1">
      <c r="A52" s="2" t="s">
        <v>21</v>
      </c>
      <c r="B52" s="5" t="s">
        <v>61</v>
      </c>
      <c r="C52" s="46"/>
      <c r="D52" s="46"/>
      <c r="E52" s="1" t="s">
        <v>45</v>
      </c>
      <c r="F52" s="2" t="s">
        <v>64</v>
      </c>
      <c r="G52" s="31">
        <v>2078</v>
      </c>
      <c r="H52" s="2">
        <v>16</v>
      </c>
      <c r="I52" s="3">
        <v>200000</v>
      </c>
      <c r="J52" s="13">
        <f t="shared" si="17"/>
        <v>-3200000</v>
      </c>
      <c r="K52" s="33">
        <v>5.7500000000000002E-2</v>
      </c>
      <c r="L52" s="33">
        <v>0.03</v>
      </c>
      <c r="M52" s="13">
        <f t="shared" si="18"/>
        <v>-15789199.508053921</v>
      </c>
    </row>
    <row r="53" spans="1:13" ht="18" customHeight="1">
      <c r="A53" s="2" t="s">
        <v>21</v>
      </c>
      <c r="B53" s="5" t="s">
        <v>61</v>
      </c>
      <c r="C53" s="47"/>
      <c r="D53" s="47"/>
      <c r="E53" s="1" t="s">
        <v>45</v>
      </c>
      <c r="F53" s="2" t="s">
        <v>64</v>
      </c>
      <c r="G53" s="31">
        <f>G52+7</f>
        <v>2085</v>
      </c>
      <c r="H53" s="2">
        <v>16</v>
      </c>
      <c r="I53" s="3">
        <v>200000</v>
      </c>
      <c r="J53" s="13">
        <f t="shared" ref="J53" si="19">I53*H53*IF(A53="Cost",-1,1)</f>
        <v>-3200000</v>
      </c>
      <c r="K53" s="33">
        <v>5.7500000000000002E-2</v>
      </c>
      <c r="L53" s="33">
        <v>0.03</v>
      </c>
      <c r="M53" s="13">
        <f t="shared" ref="M53" si="20">J53*(1+L53)^(G53-$B$5)</f>
        <v>-19418723.830934726</v>
      </c>
    </row>
    <row r="54" spans="1:13" ht="33" customHeight="1">
      <c r="A54" s="2" t="s">
        <v>21</v>
      </c>
      <c r="B54" s="2" t="s">
        <v>61</v>
      </c>
      <c r="C54" s="45" t="s">
        <v>65</v>
      </c>
      <c r="D54" s="45" t="s">
        <v>66</v>
      </c>
      <c r="E54" s="1" t="s">
        <v>25</v>
      </c>
      <c r="F54" s="2" t="s">
        <v>39</v>
      </c>
      <c r="G54" s="31">
        <v>2030</v>
      </c>
      <c r="H54" s="2">
        <v>17</v>
      </c>
      <c r="I54" s="3">
        <v>683420.04504504497</v>
      </c>
      <c r="J54" s="13">
        <f t="shared" si="0"/>
        <v>-11618140.765765764</v>
      </c>
      <c r="K54" s="33">
        <v>5.7500000000000002E-2</v>
      </c>
      <c r="L54" s="33">
        <v>0.06</v>
      </c>
      <c r="M54" s="13">
        <f t="shared" si="3"/>
        <v>-16480554.725119302</v>
      </c>
    </row>
    <row r="55" spans="1:13" ht="33" customHeight="1">
      <c r="A55" s="2" t="s">
        <v>21</v>
      </c>
      <c r="B55" s="2" t="s">
        <v>61</v>
      </c>
      <c r="C55" s="46"/>
      <c r="D55" s="46"/>
      <c r="E55" s="1" t="s">
        <v>25</v>
      </c>
      <c r="F55" s="2" t="s">
        <v>39</v>
      </c>
      <c r="G55" s="31">
        <v>2037</v>
      </c>
      <c r="H55" s="2">
        <v>19</v>
      </c>
      <c r="I55" s="3">
        <v>683420.04504504497</v>
      </c>
      <c r="J55" s="13">
        <f t="shared" si="0"/>
        <v>-12984980.855855854</v>
      </c>
      <c r="K55" s="33">
        <v>5.7500000000000002E-2</v>
      </c>
      <c r="L55" s="33">
        <v>0.06</v>
      </c>
      <c r="M55" s="13">
        <f t="shared" si="3"/>
        <v>-27696032.624905657</v>
      </c>
    </row>
    <row r="56" spans="1:13" ht="33" customHeight="1">
      <c r="A56" s="2" t="s">
        <v>21</v>
      </c>
      <c r="B56" s="2" t="s">
        <v>61</v>
      </c>
      <c r="C56" s="46"/>
      <c r="D56" s="46"/>
      <c r="E56" s="1" t="s">
        <v>25</v>
      </c>
      <c r="F56" s="2" t="s">
        <v>39</v>
      </c>
      <c r="G56" s="31">
        <v>2044</v>
      </c>
      <c r="H56" s="2">
        <v>21</v>
      </c>
      <c r="I56" s="3">
        <v>683420.04504504497</v>
      </c>
      <c r="J56" s="13">
        <f t="shared" si="0"/>
        <v>-14351820.945945945</v>
      </c>
      <c r="K56" s="33">
        <v>5.7500000000000002E-2</v>
      </c>
      <c r="L56" s="33">
        <v>0.06</v>
      </c>
      <c r="M56" s="13">
        <f t="shared" si="3"/>
        <v>-46028234.046590589</v>
      </c>
    </row>
    <row r="57" spans="1:13" ht="33" customHeight="1">
      <c r="A57" s="2" t="s">
        <v>21</v>
      </c>
      <c r="B57" s="2" t="s">
        <v>61</v>
      </c>
      <c r="C57" s="46"/>
      <c r="D57" s="46"/>
      <c r="E57" s="1" t="s">
        <v>25</v>
      </c>
      <c r="F57" s="2" t="s">
        <v>39</v>
      </c>
      <c r="G57" s="31">
        <v>2051</v>
      </c>
      <c r="H57" s="2">
        <v>23</v>
      </c>
      <c r="I57" s="3">
        <v>683420.04504504497</v>
      </c>
      <c r="J57" s="13">
        <f t="shared" si="0"/>
        <v>-15718661.036036035</v>
      </c>
      <c r="K57" s="33">
        <v>5.7500000000000002E-2</v>
      </c>
      <c r="L57" s="33">
        <v>0.06</v>
      </c>
      <c r="M57" s="13">
        <f t="shared" si="3"/>
        <v>-75800821.240427122</v>
      </c>
    </row>
    <row r="58" spans="1:13" ht="33" customHeight="1">
      <c r="A58" s="2" t="s">
        <v>21</v>
      </c>
      <c r="B58" s="2" t="s">
        <v>61</v>
      </c>
      <c r="C58" s="46"/>
      <c r="D58" s="46"/>
      <c r="E58" s="1" t="s">
        <v>25</v>
      </c>
      <c r="F58" s="2" t="s">
        <v>39</v>
      </c>
      <c r="G58" s="31">
        <v>2058</v>
      </c>
      <c r="H58" s="2">
        <v>25</v>
      </c>
      <c r="I58" s="3">
        <v>683420.04504504497</v>
      </c>
      <c r="J58" s="13">
        <f t="shared" si="0"/>
        <v>-17085501.126126125</v>
      </c>
      <c r="K58" s="33">
        <v>5.7500000000000002E-2</v>
      </c>
      <c r="L58" s="33">
        <v>0.06</v>
      </c>
      <c r="M58" s="13">
        <f t="shared" si="3"/>
        <v>-123887400.51467527</v>
      </c>
    </row>
    <row r="59" spans="1:13" ht="33" customHeight="1">
      <c r="A59" s="2" t="s">
        <v>21</v>
      </c>
      <c r="B59" s="2" t="s">
        <v>61</v>
      </c>
      <c r="C59" s="46"/>
      <c r="D59" s="46"/>
      <c r="E59" s="1" t="s">
        <v>25</v>
      </c>
      <c r="F59" s="2" t="s">
        <v>39</v>
      </c>
      <c r="G59" s="31">
        <v>2065</v>
      </c>
      <c r="H59" s="2">
        <v>28</v>
      </c>
      <c r="I59" s="3">
        <v>683420.04504504497</v>
      </c>
      <c r="J59" s="13">
        <f t="shared" si="0"/>
        <v>-19135761.261261258</v>
      </c>
      <c r="K59" s="33">
        <v>5.7500000000000002E-2</v>
      </c>
      <c r="L59" s="33">
        <v>0.06</v>
      </c>
      <c r="M59" s="13">
        <f t="shared" si="3"/>
        <v>-208634545.41624525</v>
      </c>
    </row>
    <row r="60" spans="1:13" ht="33" customHeight="1">
      <c r="A60" s="2" t="s">
        <v>21</v>
      </c>
      <c r="B60" s="2" t="s">
        <v>61</v>
      </c>
      <c r="C60" s="46"/>
      <c r="D60" s="46"/>
      <c r="E60" s="1" t="s">
        <v>25</v>
      </c>
      <c r="F60" s="2" t="s">
        <v>39</v>
      </c>
      <c r="G60" s="31">
        <v>2072</v>
      </c>
      <c r="H60" s="2">
        <v>31</v>
      </c>
      <c r="I60" s="3">
        <v>683421.04504504497</v>
      </c>
      <c r="J60" s="13">
        <f t="shared" ref="J60:J61" si="21">I60*H60*IF(A60="Cost",-1,1)</f>
        <v>-21186052.396396395</v>
      </c>
      <c r="K60" s="33">
        <v>5.7500000000000002E-2</v>
      </c>
      <c r="L60" s="33">
        <v>0.06</v>
      </c>
      <c r="M60" s="13">
        <f t="shared" ref="M60:M61" si="22">J60*(1+L60)^(G60-$B$5)</f>
        <v>-347321425.43580878</v>
      </c>
    </row>
    <row r="61" spans="1:13" ht="33" customHeight="1">
      <c r="A61" s="2" t="s">
        <v>21</v>
      </c>
      <c r="B61" s="2" t="s">
        <v>61</v>
      </c>
      <c r="C61" s="46"/>
      <c r="D61" s="46"/>
      <c r="E61" s="1" t="s">
        <v>25</v>
      </c>
      <c r="F61" s="2" t="s">
        <v>39</v>
      </c>
      <c r="G61" s="31">
        <v>2079</v>
      </c>
      <c r="H61" s="2">
        <v>34</v>
      </c>
      <c r="I61" s="3">
        <v>683422.04504504497</v>
      </c>
      <c r="J61" s="13">
        <f t="shared" si="21"/>
        <v>-23236349.531531528</v>
      </c>
      <c r="K61" s="33">
        <v>5.7500000000000002E-2</v>
      </c>
      <c r="L61" s="33">
        <v>0.06</v>
      </c>
      <c r="M61" s="13">
        <f t="shared" si="22"/>
        <v>-572783488.62590146</v>
      </c>
    </row>
    <row r="62" spans="1:13" ht="33" customHeight="1">
      <c r="A62" s="2" t="s">
        <v>21</v>
      </c>
      <c r="B62" s="2" t="s">
        <v>61</v>
      </c>
      <c r="C62" s="47"/>
      <c r="D62" s="47"/>
      <c r="E62" s="1" t="s">
        <v>25</v>
      </c>
      <c r="F62" s="2" t="s">
        <v>39</v>
      </c>
      <c r="G62" s="31">
        <f>G61+7</f>
        <v>2086</v>
      </c>
      <c r="H62" s="2">
        <v>37</v>
      </c>
      <c r="I62" s="3">
        <v>683422.04504504497</v>
      </c>
      <c r="J62" s="13">
        <f t="shared" ref="J62" si="23">I62*H62*IF(A62="Cost",-1,1)</f>
        <v>-25286615.666666664</v>
      </c>
      <c r="K62" s="33">
        <v>5.7500000000000002E-2</v>
      </c>
      <c r="L62" s="33">
        <v>0.06</v>
      </c>
      <c r="M62" s="13">
        <f>J62*(1+L62)^(G62-$B$5)</f>
        <v>-937247636.99693978</v>
      </c>
    </row>
    <row r="63" spans="1:13" ht="15" customHeight="1">
      <c r="A63" s="2" t="s">
        <v>21</v>
      </c>
      <c r="B63" s="2" t="s">
        <v>22</v>
      </c>
      <c r="C63" s="45" t="s">
        <v>27</v>
      </c>
      <c r="D63" s="45" t="s">
        <v>67</v>
      </c>
      <c r="E63" s="1" t="s">
        <v>25</v>
      </c>
      <c r="F63" s="2" t="s">
        <v>29</v>
      </c>
      <c r="G63" s="28">
        <v>2025</v>
      </c>
      <c r="H63" s="33" t="s">
        <v>30</v>
      </c>
      <c r="I63" s="3">
        <f>-J63</f>
        <v>1205234.6659834932</v>
      </c>
      <c r="J63" s="13">
        <f>SUMIFS($J$16:$J$62,$E$16:$E$62,"Capital",$G$16:$G$62,G63)*0.5*0.0548*8/12</f>
        <v>-1205234.6659834932</v>
      </c>
      <c r="K63" s="33" t="s">
        <v>30</v>
      </c>
      <c r="L63" s="33" t="s">
        <v>30</v>
      </c>
      <c r="M63" s="13">
        <f>SUMIFS($M$16:$M$62,$E$16:$E$62,"Capital",$G$16:$G$62,G63)*0.5*0.0548*8/12</f>
        <v>-1248241.7059629981</v>
      </c>
    </row>
    <row r="64" spans="1:13">
      <c r="A64" s="2" t="s">
        <v>21</v>
      </c>
      <c r="B64" s="2" t="s">
        <v>22</v>
      </c>
      <c r="C64" s="46"/>
      <c r="D64" s="46"/>
      <c r="E64" s="1" t="s">
        <v>25</v>
      </c>
      <c r="F64" s="2" t="s">
        <v>29</v>
      </c>
      <c r="G64" s="28">
        <v>2026</v>
      </c>
      <c r="H64" s="33" t="s">
        <v>30</v>
      </c>
      <c r="I64" s="3">
        <f t="shared" ref="I64:I73" si="24">-J64</f>
        <v>348365.86654774769</v>
      </c>
      <c r="J64" s="13">
        <f t="shared" ref="J64:J72" si="25">SUMIFS($J$16:$J$62,$E$16:$E$62,"Capital",$G$16:$G$62,G64)*0.5*0.0548*8/12</f>
        <v>-348365.86654774769</v>
      </c>
      <c r="K64" s="33" t="s">
        <v>30</v>
      </c>
      <c r="L64" s="33" t="s">
        <v>30</v>
      </c>
      <c r="M64" s="13">
        <f t="shared" ref="M64:M73" si="26">SUMIFS($M$16:$M$62,$E$16:$E$62,"Capital",$G$16:$G$62,G64)*0.5*0.0548*8/12</f>
        <v>-388284.51628428936</v>
      </c>
    </row>
    <row r="65" spans="1:13">
      <c r="A65" s="2" t="s">
        <v>21</v>
      </c>
      <c r="B65" s="2" t="s">
        <v>61</v>
      </c>
      <c r="C65" s="46"/>
      <c r="D65" s="46"/>
      <c r="E65" s="1" t="s">
        <v>25</v>
      </c>
      <c r="F65" s="2" t="s">
        <v>29</v>
      </c>
      <c r="G65" s="28">
        <v>2030</v>
      </c>
      <c r="H65" s="33" t="s">
        <v>30</v>
      </c>
      <c r="I65" s="3">
        <f t="shared" si="24"/>
        <v>212224.70465465463</v>
      </c>
      <c r="J65" s="13">
        <f t="shared" si="25"/>
        <v>-212224.70465465463</v>
      </c>
      <c r="K65" s="33" t="s">
        <v>30</v>
      </c>
      <c r="L65" s="33" t="s">
        <v>30</v>
      </c>
      <c r="M65" s="13">
        <f t="shared" si="26"/>
        <v>-301044.7996455126</v>
      </c>
    </row>
    <row r="66" spans="1:13">
      <c r="A66" s="2" t="s">
        <v>21</v>
      </c>
      <c r="B66" s="2" t="s">
        <v>61</v>
      </c>
      <c r="C66" s="46"/>
      <c r="D66" s="46"/>
      <c r="E66" s="1" t="s">
        <v>25</v>
      </c>
      <c r="F66" s="2" t="s">
        <v>29</v>
      </c>
      <c r="G66" s="28">
        <v>2037</v>
      </c>
      <c r="H66" s="33" t="s">
        <v>30</v>
      </c>
      <c r="I66" s="3">
        <f t="shared" si="24"/>
        <v>237192.31696696696</v>
      </c>
      <c r="J66" s="13">
        <f t="shared" si="25"/>
        <v>-237192.31696696696</v>
      </c>
      <c r="K66" s="33" t="s">
        <v>30</v>
      </c>
      <c r="L66" s="33" t="s">
        <v>30</v>
      </c>
      <c r="M66" s="13">
        <f t="shared" si="26"/>
        <v>-505914.19594827667</v>
      </c>
    </row>
    <row r="67" spans="1:13">
      <c r="A67" s="2" t="s">
        <v>21</v>
      </c>
      <c r="B67" s="2" t="s">
        <v>61</v>
      </c>
      <c r="C67" s="46"/>
      <c r="D67" s="46"/>
      <c r="E67" s="1" t="s">
        <v>25</v>
      </c>
      <c r="F67" s="2" t="s">
        <v>29</v>
      </c>
      <c r="G67" s="28">
        <v>2044</v>
      </c>
      <c r="H67" s="33" t="s">
        <v>30</v>
      </c>
      <c r="I67" s="3">
        <f t="shared" si="24"/>
        <v>262159.92927927925</v>
      </c>
      <c r="J67" s="13">
        <f t="shared" si="25"/>
        <v>-262159.92927927925</v>
      </c>
      <c r="K67" s="33" t="s">
        <v>30</v>
      </c>
      <c r="L67" s="33" t="s">
        <v>30</v>
      </c>
      <c r="M67" s="13">
        <f t="shared" si="26"/>
        <v>-840782.40858438809</v>
      </c>
    </row>
    <row r="68" spans="1:13">
      <c r="A68" s="2" t="s">
        <v>21</v>
      </c>
      <c r="B68" s="2" t="s">
        <v>61</v>
      </c>
      <c r="C68" s="46"/>
      <c r="D68" s="46"/>
      <c r="E68" s="1" t="s">
        <v>25</v>
      </c>
      <c r="F68" s="2" t="s">
        <v>29</v>
      </c>
      <c r="G68" s="28">
        <v>2051</v>
      </c>
      <c r="H68" s="33" t="s">
        <v>30</v>
      </c>
      <c r="I68" s="3">
        <f t="shared" si="24"/>
        <v>287127.54159159161</v>
      </c>
      <c r="J68" s="13">
        <f t="shared" si="25"/>
        <v>-287127.54159159161</v>
      </c>
      <c r="K68" s="33" t="s">
        <v>30</v>
      </c>
      <c r="L68" s="33" t="s">
        <v>30</v>
      </c>
      <c r="M68" s="13">
        <f t="shared" si="26"/>
        <v>-1384628.3346584688</v>
      </c>
    </row>
    <row r="69" spans="1:13">
      <c r="A69" s="2" t="s">
        <v>21</v>
      </c>
      <c r="B69" s="2" t="s">
        <v>61</v>
      </c>
      <c r="C69" s="46"/>
      <c r="D69" s="46"/>
      <c r="E69" s="1" t="s">
        <v>25</v>
      </c>
      <c r="F69" s="2" t="s">
        <v>29</v>
      </c>
      <c r="G69" s="28">
        <v>2058</v>
      </c>
      <c r="H69" s="33" t="s">
        <v>30</v>
      </c>
      <c r="I69" s="3">
        <f t="shared" si="24"/>
        <v>312095.15390390391</v>
      </c>
      <c r="J69" s="13">
        <f t="shared" si="25"/>
        <v>-312095.15390390391</v>
      </c>
      <c r="K69" s="33" t="s">
        <v>30</v>
      </c>
      <c r="L69" s="33" t="s">
        <v>30</v>
      </c>
      <c r="M69" s="13">
        <f t="shared" si="26"/>
        <v>-2263009.8494014018</v>
      </c>
    </row>
    <row r="70" spans="1:13">
      <c r="A70" s="2" t="s">
        <v>21</v>
      </c>
      <c r="B70" s="2" t="s">
        <v>61</v>
      </c>
      <c r="C70" s="46"/>
      <c r="D70" s="46"/>
      <c r="E70" s="1" t="s">
        <v>25</v>
      </c>
      <c r="F70" s="2" t="s">
        <v>29</v>
      </c>
      <c r="G70" s="28">
        <v>2065</v>
      </c>
      <c r="H70" s="33" t="s">
        <v>30</v>
      </c>
      <c r="I70" s="3">
        <f t="shared" si="24"/>
        <v>349546.57237237232</v>
      </c>
      <c r="J70" s="13">
        <f t="shared" si="25"/>
        <v>-349546.57237237232</v>
      </c>
      <c r="K70" s="33" t="s">
        <v>30</v>
      </c>
      <c r="L70" s="33" t="s">
        <v>30</v>
      </c>
      <c r="M70" s="13">
        <f t="shared" si="26"/>
        <v>-3811057.6962700803</v>
      </c>
    </row>
    <row r="71" spans="1:13">
      <c r="A71" s="2" t="s">
        <v>21</v>
      </c>
      <c r="B71" s="2" t="s">
        <v>61</v>
      </c>
      <c r="C71" s="46"/>
      <c r="D71" s="46"/>
      <c r="E71" s="1" t="s">
        <v>25</v>
      </c>
      <c r="F71" s="2" t="s">
        <v>29</v>
      </c>
      <c r="G71" s="28">
        <v>2072</v>
      </c>
      <c r="H71" s="33" t="s">
        <v>30</v>
      </c>
      <c r="I71" s="3">
        <f t="shared" si="24"/>
        <v>386998.55710750748</v>
      </c>
      <c r="J71" s="13">
        <f t="shared" si="25"/>
        <v>-386998.55710750748</v>
      </c>
      <c r="K71" s="33" t="s">
        <v>30</v>
      </c>
      <c r="L71" s="33" t="s">
        <v>30</v>
      </c>
      <c r="M71" s="13">
        <f>SUMIFS($M$16:$M$62,$E$16:$E$62,"Capital",$G$16:$G$62,G71)*0.5*0.0548*8/12</f>
        <v>-6344404.7046274403</v>
      </c>
    </row>
    <row r="72" spans="1:13">
      <c r="A72" s="2" t="s">
        <v>21</v>
      </c>
      <c r="B72" s="2" t="s">
        <v>61</v>
      </c>
      <c r="C72" s="46"/>
      <c r="D72" s="46"/>
      <c r="E72" s="1" t="s">
        <v>25</v>
      </c>
      <c r="F72" s="2" t="s">
        <v>29</v>
      </c>
      <c r="G72" s="28">
        <v>2079</v>
      </c>
      <c r="H72" s="33" t="s">
        <v>30</v>
      </c>
      <c r="I72" s="3">
        <f t="shared" si="24"/>
        <v>424450.65144264256</v>
      </c>
      <c r="J72" s="13">
        <f t="shared" si="25"/>
        <v>-424450.65144264256</v>
      </c>
      <c r="K72" s="33" t="s">
        <v>30</v>
      </c>
      <c r="L72" s="33" t="s">
        <v>30</v>
      </c>
      <c r="M72" s="13">
        <f t="shared" si="26"/>
        <v>-10462845.058899799</v>
      </c>
    </row>
    <row r="73" spans="1:13">
      <c r="A73" s="2" t="s">
        <v>21</v>
      </c>
      <c r="B73" s="2" t="s">
        <v>61</v>
      </c>
      <c r="C73" s="47"/>
      <c r="D73" s="47"/>
      <c r="E73" s="1" t="s">
        <v>25</v>
      </c>
      <c r="F73" s="2" t="s">
        <v>29</v>
      </c>
      <c r="G73" s="28">
        <v>2086</v>
      </c>
      <c r="H73" s="33" t="s">
        <v>30</v>
      </c>
      <c r="I73" s="3">
        <f t="shared" si="24"/>
        <v>461902.17951111106</v>
      </c>
      <c r="J73" s="13">
        <f>SUMIFS($J$16:$J$62,$E$16:$E$62,"Capital",$G$16:$G$62,G73)*0.5*0.0548*8/12</f>
        <v>-461902.17951111106</v>
      </c>
      <c r="K73" s="33" t="s">
        <v>30</v>
      </c>
      <c r="L73" s="33" t="s">
        <v>30</v>
      </c>
      <c r="M73" s="13">
        <f t="shared" si="26"/>
        <v>-17120390.169144101</v>
      </c>
    </row>
  </sheetData>
  <autoFilter ref="A15:NH73" xr:uid="{275C3D0B-C901-4C75-9843-DB32086AD8A9}"/>
  <mergeCells count="20">
    <mergeCell ref="A12:D12"/>
    <mergeCell ref="E7:H7"/>
    <mergeCell ref="A7:D7"/>
    <mergeCell ref="A8:D8"/>
    <mergeCell ref="E8:F8"/>
    <mergeCell ref="A11:D11"/>
    <mergeCell ref="A9:D9"/>
    <mergeCell ref="A10:D10"/>
    <mergeCell ref="G8:H8"/>
    <mergeCell ref="A13:D13"/>
    <mergeCell ref="C18:C20"/>
    <mergeCell ref="D18:D20"/>
    <mergeCell ref="D26:D35"/>
    <mergeCell ref="C26:C35"/>
    <mergeCell ref="C36:C53"/>
    <mergeCell ref="D36:D53"/>
    <mergeCell ref="D54:D62"/>
    <mergeCell ref="C54:C62"/>
    <mergeCell ref="D63:D73"/>
    <mergeCell ref="C63:C73"/>
  </mergeCells>
  <pageMargins left="0.25" right="0.25" top="0.3" bottom="0.3" header="0.3" footer="0.3"/>
  <pageSetup scale="36"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A8E7E-4D2D-4754-AEE7-4DB7C33E94ED}">
  <sheetPr>
    <pageSetUpPr fitToPage="1"/>
  </sheetPr>
  <dimension ref="A1:M22"/>
  <sheetViews>
    <sheetView zoomScale="80" zoomScaleNormal="80" workbookViewId="0">
      <selection activeCell="C1" sqref="C1"/>
    </sheetView>
  </sheetViews>
  <sheetFormatPr defaultRowHeight="14.5"/>
  <cols>
    <col min="1" max="1" width="24.81640625" customWidth="1"/>
    <col min="2" max="2" width="24.54296875" customWidth="1"/>
    <col min="3" max="3" width="66.81640625" customWidth="1"/>
    <col min="4" max="4" width="93.54296875" customWidth="1"/>
    <col min="5" max="5" width="19" customWidth="1"/>
    <col min="6" max="6" width="34.7265625" customWidth="1"/>
    <col min="7" max="7" width="22.453125" bestFit="1" customWidth="1"/>
    <col min="8" max="8" width="18.7265625" bestFit="1" customWidth="1"/>
    <col min="9" max="9" width="22.1796875" bestFit="1" customWidth="1"/>
    <col min="10" max="10" width="16.54296875" customWidth="1"/>
    <col min="11" max="11" width="19.81640625" customWidth="1"/>
    <col min="12" max="12" width="19.453125" customWidth="1"/>
    <col min="13" max="13" width="22.81640625" customWidth="1"/>
    <col min="14" max="15" width="19.453125" customWidth="1"/>
  </cols>
  <sheetData>
    <row r="1" spans="1:13" ht="28.5">
      <c r="A1" s="26" t="s">
        <v>0</v>
      </c>
      <c r="C1" s="34" t="s">
        <v>68</v>
      </c>
    </row>
    <row r="2" spans="1:13" ht="18.5">
      <c r="A2" s="9" t="s">
        <v>69</v>
      </c>
    </row>
    <row r="3" spans="1:13">
      <c r="A3" t="s">
        <v>70</v>
      </c>
    </row>
    <row r="5" spans="1:13">
      <c r="A5" s="40" t="s">
        <v>0</v>
      </c>
      <c r="B5" s="40"/>
      <c r="C5" s="40"/>
      <c r="D5" s="40"/>
    </row>
    <row r="6" spans="1:13" ht="15" customHeight="1">
      <c r="A6" s="58" t="s">
        <v>71</v>
      </c>
      <c r="B6" s="58"/>
      <c r="C6" s="58"/>
      <c r="D6" s="58"/>
    </row>
    <row r="7" spans="1:13" ht="15" customHeight="1">
      <c r="A7" s="42" t="s">
        <v>72</v>
      </c>
      <c r="B7" s="42"/>
      <c r="C7" s="42"/>
      <c r="D7" s="42"/>
    </row>
    <row r="8" spans="1:13" ht="15" customHeight="1">
      <c r="A8" s="59" t="s">
        <v>73</v>
      </c>
      <c r="B8" s="59"/>
      <c r="C8" s="59"/>
      <c r="D8" s="59"/>
      <c r="E8" s="22"/>
      <c r="F8" s="16"/>
      <c r="G8" s="16"/>
      <c r="H8" s="16"/>
    </row>
    <row r="9" spans="1:13" ht="15" customHeight="1">
      <c r="A9" s="59" t="s">
        <v>74</v>
      </c>
      <c r="B9" s="59"/>
      <c r="C9" s="59"/>
      <c r="D9" s="59"/>
      <c r="E9" s="22"/>
      <c r="F9" s="27"/>
      <c r="G9" s="27"/>
      <c r="H9" s="27"/>
    </row>
    <row r="10" spans="1:13" ht="15" customHeight="1">
      <c r="A10" s="59" t="s">
        <v>75</v>
      </c>
      <c r="B10" s="59"/>
      <c r="C10" s="59"/>
      <c r="D10" s="59"/>
    </row>
    <row r="11" spans="1:13" ht="15" customHeight="1"/>
    <row r="12" spans="1:13" ht="29">
      <c r="A12" s="12" t="s">
        <v>8</v>
      </c>
      <c r="B12" s="12" t="s">
        <v>9</v>
      </c>
      <c r="C12" s="7" t="s">
        <v>10</v>
      </c>
      <c r="D12" s="8" t="s">
        <v>11</v>
      </c>
      <c r="E12" s="7" t="s">
        <v>12</v>
      </c>
      <c r="F12" s="7" t="s">
        <v>13</v>
      </c>
      <c r="G12" s="7" t="s">
        <v>14</v>
      </c>
      <c r="H12" s="7" t="s">
        <v>15</v>
      </c>
      <c r="I12" s="12" t="s">
        <v>76</v>
      </c>
      <c r="J12" s="12" t="s">
        <v>77</v>
      </c>
      <c r="K12" s="10" t="s">
        <v>18</v>
      </c>
      <c r="L12" s="10" t="s">
        <v>19</v>
      </c>
      <c r="M12" s="12" t="s">
        <v>20</v>
      </c>
    </row>
    <row r="13" spans="1:13" ht="77.25" customHeight="1">
      <c r="A13" s="2" t="s">
        <v>21</v>
      </c>
      <c r="B13" s="2" t="s">
        <v>22</v>
      </c>
      <c r="C13" s="45" t="s">
        <v>78</v>
      </c>
      <c r="D13" s="60" t="s">
        <v>79</v>
      </c>
      <c r="E13" s="28" t="s">
        <v>25</v>
      </c>
      <c r="F13" s="4" t="s">
        <v>42</v>
      </c>
      <c r="G13" s="28">
        <v>2023</v>
      </c>
      <c r="H13" s="4">
        <v>1</v>
      </c>
      <c r="I13" s="6">
        <v>2142244</v>
      </c>
      <c r="J13" s="6">
        <v>-2142244</v>
      </c>
      <c r="K13" s="11">
        <v>0</v>
      </c>
      <c r="L13" s="11">
        <v>0</v>
      </c>
      <c r="M13" s="13">
        <v>-2142244</v>
      </c>
    </row>
    <row r="14" spans="1:13" ht="77.25" customHeight="1">
      <c r="A14" s="2" t="s">
        <v>21</v>
      </c>
      <c r="B14" s="2" t="s">
        <v>22</v>
      </c>
      <c r="C14" s="46"/>
      <c r="D14" s="60"/>
      <c r="E14" s="28" t="s">
        <v>25</v>
      </c>
      <c r="F14" s="4" t="s">
        <v>42</v>
      </c>
      <c r="G14" s="28">
        <v>2024</v>
      </c>
      <c r="H14" s="4">
        <v>1</v>
      </c>
      <c r="I14" s="6">
        <v>39199152.427184463</v>
      </c>
      <c r="J14" s="6">
        <v>-39199152.427184463</v>
      </c>
      <c r="K14" s="11">
        <v>5.7500000000000002E-2</v>
      </c>
      <c r="L14" s="11">
        <v>0.03</v>
      </c>
      <c r="M14" s="13">
        <v>-40375127</v>
      </c>
    </row>
    <row r="15" spans="1:13" ht="77.25" customHeight="1">
      <c r="A15" s="2" t="s">
        <v>21</v>
      </c>
      <c r="B15" s="2" t="s">
        <v>22</v>
      </c>
      <c r="C15" s="46"/>
      <c r="D15" s="60"/>
      <c r="E15" s="28" t="s">
        <v>25</v>
      </c>
      <c r="F15" s="4" t="s">
        <v>42</v>
      </c>
      <c r="G15" s="28">
        <v>2025</v>
      </c>
      <c r="H15" s="4">
        <v>1</v>
      </c>
      <c r="I15" s="6">
        <v>93182544.06635876</v>
      </c>
      <c r="J15" s="6">
        <v>-93182544.06635876</v>
      </c>
      <c r="K15" s="11">
        <v>5.7500000000000002E-2</v>
      </c>
      <c r="L15" s="11">
        <v>0.03</v>
      </c>
      <c r="M15" s="13">
        <v>-98857361</v>
      </c>
    </row>
    <row r="16" spans="1:13" ht="77.25" customHeight="1">
      <c r="A16" s="2" t="s">
        <v>21</v>
      </c>
      <c r="B16" s="2" t="s">
        <v>22</v>
      </c>
      <c r="C16" s="46"/>
      <c r="D16" s="60"/>
      <c r="E16" s="28" t="s">
        <v>25</v>
      </c>
      <c r="F16" s="4" t="s">
        <v>42</v>
      </c>
      <c r="G16" s="28">
        <v>2026</v>
      </c>
      <c r="H16" s="4">
        <v>1</v>
      </c>
      <c r="I16" s="6">
        <v>33868972.762638792</v>
      </c>
      <c r="J16" s="6">
        <v>-33868972.762638792</v>
      </c>
      <c r="K16" s="11">
        <v>5.7500000000000002E-2</v>
      </c>
      <c r="L16" s="11">
        <v>0.03</v>
      </c>
      <c r="M16" s="13">
        <v>-37009541</v>
      </c>
    </row>
    <row r="17" spans="1:13" ht="77.25" customHeight="1">
      <c r="A17" s="2" t="s">
        <v>21</v>
      </c>
      <c r="B17" s="2" t="s">
        <v>22</v>
      </c>
      <c r="C17" s="47"/>
      <c r="D17" s="60"/>
      <c r="E17" s="28" t="s">
        <v>25</v>
      </c>
      <c r="F17" s="4" t="s">
        <v>42</v>
      </c>
      <c r="G17" s="28">
        <v>2027</v>
      </c>
      <c r="H17" s="4">
        <v>1</v>
      </c>
      <c r="I17" s="6">
        <v>4906610.193482182</v>
      </c>
      <c r="J17" s="6">
        <v>-4906610.193482182</v>
      </c>
      <c r="K17" s="11">
        <v>5.7500000000000002E-2</v>
      </c>
      <c r="L17" s="11">
        <v>0.03</v>
      </c>
      <c r="M17" s="13">
        <v>-5522433</v>
      </c>
    </row>
    <row r="18" spans="1:13">
      <c r="A18" s="2" t="s">
        <v>21</v>
      </c>
      <c r="B18" s="2" t="s">
        <v>61</v>
      </c>
      <c r="C18" s="44" t="s">
        <v>27</v>
      </c>
      <c r="D18" s="44" t="s">
        <v>67</v>
      </c>
      <c r="E18" s="1" t="s">
        <v>25</v>
      </c>
      <c r="F18" s="2" t="s">
        <v>29</v>
      </c>
      <c r="G18" s="1">
        <v>2023</v>
      </c>
      <c r="H18" s="2">
        <v>1</v>
      </c>
      <c r="I18" s="3">
        <v>111632.28539999999</v>
      </c>
      <c r="J18" s="6">
        <f t="shared" ref="J18:J21" si="0">I18*H18*IF(A18="Cost",-1,1)</f>
        <v>-111632.28539999999</v>
      </c>
      <c r="K18" s="11">
        <v>5.7500000000000002E-2</v>
      </c>
      <c r="L18" s="11">
        <v>0</v>
      </c>
      <c r="M18" s="6">
        <v>-111632.28539999999</v>
      </c>
    </row>
    <row r="19" spans="1:13">
      <c r="A19" s="2" t="s">
        <v>21</v>
      </c>
      <c r="B19" s="2" t="s">
        <v>61</v>
      </c>
      <c r="C19" s="44"/>
      <c r="D19" s="44"/>
      <c r="E19" s="1" t="s">
        <v>25</v>
      </c>
      <c r="F19" s="2" t="s">
        <v>29</v>
      </c>
      <c r="G19" s="1">
        <v>2024</v>
      </c>
      <c r="H19" s="2">
        <v>1</v>
      </c>
      <c r="I19" s="3">
        <v>1111958.5637333333</v>
      </c>
      <c r="J19" s="6">
        <f t="shared" si="0"/>
        <v>-1111958.5637333333</v>
      </c>
      <c r="K19" s="11">
        <v>5.7500000000000002E-2</v>
      </c>
      <c r="L19" s="11">
        <v>0</v>
      </c>
      <c r="M19" s="6">
        <v>-1111958.5637333333</v>
      </c>
    </row>
    <row r="20" spans="1:13">
      <c r="A20" s="2" t="s">
        <v>21</v>
      </c>
      <c r="B20" s="2" t="s">
        <v>61</v>
      </c>
      <c r="C20" s="44"/>
      <c r="D20" s="44"/>
      <c r="E20" s="1" t="s">
        <v>25</v>
      </c>
      <c r="F20" s="2" t="s">
        <v>29</v>
      </c>
      <c r="G20" s="1">
        <v>2025</v>
      </c>
      <c r="H20" s="2">
        <v>1</v>
      </c>
      <c r="I20" s="3">
        <v>2073392.6067023335</v>
      </c>
      <c r="J20" s="6">
        <f t="shared" si="0"/>
        <v>-2073392.6067023335</v>
      </c>
      <c r="K20" s="11">
        <v>5.7500000000000002E-2</v>
      </c>
      <c r="L20" s="11">
        <v>0</v>
      </c>
      <c r="M20" s="6">
        <v>-2073392.6067023335</v>
      </c>
    </row>
    <row r="21" spans="1:13">
      <c r="A21" s="2" t="s">
        <v>21</v>
      </c>
      <c r="B21" s="2" t="s">
        <v>61</v>
      </c>
      <c r="C21" s="44"/>
      <c r="D21" s="44"/>
      <c r="E21" s="1" t="s">
        <v>25</v>
      </c>
      <c r="F21" s="2" t="s">
        <v>29</v>
      </c>
      <c r="G21" s="1">
        <v>2026</v>
      </c>
      <c r="H21" s="2">
        <v>1</v>
      </c>
      <c r="I21" s="3">
        <v>491614.40346533334</v>
      </c>
      <c r="J21" s="6">
        <f t="shared" si="0"/>
        <v>-491614.40346533334</v>
      </c>
      <c r="K21" s="11">
        <v>5.7500000000000002E-2</v>
      </c>
      <c r="L21" s="11">
        <v>0</v>
      </c>
      <c r="M21" s="6">
        <v>-491614.40346533334</v>
      </c>
    </row>
    <row r="22" spans="1:13">
      <c r="M22" s="14"/>
    </row>
  </sheetData>
  <mergeCells count="10">
    <mergeCell ref="C18:C21"/>
    <mergeCell ref="D18:D21"/>
    <mergeCell ref="A5:D5"/>
    <mergeCell ref="A6:D6"/>
    <mergeCell ref="A7:D7"/>
    <mergeCell ref="A8:D8"/>
    <mergeCell ref="A9:D9"/>
    <mergeCell ref="D13:D17"/>
    <mergeCell ref="C13:C17"/>
    <mergeCell ref="A10:D10"/>
  </mergeCells>
  <pageMargins left="0.25" right="0.25" top="0.3" bottom="0.3" header="0.3" footer="0.3"/>
  <pageSetup scale="33"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14ab40f3-767a-43a9-8b62-265d64c54f3b" ContentTypeId="0x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6F104D678EF2B94B9C35E5005AA0C69D" ma:contentTypeVersion="4" ma:contentTypeDescription="Create a new document." ma:contentTypeScope="" ma:versionID="ae758419d8320a56b2f0582871acada1">
  <xsd:schema xmlns:xsd="http://www.w3.org/2001/XMLSchema" xmlns:xs="http://www.w3.org/2001/XMLSchema" xmlns:p="http://schemas.microsoft.com/office/2006/metadata/properties" xmlns:ns2="35e6ce4d-d5f8-44ac-ac7a-3530ff49cd20" targetNamespace="http://schemas.microsoft.com/office/2006/metadata/properties" ma:root="true" ma:fieldsID="ae5a9f2d61056e6f56cc60b89baaa59d" ns2:_="">
    <xsd:import namespace="35e6ce4d-d5f8-44ac-ac7a-3530ff49cd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e6ce4d-d5f8-44ac-ac7a-3530ff49cd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7C7D0E-194E-4B8E-A365-2997BCF7B3A6}">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a03a5e5-ab78-4fae-81ca-376d1baf8674"/>
    <ds:schemaRef ds:uri="http://www.w3.org/XML/1998/namespace"/>
    <ds:schemaRef ds:uri="http://purl.org/dc/dcmitype/"/>
  </ds:schemaRefs>
</ds:datastoreItem>
</file>

<file path=customXml/itemProps2.xml><?xml version="1.0" encoding="utf-8"?>
<ds:datastoreItem xmlns:ds="http://schemas.openxmlformats.org/officeDocument/2006/customXml" ds:itemID="{1CD9D8ED-830F-4F53-806D-D6B18BE537A9}">
  <ds:schemaRefs>
    <ds:schemaRef ds:uri="http://schemas.microsoft.com/sharepoint/v3/contenttype/forms"/>
  </ds:schemaRefs>
</ds:datastoreItem>
</file>

<file path=customXml/itemProps3.xml><?xml version="1.0" encoding="utf-8"?>
<ds:datastoreItem xmlns:ds="http://schemas.openxmlformats.org/officeDocument/2006/customXml" ds:itemID="{85D2BB34-FEAB-4C36-A2E1-5152BBA96692}">
  <ds:schemaRefs>
    <ds:schemaRef ds:uri="Microsoft.SharePoint.Taxonomy.ContentTypeSync"/>
  </ds:schemaRefs>
</ds:datastoreItem>
</file>

<file path=customXml/itemProps4.xml><?xml version="1.0" encoding="utf-8"?>
<ds:datastoreItem xmlns:ds="http://schemas.openxmlformats.org/officeDocument/2006/customXml" ds:itemID="{92C8C9B2-8056-42FF-A4CC-EA8A5D944F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Scenario A</vt:lpstr>
      <vt:lpstr>Scenario B</vt:lpstr>
      <vt:lpstr>Scenario B.2</vt:lpstr>
      <vt:lpstr>'Scenario A'!Print_Area</vt:lpstr>
      <vt:lpstr>'Scenario 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Kreitner</dc:creator>
  <cp:keywords/>
  <dc:description/>
  <cp:lastModifiedBy>Aron Murdoch</cp:lastModifiedBy>
  <cp:revision/>
  <dcterms:created xsi:type="dcterms:W3CDTF">2021-11-21T17:57:44Z</dcterms:created>
  <dcterms:modified xsi:type="dcterms:W3CDTF">2024-11-06T22:37:34Z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2022-05-30T11:25:36Z</vt:lpwstr>
  </property>
  <property fmtid="{D5CDD505-2E9C-101B-9397-08002B2CF9AE}" pid="4" name="MSIP_Label_b1a6f161-e42b-4c47-8f69-f6a81e023e2d_Method">
    <vt:lpwstr>Privileged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11076a92-4443-4edb-9995-5fc274ff151b</vt:lpwstr>
  </property>
  <property fmtid="{D5CDD505-2E9C-101B-9397-08002B2CF9AE}" pid="8" name="MSIP_Label_b1a6f161-e42b-4c47-8f69-f6a81e023e2d_ContentBits">
    <vt:lpwstr>0</vt:lpwstr>
  </property>
  <property fmtid="{D5CDD505-2E9C-101B-9397-08002B2CF9AE}" pid="9" name="ContentTypeId">
    <vt:lpwstr>0x0101006F104D678EF2B94B9C35E5005AA0C69D</vt:lpwstr>
  </property>
  <property fmtid="{D5CDD505-2E9C-101B-9397-08002B2CF9AE}" pid="10" name="_AdHocReviewCycleID">
    <vt:i4>-717147559</vt:i4>
  </property>
  <property fmtid="{D5CDD505-2E9C-101B-9397-08002B2CF9AE}" pid="11" name="_NewReviewCycle">
    <vt:lpwstr/>
  </property>
  <property fmtid="{D5CDD505-2E9C-101B-9397-08002B2CF9AE}" pid="12" name="_EmailSubject">
    <vt:lpwstr>JT1.6 Attachment 1</vt:lpwstr>
  </property>
  <property fmtid="{D5CDD505-2E9C-101B-9397-08002B2CF9AE}" pid="13" name="_AuthorEmail">
    <vt:lpwstr>Aron.Murdoch@enbridge.com</vt:lpwstr>
  </property>
  <property fmtid="{D5CDD505-2E9C-101B-9397-08002B2CF9AE}" pid="14" name="_AuthorEmailDisplayName">
    <vt:lpwstr>Aron Murdoch</vt:lpwstr>
  </property>
  <property fmtid="{D5CDD505-2E9C-101B-9397-08002B2CF9AE}" pid="15" name="_PreviousAdHocReviewCycleID">
    <vt:i4>996329544</vt:i4>
  </property>
</Properties>
</file>