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EB-2024-0130 - Aylmer 2025-2029 Cost of Service/Settlement/"/>
    </mc:Choice>
  </mc:AlternateContent>
  <workbookProtection lockStructure="1"/>
  <bookViews>
    <workbookView xWindow="-105" yWindow="-105" windowWidth="19425" windowHeight="11505" activeTab="1"/>
  </bookViews>
  <sheets>
    <sheet name="Revenue Requirement" sheetId="9" r:id="rId1"/>
    <sheet name="Rate Base" sheetId="21" r:id="rId2"/>
    <sheet name="OM&amp;A" sheetId="8" r:id="rId3"/>
    <sheet name="WACC" sheetId="4" r:id="rId4"/>
    <sheet name="Income Taxes" sheetId="22" r:id="rId5"/>
    <sheet name="Revenue Deficiency" sheetId="24" r:id="rId6"/>
  </sheets>
  <externalReferences>
    <externalReference r:id="rId7"/>
  </externalReferences>
  <definedNames>
    <definedName name="_224510b5_7cbb_402d_b8a1_3d23451767f5" localSheetId="1">'Rate Base'!#REF!</definedName>
    <definedName name="BRIDGEYEAR">[1]Summary!$E$16</definedName>
    <definedName name="OEBFILE">[1]Summary!$E$6</definedName>
    <definedName name="_xlnm.Print_Area" localSheetId="4">'Income Taxes'!$A$1:$D$20</definedName>
    <definedName name="TESTYEAR">[1]Summary!$E$14</definedName>
    <definedName name="Z_AA99D3D3_DB59_480B_8D6F_8444093D81D7_.wvu.Cols" localSheetId="2" hidden="1">'OM&amp;A'!#REF!</definedName>
    <definedName name="Z_AA99D3D3_DB59_480B_8D6F_8444093D81D7_.wvu.Cols" localSheetId="0" hidden="1">'Revenue Requirement'!#REF!</definedName>
    <definedName name="Z_AA99D3D3_DB59_480B_8D6F_8444093D81D7_.wvu.Rows" localSheetId="2" hidden="1">'OM&amp;A'!#REF!,'OM&amp;A'!#REF!</definedName>
    <definedName name="Z_AA99D3D3_DB59_480B_8D6F_8444093D81D7_.wvu.Rows" localSheetId="0" hidden="1">'Revenue Requirement'!#REF!</definedName>
  </definedNames>
  <calcPr calcId="162913"/>
  <customWorkbookViews>
    <customWorkbookView name="Hesselink, Tim - Personal View" guid="{AA99D3D3-DB59-480B-8D6F-8444093D81D7}" mergeInterval="0" personalView="1" maximized="1" xWindow="-8" yWindow="-8" windowWidth="1936" windowHeight="1056" activeSheetId="2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E12" i="24"/>
  <c r="E6" i="24"/>
  <c r="E7" i="24"/>
  <c r="E9" i="24"/>
  <c r="E10" i="24"/>
  <c r="E5" i="24"/>
  <c r="B19" i="4" l="1"/>
  <c r="D11" i="22" l="1"/>
  <c r="D10" i="22"/>
  <c r="D9" i="22"/>
  <c r="G14" i="9"/>
  <c r="G5" i="9"/>
  <c r="N32" i="21"/>
  <c r="N31" i="21"/>
  <c r="N23" i="21"/>
  <c r="N21" i="21"/>
  <c r="N20" i="21"/>
  <c r="N19" i="21"/>
  <c r="N18" i="21"/>
  <c r="N16" i="21"/>
  <c r="N15" i="21"/>
  <c r="N14" i="21"/>
  <c r="N13" i="21"/>
  <c r="N12" i="21"/>
  <c r="N11" i="21"/>
  <c r="N7" i="21"/>
  <c r="N8" i="21"/>
  <c r="N9" i="21"/>
  <c r="N6" i="21"/>
  <c r="L19" i="21"/>
  <c r="L21" i="21" s="1"/>
  <c r="L7" i="21"/>
  <c r="L12" i="21"/>
  <c r="K12" i="21"/>
  <c r="K7" i="21"/>
  <c r="K32" i="21"/>
  <c r="L31" i="21"/>
  <c r="K31" i="21"/>
  <c r="K21" i="21"/>
  <c r="K34" i="21" l="1"/>
  <c r="N34" i="21"/>
  <c r="L32" i="21"/>
  <c r="L34" i="21" s="1"/>
  <c r="I6" i="9" l="1"/>
  <c r="G11" i="9"/>
  <c r="D7" i="22" s="1"/>
  <c r="I4" i="9"/>
  <c r="C4" i="9"/>
  <c r="G15" i="9" l="1"/>
  <c r="H15" i="9" s="1"/>
  <c r="G17" i="9"/>
  <c r="H17" i="9" s="1"/>
  <c r="G16" i="9"/>
  <c r="H16" i="9" s="1"/>
  <c r="H11" i="9"/>
  <c r="I11" i="9" s="1"/>
  <c r="H6" i="9"/>
  <c r="B29" i="4"/>
  <c r="E29" i="4" s="1"/>
  <c r="F28" i="4"/>
  <c r="C28" i="4"/>
  <c r="B24" i="4"/>
  <c r="B31" i="4" s="1"/>
  <c r="G9" i="9" l="1"/>
  <c r="G8" i="9"/>
  <c r="E24" i="4"/>
  <c r="E31" i="4" s="1"/>
  <c r="C5" i="9" l="1"/>
  <c r="H5" i="9" s="1"/>
  <c r="I5" i="9" s="1"/>
  <c r="I37" i="8" l="1"/>
  <c r="G4" i="9" s="1"/>
  <c r="H37" i="8"/>
  <c r="G37" i="8"/>
  <c r="F37" i="8"/>
  <c r="E37" i="8"/>
  <c r="D37" i="8"/>
  <c r="B4" i="9"/>
  <c r="H4" i="9" l="1"/>
  <c r="C8" i="21"/>
  <c r="C7" i="21"/>
  <c r="C13" i="21" l="1"/>
  <c r="C12" i="21"/>
  <c r="C11" i="21"/>
  <c r="C6" i="21"/>
  <c r="C14" i="21"/>
  <c r="C9" i="21" l="1"/>
  <c r="C15" i="21" s="1"/>
  <c r="C11" i="9" l="1"/>
  <c r="D11" i="9" s="1"/>
  <c r="E11" i="9" s="1"/>
  <c r="C12" i="24" l="1"/>
  <c r="D6" i="9" l="1"/>
  <c r="C7" i="24" l="1"/>
  <c r="E6" i="9"/>
  <c r="C6" i="24"/>
  <c r="C10" i="22"/>
  <c r="H21" i="21"/>
  <c r="H32" i="21"/>
  <c r="G32" i="21"/>
  <c r="F32" i="21"/>
  <c r="E32" i="21"/>
  <c r="D32" i="21"/>
  <c r="I31" i="21"/>
  <c r="C5" i="22" s="1"/>
  <c r="H31" i="21"/>
  <c r="G31" i="21"/>
  <c r="F31" i="21"/>
  <c r="E31" i="21"/>
  <c r="D31" i="21"/>
  <c r="G21" i="21"/>
  <c r="F21" i="21"/>
  <c r="E21" i="21"/>
  <c r="D21" i="21"/>
  <c r="C21" i="21"/>
  <c r="D14" i="21"/>
  <c r="E11" i="21" s="1"/>
  <c r="E14" i="21" s="1"/>
  <c r="F11" i="21" s="1"/>
  <c r="F14" i="21" s="1"/>
  <c r="G11" i="21" s="1"/>
  <c r="G14" i="21" s="1"/>
  <c r="D9" i="21"/>
  <c r="H11" i="21" l="1"/>
  <c r="H14" i="21" s="1"/>
  <c r="I11" i="21" s="1"/>
  <c r="I14" i="21" s="1"/>
  <c r="K11" i="21"/>
  <c r="K14" i="21" s="1"/>
  <c r="L11" i="21" s="1"/>
  <c r="L14" i="21" s="1"/>
  <c r="D5" i="22"/>
  <c r="D6" i="22" s="1"/>
  <c r="C6" i="22"/>
  <c r="D34" i="21"/>
  <c r="G34" i="21"/>
  <c r="F34" i="21"/>
  <c r="C23" i="21"/>
  <c r="D16" i="21"/>
  <c r="E34" i="21"/>
  <c r="H34" i="21"/>
  <c r="E6" i="21"/>
  <c r="E9" i="21" s="1"/>
  <c r="F6" i="21" s="1"/>
  <c r="D15" i="21"/>
  <c r="D23" i="21" s="1"/>
  <c r="C16" i="21"/>
  <c r="D24" i="21" l="1"/>
  <c r="D25" i="21" s="1"/>
  <c r="E15" i="21"/>
  <c r="E23" i="21" s="1"/>
  <c r="E16" i="21"/>
  <c r="F9" i="21"/>
  <c r="E24" i="21"/>
  <c r="E25" i="21" s="1"/>
  <c r="G6" i="21" l="1"/>
  <c r="F16" i="21"/>
  <c r="F15" i="21"/>
  <c r="F23" i="21" s="1"/>
  <c r="F24" i="21" s="1"/>
  <c r="F25" i="21" s="1"/>
  <c r="G9" i="21" l="1"/>
  <c r="G15" i="21" l="1"/>
  <c r="G23" i="21" s="1"/>
  <c r="G24" i="21" s="1"/>
  <c r="G25" i="21" s="1"/>
  <c r="K6" i="21"/>
  <c r="G16" i="21"/>
  <c r="H6" i="21"/>
  <c r="K9" i="21" l="1"/>
  <c r="K15" i="21" s="1"/>
  <c r="K23" i="21" s="1"/>
  <c r="K24" i="21" s="1"/>
  <c r="K25" i="21" s="1"/>
  <c r="H9" i="21"/>
  <c r="H15" i="21" s="1"/>
  <c r="H23" i="21" s="1"/>
  <c r="H24" i="21" s="1"/>
  <c r="H25" i="21" s="1"/>
  <c r="L6" i="21" l="1"/>
  <c r="K16" i="21"/>
  <c r="I6" i="21"/>
  <c r="H16" i="21"/>
  <c r="L9" i="21" l="1"/>
  <c r="L16" i="21" s="1"/>
  <c r="L15" i="21"/>
  <c r="L23" i="21" s="1"/>
  <c r="L24" i="21" s="1"/>
  <c r="L25" i="21" s="1"/>
  <c r="I9" i="21"/>
  <c r="I16" i="21" s="1"/>
  <c r="I15" i="21" l="1"/>
  <c r="D4" i="9" l="1"/>
  <c r="E4" i="9" l="1"/>
  <c r="I19" i="21"/>
  <c r="C5" i="24"/>
  <c r="C9" i="22"/>
  <c r="I32" i="21" l="1"/>
  <c r="I34" i="21" s="1"/>
  <c r="I21" i="21"/>
  <c r="B14" i="9"/>
  <c r="B7" i="9"/>
  <c r="B5" i="9"/>
  <c r="D5" i="9" s="1"/>
  <c r="E5" i="9" l="1"/>
  <c r="I23" i="21"/>
  <c r="I24" i="21" s="1"/>
  <c r="I25" i="21" s="1"/>
  <c r="B8" i="9"/>
  <c r="B9" i="9"/>
  <c r="C14" i="9" l="1"/>
  <c r="B10" i="9"/>
  <c r="D14" i="9" l="1"/>
  <c r="E14" i="9" s="1"/>
  <c r="H14" i="9"/>
  <c r="I14" i="9" s="1"/>
  <c r="B4" i="4"/>
  <c r="B12" i="9"/>
  <c r="C27" i="4" l="1"/>
  <c r="C23" i="4"/>
  <c r="F23" i="4" s="1"/>
  <c r="C22" i="4"/>
  <c r="C12" i="4"/>
  <c r="C8" i="4"/>
  <c r="C7" i="4"/>
  <c r="F22" i="4" l="1"/>
  <c r="F24" i="4" s="1"/>
  <c r="C24" i="4"/>
  <c r="C29" i="4"/>
  <c r="F27" i="4"/>
  <c r="F29" i="4" s="1"/>
  <c r="C13" i="4"/>
  <c r="C31" i="4" l="1"/>
  <c r="F31" i="4"/>
  <c r="C14" i="4"/>
  <c r="C9" i="4"/>
  <c r="F13" i="4"/>
  <c r="F7" i="4"/>
  <c r="F8" i="4"/>
  <c r="F12" i="4"/>
  <c r="B9" i="4"/>
  <c r="B14" i="4"/>
  <c r="E14" i="4" s="1"/>
  <c r="C17" i="9" l="1"/>
  <c r="C16" i="4"/>
  <c r="F9" i="4"/>
  <c r="F14" i="4"/>
  <c r="E9" i="4"/>
  <c r="B16" i="4"/>
  <c r="C9" i="9" l="1"/>
  <c r="D17" i="9"/>
  <c r="E16" i="4"/>
  <c r="C16" i="9"/>
  <c r="F16" i="4"/>
  <c r="C10" i="24" l="1"/>
  <c r="H9" i="9"/>
  <c r="I9" i="9" s="1"/>
  <c r="D9" i="9"/>
  <c r="E9" i="9" s="1"/>
  <c r="C8" i="9"/>
  <c r="C11" i="22" s="1"/>
  <c r="D16" i="9"/>
  <c r="C15" i="9"/>
  <c r="D15" i="9" s="1"/>
  <c r="C7" i="22" l="1"/>
  <c r="D8" i="9"/>
  <c r="H8" i="9"/>
  <c r="I8" i="9" s="1"/>
  <c r="C9" i="24"/>
  <c r="C13" i="22"/>
  <c r="E8" i="9" l="1"/>
  <c r="D13" i="22"/>
  <c r="C16" i="22"/>
  <c r="C15" i="22"/>
  <c r="D15" i="22" l="1"/>
  <c r="D16" i="22"/>
  <c r="C17" i="22"/>
  <c r="D17" i="22" l="1"/>
  <c r="C18" i="22"/>
  <c r="C20" i="22" s="1"/>
  <c r="D18" i="22" l="1"/>
  <c r="D20" i="22" s="1"/>
  <c r="G7" i="9" s="1"/>
  <c r="C7" i="9"/>
  <c r="G10" i="9" l="1"/>
  <c r="G12" i="9" s="1"/>
  <c r="E8" i="24"/>
  <c r="E11" i="24" s="1"/>
  <c r="E13" i="24" s="1"/>
  <c r="E15" i="24" s="1"/>
  <c r="D7" i="9"/>
  <c r="H7" i="9"/>
  <c r="I7" i="9" s="1"/>
  <c r="C8" i="24"/>
  <c r="C11" i="24" s="1"/>
  <c r="C13" i="24" s="1"/>
  <c r="C15" i="24" s="1"/>
  <c r="E7" i="9"/>
  <c r="C10" i="9"/>
  <c r="C12" i="9" l="1"/>
  <c r="H10" i="9"/>
  <c r="I10" i="9" s="1"/>
  <c r="D10" i="9"/>
  <c r="E10" i="9" s="1"/>
  <c r="D12" i="9" l="1"/>
  <c r="E12" i="9" s="1"/>
  <c r="H12" i="9"/>
  <c r="I12" i="9" s="1"/>
</calcChain>
</file>

<file path=xl/sharedStrings.xml><?xml version="1.0" encoding="utf-8"?>
<sst xmlns="http://schemas.openxmlformats.org/spreadsheetml/2006/main" count="213" uniqueCount="132">
  <si>
    <t>Property Taxes</t>
  </si>
  <si>
    <t>Revenue Offsets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</si>
  <si>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</si>
  <si>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</si>
  <si>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</si>
  <si>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</si>
  <si>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</si>
  <si>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</si>
  <si>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</si>
  <si>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</si>
  <si>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</si>
  <si>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</si>
  <si>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</si>
  <si>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Description</t>
  </si>
  <si>
    <t>2020T - Last Rebasing Year</t>
  </si>
  <si>
    <t>2020 Actuals</t>
  </si>
  <si>
    <t>2021 Actuals</t>
  </si>
  <si>
    <t>2022 Actuals</t>
  </si>
  <si>
    <t>2023 Actuals</t>
  </si>
  <si>
    <t>2024 Bridge Year</t>
  </si>
  <si>
    <t>2025 Test Year</t>
  </si>
  <si>
    <t>Reporting Basis</t>
  </si>
  <si>
    <t>MIFRS</t>
  </si>
  <si>
    <t>2020T</t>
  </si>
  <si>
    <t>Employee Salaries</t>
  </si>
  <si>
    <t>Employee Benefits</t>
  </si>
  <si>
    <t>Contractors and Consultants</t>
  </si>
  <si>
    <t>Audit Fees</t>
  </si>
  <si>
    <t>Regulatory</t>
  </si>
  <si>
    <t>Legal</t>
  </si>
  <si>
    <t>Advertising</t>
  </si>
  <si>
    <t>Office &amp; Postage</t>
  </si>
  <si>
    <t>Dues &amp; Fees</t>
  </si>
  <si>
    <t>Bad Debts</t>
  </si>
  <si>
    <t>Bank Fees</t>
  </si>
  <si>
    <t>Travel &amp; Entertainment</t>
  </si>
  <si>
    <t>Training</t>
  </si>
  <si>
    <t>Corporate Shared Services</t>
  </si>
  <si>
    <t>Insurance</t>
  </si>
  <si>
    <t>Finance Costs</t>
  </si>
  <si>
    <t>Other</t>
  </si>
  <si>
    <t>Driver</t>
  </si>
  <si>
    <t>2025T</t>
  </si>
  <si>
    <t>OM&amp;A</t>
  </si>
  <si>
    <t>Depreciation</t>
  </si>
  <si>
    <t>Income Taxes</t>
  </si>
  <si>
    <t>Return on Equity</t>
  </si>
  <si>
    <t>Rate Base (Mid-Year)</t>
  </si>
  <si>
    <t>Weighted Average Cost of Capital</t>
  </si>
  <si>
    <t>A</t>
  </si>
  <si>
    <t>B</t>
  </si>
  <si>
    <t>C</t>
  </si>
  <si>
    <t>D</t>
  </si>
  <si>
    <t>E</t>
  </si>
  <si>
    <t>F</t>
  </si>
  <si>
    <t>G</t>
  </si>
  <si>
    <t>H</t>
  </si>
  <si>
    <t>2020 OEB Approved</t>
  </si>
  <si>
    <t>Service Revenue Requirement</t>
  </si>
  <si>
    <t>2020A</t>
  </si>
  <si>
    <t>2021A</t>
  </si>
  <si>
    <t>2022A</t>
  </si>
  <si>
    <t>2023A</t>
  </si>
  <si>
    <t>Cost of Capital</t>
  </si>
  <si>
    <t>Capital Recoveries</t>
  </si>
  <si>
    <t>Operating Recoveries &amp; Burden</t>
  </si>
  <si>
    <t>Equipment, Rent &amp; Utilities</t>
  </si>
  <si>
    <t>Telecom &amp; IT Costs</t>
  </si>
  <si>
    <t>Donations</t>
  </si>
  <si>
    <t>LEAP</t>
  </si>
  <si>
    <t>Accumulated Depreciation</t>
  </si>
  <si>
    <t>Closing Balance</t>
  </si>
  <si>
    <t>Category</t>
  </si>
  <si>
    <t>2024B</t>
  </si>
  <si>
    <t>Gross Asset Value</t>
  </si>
  <si>
    <t>Opening Balance</t>
  </si>
  <si>
    <t>Addition</t>
  </si>
  <si>
    <t>Disposal</t>
  </si>
  <si>
    <t>Mid-year Net Asset Value</t>
  </si>
  <si>
    <t>Closing Net Asset Value</t>
  </si>
  <si>
    <t>Working Capital Allowance</t>
  </si>
  <si>
    <t>Cost of Gas (Non-Distribution)</t>
  </si>
  <si>
    <t>Rate</t>
  </si>
  <si>
    <t>Total WCA</t>
  </si>
  <si>
    <t>Total Rate Base</t>
  </si>
  <si>
    <t>YOY Variance ($)</t>
  </si>
  <si>
    <t>YOY Variance (%)</t>
  </si>
  <si>
    <t>less: Commodity Cost</t>
  </si>
  <si>
    <t>Distribution Revenue</t>
  </si>
  <si>
    <t>add: Other Revenue</t>
  </si>
  <si>
    <t>less: Distribution OM&amp;A</t>
  </si>
  <si>
    <t>less: Property Taxes</t>
  </si>
  <si>
    <t>less: Interest Expense</t>
  </si>
  <si>
    <t>less: CCA</t>
  </si>
  <si>
    <t xml:space="preserve"> Taxable Income </t>
  </si>
  <si>
    <t xml:space="preserve"> Income Taxes Payable </t>
  </si>
  <si>
    <t xml:space="preserve"> Federal Income Tax @ 15% </t>
  </si>
  <si>
    <t xml:space="preserve"> Provincial Income Tax @ 11.5%</t>
  </si>
  <si>
    <t xml:space="preserve"> Income Tax Expense </t>
  </si>
  <si>
    <t>Effective Tax Rate</t>
  </si>
  <si>
    <t>Commodity &amp; Transportation Revenue</t>
  </si>
  <si>
    <t>Distribution Revenue Requirement</t>
  </si>
  <si>
    <t>Revenue Deficiency</t>
  </si>
  <si>
    <t>Grossed up Amount to be included in Revenue Requirement</t>
  </si>
  <si>
    <t>Variance (%)</t>
  </si>
  <si>
    <t>Variance ($)</t>
  </si>
  <si>
    <t>Expense Category</t>
  </si>
  <si>
    <t>Cost of Debt</t>
  </si>
  <si>
    <t>* Amounts do not include Transportation revenue</t>
  </si>
  <si>
    <t>Distribution Revenue at Current Rates (*)</t>
  </si>
  <si>
    <t>* ENGLP_2024-0130_Rate Model - tab B1.3 Current Rev From Rates</t>
  </si>
  <si>
    <t>USoA Account</t>
  </si>
  <si>
    <t>Ontario Affiliate Shared Services</t>
  </si>
  <si>
    <t>Automotive &amp; Other Maintenance</t>
  </si>
  <si>
    <t>EB-2024-0130 Revenue Requirement</t>
  </si>
  <si>
    <t>Calculation of Income Taxes</t>
  </si>
  <si>
    <t>OM&amp;A ($000's)</t>
  </si>
  <si>
    <t>Rate Base ($000's)</t>
  </si>
  <si>
    <t>Summary &amp; Comparison vs 2020T</t>
  </si>
  <si>
    <t>Rate Base - Applied</t>
  </si>
  <si>
    <t>Rate Base - Settlement</t>
  </si>
  <si>
    <t>2025 Test - Applied</t>
  </si>
  <si>
    <t>2025 Test - Settlement</t>
  </si>
  <si>
    <t>2025T - Applied</t>
  </si>
  <si>
    <t>2025T - Settlement</t>
  </si>
  <si>
    <t>Settlement Adjustment</t>
  </si>
  <si>
    <t>Applied</t>
  </si>
  <si>
    <t>I</t>
  </si>
  <si>
    <t>J</t>
  </si>
  <si>
    <t>Settlement</t>
  </si>
  <si>
    <t>Variance vs. Applied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</si>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</sst>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_);[Red]\(&quot;$&quot;#,##0\);&quot;$&quot;\ \-"/>
    <numFmt numFmtId="166" formatCode="0.0%"/>
    <numFmt numFmtId="167" formatCode="_(* #,##0_);_(* \(#,##0\);_(* &quot;-&quot;??_);_(@_)"/>
    <numFmt numFmtId="168" formatCode="_(* #,##0.0_);_(* \(#,##0.0\);_(* &quot;-&quot;??_);_(@_)"/>
    <numFmt numFmtId="169" formatCode="&quot;$&quot;#,##0"/>
  </numFmts>
  <fonts count="3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0" tint="-0.499984740745262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scheme val="minor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Times New Roman"/>
      <family val="1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32CF07"/>
      <name val="Aptos Narrow"/>
      <family val="2"/>
      <scheme val="minor"/>
    </font>
    <font>
      <i/>
      <sz val="10"/>
      <name val="Arial"/>
      <family val="2"/>
    </font>
    <font>
      <i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ptos Narrow"/>
      <scheme val="minor"/>
    </font>
    <font>
      <b/>
      <i/>
      <sz val="9"/>
      <color rgb="FFFF0000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ptos Narrow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theme="1"/>
        <bgColor theme="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4" fillId="2" borderId="2" applyNumberFormat="0">
      <alignment horizontal="center" vertical="center" wrapText="1"/>
    </xf>
    <xf numFmtId="0" fontId="6" fillId="0" borderId="0" applyBorder="0">
      <alignment horizontal="center"/>
    </xf>
    <xf numFmtId="0" fontId="6" fillId="0" borderId="0" applyNumberFormat="0" applyFill="0" applyBorder="0" applyProtection="0"/>
    <xf numFmtId="0" fontId="8" fillId="4" borderId="2" applyNumberFormat="0" applyAlignment="0" applyProtection="0"/>
    <xf numFmtId="0" fontId="7" fillId="3" borderId="2" applyNumberFormat="0"/>
    <xf numFmtId="3" fontId="3" fillId="0" borderId="3" applyFont="0" applyFill="0" applyAlignment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3" fontId="16" fillId="0" borderId="0" applyFill="0" applyBorder="0" applyProtection="0"/>
    <xf numFmtId="0" fontId="16" fillId="0" borderId="0"/>
    <xf numFmtId="0" fontId="22" fillId="0" borderId="0" applyNumberFormat="0" applyBorder="0" applyAlignment="0"/>
    <xf numFmtId="3" fontId="3" fillId="0" borderId="3" applyFont="0" applyFill="0" applyAlignment="0"/>
    <xf numFmtId="0" fontId="9" fillId="0" borderId="0"/>
    <xf numFmtId="44" fontId="3" fillId="0" borderId="0" applyFont="0" applyFill="0" applyBorder="0" applyAlignment="0" applyProtection="0"/>
  </cellStyleXfs>
  <cellXfs count="21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0" fontId="0" fillId="0" borderId="0" xfId="10" applyNumberFormat="1" applyFont="1" applyFill="1" applyBorder="1" applyProtection="1"/>
    <xf numFmtId="165" fontId="0" fillId="0" borderId="0" xfId="9" applyNumberFormat="1" applyFont="1" applyFill="1" applyBorder="1" applyProtection="1"/>
    <xf numFmtId="10" fontId="0" fillId="0" borderId="1" xfId="10" applyNumberFormat="1" applyFont="1" applyFill="1" applyBorder="1" applyProtection="1"/>
    <xf numFmtId="165" fontId="0" fillId="0" borderId="1" xfId="9" applyNumberFormat="1" applyFont="1" applyFill="1" applyBorder="1" applyProtection="1"/>
    <xf numFmtId="10" fontId="0" fillId="0" borderId="5" xfId="10" applyNumberFormat="1" applyFont="1" applyBorder="1" applyProtection="1"/>
    <xf numFmtId="10" fontId="0" fillId="0" borderId="0" xfId="10" applyNumberFormat="1" applyFont="1" applyBorder="1" applyProtection="1"/>
    <xf numFmtId="166" fontId="0" fillId="0" borderId="0" xfId="10" applyNumberFormat="1" applyFont="1" applyBorder="1" applyProtection="1"/>
    <xf numFmtId="165" fontId="0" fillId="0" borderId="5" xfId="9" applyNumberFormat="1" applyFont="1" applyFill="1" applyBorder="1" applyProtection="1"/>
    <xf numFmtId="10" fontId="0" fillId="0" borderId="4" xfId="0" applyNumberFormat="1" applyBorder="1"/>
    <xf numFmtId="165" fontId="0" fillId="0" borderId="4" xfId="9" applyNumberFormat="1" applyFont="1" applyFill="1" applyBorder="1" applyProtection="1"/>
    <xf numFmtId="43" fontId="0" fillId="0" borderId="0" xfId="0" applyNumberFormat="1"/>
    <xf numFmtId="0" fontId="10" fillId="0" borderId="2" xfId="11" applyFont="1" applyBorder="1" applyAlignment="1">
      <alignment horizontal="center" vertical="center" wrapText="1"/>
    </xf>
    <xf numFmtId="0" fontId="15" fillId="0" borderId="2" xfId="11" applyFont="1" applyBorder="1" applyAlignment="1">
      <alignment horizontal="center" vertical="center" wrapText="1"/>
    </xf>
    <xf numFmtId="0" fontId="9" fillId="0" borderId="13" xfId="11" applyFont="1" applyBorder="1" applyAlignment="1">
      <alignment vertical="center" wrapText="1"/>
    </xf>
    <xf numFmtId="5" fontId="12" fillId="0" borderId="13" xfId="12" applyNumberFormat="1" applyFont="1" applyBorder="1" applyAlignment="1">
      <alignment horizontal="center"/>
    </xf>
    <xf numFmtId="166" fontId="12" fillId="0" borderId="13" xfId="10" applyNumberFormat="1" applyFont="1" applyBorder="1" applyAlignment="1">
      <alignment horizontal="center"/>
    </xf>
    <xf numFmtId="5" fontId="17" fillId="0" borderId="13" xfId="12" applyNumberFormat="1" applyFont="1" applyBorder="1" applyAlignment="1">
      <alignment horizontal="center"/>
    </xf>
    <xf numFmtId="166" fontId="17" fillId="0" borderId="13" xfId="10" applyNumberFormat="1" applyFont="1" applyBorder="1" applyAlignment="1">
      <alignment horizontal="center"/>
    </xf>
    <xf numFmtId="0" fontId="10" fillId="0" borderId="9" xfId="11" applyFont="1" applyBorder="1" applyAlignment="1">
      <alignment vertical="center" wrapText="1"/>
    </xf>
    <xf numFmtId="5" fontId="18" fillId="0" borderId="9" xfId="12" applyNumberFormat="1" applyFont="1" applyBorder="1" applyAlignment="1">
      <alignment horizontal="center"/>
    </xf>
    <xf numFmtId="166" fontId="18" fillId="0" borderId="9" xfId="10" applyNumberFormat="1" applyFont="1" applyBorder="1" applyAlignment="1">
      <alignment horizontal="center"/>
    </xf>
    <xf numFmtId="0" fontId="10" fillId="0" borderId="0" xfId="11" applyFont="1" applyBorder="1" applyAlignment="1">
      <alignment vertical="center" wrapText="1"/>
    </xf>
    <xf numFmtId="5" fontId="18" fillId="0" borderId="0" xfId="12" applyNumberFormat="1" applyFont="1" applyBorder="1" applyAlignment="1">
      <alignment horizontal="center"/>
    </xf>
    <xf numFmtId="166" fontId="18" fillId="0" borderId="0" xfId="10" applyNumberFormat="1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/>
    <xf numFmtId="0" fontId="12" fillId="0" borderId="1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169" fontId="12" fillId="0" borderId="13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169" fontId="12" fillId="0" borderId="9" xfId="0" applyNumberFormat="1" applyFont="1" applyBorder="1" applyAlignment="1">
      <alignment horizontal="center" vertical="center"/>
    </xf>
    <xf numFmtId="169" fontId="12" fillId="0" borderId="1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9" fontId="18" fillId="0" borderId="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/>
    </xf>
    <xf numFmtId="166" fontId="12" fillId="0" borderId="13" xfId="1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169" fontId="18" fillId="0" borderId="1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169" fontId="18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/>
    </xf>
    <xf numFmtId="169" fontId="24" fillId="0" borderId="9" xfId="0" applyNumberFormat="1" applyFont="1" applyBorder="1" applyAlignment="1">
      <alignment horizontal="center" vertical="center"/>
    </xf>
    <xf numFmtId="9" fontId="24" fillId="0" borderId="9" xfId="1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7" fontId="12" fillId="0" borderId="0" xfId="1" applyNumberFormat="1" applyFont="1" applyAlignment="1">
      <alignment horizontal="left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/>
    </xf>
    <xf numFmtId="166" fontId="12" fillId="0" borderId="9" xfId="10" applyNumberFormat="1" applyFont="1" applyBorder="1" applyAlignment="1">
      <alignment horizontal="center" vertical="center"/>
    </xf>
    <xf numFmtId="7" fontId="0" fillId="0" borderId="0" xfId="0" applyNumberFormat="1"/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indent="1"/>
    </xf>
    <xf numFmtId="0" fontId="25" fillId="0" borderId="1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0" fillId="0" borderId="18" xfId="11" applyFont="1" applyBorder="1" applyAlignment="1">
      <alignment vertical="center" wrapText="1"/>
    </xf>
    <xf numFmtId="0" fontId="23" fillId="0" borderId="14" xfId="11" applyFont="1" applyBorder="1" applyAlignment="1">
      <alignment vertical="center" wrapText="1"/>
    </xf>
    <xf numFmtId="5" fontId="24" fillId="0" borderId="12" xfId="12" applyNumberFormat="1" applyFont="1" applyBorder="1" applyAlignment="1">
      <alignment horizontal="center"/>
    </xf>
    <xf numFmtId="0" fontId="2" fillId="0" borderId="0" xfId="0" applyFont="1"/>
    <xf numFmtId="0" fontId="27" fillId="0" borderId="2" xfId="0" applyFont="1" applyBorder="1"/>
    <xf numFmtId="0" fontId="19" fillId="0" borderId="0" xfId="0" applyFont="1"/>
    <xf numFmtId="0" fontId="19" fillId="0" borderId="2" xfId="0" applyFont="1" applyBorder="1"/>
    <xf numFmtId="10" fontId="19" fillId="0" borderId="2" xfId="10" applyNumberFormat="1" applyFont="1" applyBorder="1" applyAlignment="1">
      <alignment horizontal="center"/>
    </xf>
    <xf numFmtId="10" fontId="19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0" fontId="28" fillId="5" borderId="2" xfId="10" applyNumberFormat="1" applyFont="1" applyFill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0" fontId="28" fillId="0" borderId="0" xfId="0" applyFont="1"/>
    <xf numFmtId="5" fontId="19" fillId="0" borderId="0" xfId="0" applyNumberFormat="1" applyFont="1" applyAlignment="1">
      <alignment horizontal="center"/>
    </xf>
    <xf numFmtId="5" fontId="12" fillId="0" borderId="2" xfId="0" applyNumberFormat="1" applyFont="1" applyBorder="1" applyAlignment="1">
      <alignment horizontal="center" vertical="center"/>
    </xf>
    <xf numFmtId="5" fontId="12" fillId="0" borderId="2" xfId="1" applyNumberFormat="1" applyFont="1" applyBorder="1" applyAlignment="1">
      <alignment horizontal="center" vertical="center"/>
    </xf>
    <xf numFmtId="5" fontId="12" fillId="0" borderId="2" xfId="12" applyNumberFormat="1" applyFont="1" applyBorder="1" applyAlignment="1">
      <alignment horizontal="center" vertical="center"/>
    </xf>
    <xf numFmtId="166" fontId="12" fillId="0" borderId="2" xfId="10" applyNumberFormat="1" applyFont="1" applyBorder="1" applyAlignment="1">
      <alignment horizontal="center" vertical="center"/>
    </xf>
    <xf numFmtId="0" fontId="29" fillId="0" borderId="14" xfId="11" applyFont="1" applyBorder="1" applyAlignment="1">
      <alignment vertical="center" wrapText="1"/>
    </xf>
    <xf numFmtId="5" fontId="0" fillId="0" borderId="0" xfId="0" applyNumberFormat="1"/>
    <xf numFmtId="9" fontId="24" fillId="0" borderId="12" xfId="10" applyFont="1" applyBorder="1" applyAlignment="1">
      <alignment horizontal="center"/>
    </xf>
    <xf numFmtId="0" fontId="10" fillId="0" borderId="9" xfId="1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13" xfId="11" applyFont="1" applyBorder="1" applyAlignment="1">
      <alignment horizontal="center" vertical="center" wrapText="1"/>
    </xf>
    <xf numFmtId="0" fontId="23" fillId="0" borderId="14" xfId="11" applyFont="1" applyBorder="1" applyAlignment="1">
      <alignment horizontal="center" vertical="center" wrapText="1"/>
    </xf>
    <xf numFmtId="0" fontId="10" fillId="0" borderId="18" xfId="11" applyFont="1" applyBorder="1" applyAlignment="1">
      <alignment horizontal="center" vertical="center" wrapText="1"/>
    </xf>
    <xf numFmtId="0" fontId="29" fillId="0" borderId="14" xfId="11" applyFont="1" applyBorder="1" applyAlignment="1">
      <alignment horizontal="center" vertical="center" wrapText="1"/>
    </xf>
    <xf numFmtId="10" fontId="0" fillId="0" borderId="0" xfId="10" applyNumberFormat="1" applyFont="1" applyFill="1" applyBorder="1" applyAlignment="1" applyProtection="1">
      <alignment horizontal="center"/>
    </xf>
    <xf numFmtId="10" fontId="0" fillId="0" borderId="1" xfId="10" applyNumberFormat="1" applyFont="1" applyFill="1" applyBorder="1" applyAlignment="1" applyProtection="1">
      <alignment horizontal="center"/>
    </xf>
    <xf numFmtId="10" fontId="0" fillId="0" borderId="5" xfId="10" applyNumberFormat="1" applyFont="1" applyFill="1" applyBorder="1" applyAlignment="1" applyProtection="1">
      <alignment horizontal="center"/>
    </xf>
    <xf numFmtId="10" fontId="0" fillId="0" borderId="4" xfId="10" applyNumberFormat="1" applyFont="1" applyFill="1" applyBorder="1" applyAlignment="1" applyProtection="1">
      <alignment horizontal="center"/>
    </xf>
    <xf numFmtId="9" fontId="18" fillId="0" borderId="9" xfId="10" applyFont="1" applyBorder="1" applyAlignment="1">
      <alignment horizontal="center"/>
    </xf>
    <xf numFmtId="10" fontId="12" fillId="0" borderId="2" xfId="10" applyNumberFormat="1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3" fontId="10" fillId="0" borderId="19" xfId="0" applyNumberFormat="1" applyFont="1" applyFill="1" applyBorder="1" applyProtection="1">
      <protection locked="0"/>
    </xf>
    <xf numFmtId="168" fontId="10" fillId="0" borderId="19" xfId="1" applyNumberFormat="1" applyFont="1" applyFill="1" applyBorder="1" applyProtection="1"/>
    <xf numFmtId="0" fontId="1" fillId="0" borderId="0" xfId="0" applyFont="1" applyFill="1" applyProtection="1">
      <protection locked="0"/>
    </xf>
    <xf numFmtId="3" fontId="1" fillId="0" borderId="0" xfId="0" applyNumberFormat="1" applyFont="1" applyFill="1" applyProtection="1">
      <protection locked="0"/>
    </xf>
    <xf numFmtId="3" fontId="10" fillId="0" borderId="15" xfId="0" applyNumberFormat="1" applyFont="1" applyFill="1" applyBorder="1" applyProtection="1">
      <protection locked="0"/>
    </xf>
    <xf numFmtId="168" fontId="1" fillId="0" borderId="2" xfId="1" applyNumberFormat="1" applyFont="1" applyFill="1" applyBorder="1" applyProtection="1">
      <protection locked="0"/>
    </xf>
    <xf numFmtId="168" fontId="1" fillId="0" borderId="12" xfId="1" applyNumberFormat="1" applyFont="1" applyFill="1" applyBorder="1" applyProtection="1">
      <protection locked="0"/>
    </xf>
    <xf numFmtId="3" fontId="10" fillId="0" borderId="15" xfId="0" applyNumberFormat="1" applyFont="1" applyFill="1" applyBorder="1" applyAlignment="1" applyProtection="1">
      <alignment wrapText="1"/>
      <protection locked="0"/>
    </xf>
    <xf numFmtId="3" fontId="15" fillId="0" borderId="0" xfId="0" applyNumberFormat="1" applyFont="1" applyFill="1" applyAlignment="1" applyProtection="1">
      <alignment horizontal="left" vertical="top"/>
      <protection locked="0"/>
    </xf>
    <xf numFmtId="3" fontId="9" fillId="0" borderId="0" xfId="0" applyNumberFormat="1" applyFont="1" applyFill="1" applyAlignment="1" applyProtection="1">
      <alignment horizontal="left" vertical="top" wrapText="1"/>
      <protection locked="0"/>
    </xf>
    <xf numFmtId="3" fontId="10" fillId="0" borderId="0" xfId="0" applyNumberFormat="1" applyFont="1" applyFill="1" applyAlignment="1" applyProtection="1">
      <alignment horizontal="left" wrapText="1"/>
      <protection locked="0"/>
    </xf>
    <xf numFmtId="3" fontId="10" fillId="0" borderId="0" xfId="0" applyNumberFormat="1" applyFont="1" applyFill="1" applyProtection="1">
      <protection locked="0"/>
    </xf>
    <xf numFmtId="0" fontId="14" fillId="0" borderId="0" xfId="0" applyFont="1"/>
    <xf numFmtId="0" fontId="18" fillId="0" borderId="0" xfId="0" applyFont="1"/>
    <xf numFmtId="5" fontId="20" fillId="0" borderId="16" xfId="0" applyNumberFormat="1" applyFont="1" applyBorder="1" applyAlignment="1">
      <alignment horizontal="center" vertical="center"/>
    </xf>
    <xf numFmtId="5" fontId="21" fillId="0" borderId="22" xfId="0" applyNumberFormat="1" applyFont="1" applyBorder="1" applyAlignment="1">
      <alignment horizontal="center" vertical="center"/>
    </xf>
    <xf numFmtId="5" fontId="20" fillId="0" borderId="22" xfId="0" applyNumberFormat="1" applyFont="1" applyBorder="1" applyAlignment="1">
      <alignment horizontal="center" vertical="center"/>
    </xf>
    <xf numFmtId="5" fontId="21" fillId="0" borderId="6" xfId="0" applyNumberFormat="1" applyFont="1" applyBorder="1" applyAlignment="1">
      <alignment horizontal="center" vertical="center"/>
    </xf>
    <xf numFmtId="166" fontId="21" fillId="0" borderId="6" xfId="10" applyNumberFormat="1" applyFont="1" applyBorder="1" applyAlignment="1">
      <alignment horizontal="center" vertical="center"/>
    </xf>
    <xf numFmtId="9" fontId="0" fillId="0" borderId="0" xfId="10" applyFont="1" applyAlignment="1">
      <alignment horizontal="center"/>
    </xf>
    <xf numFmtId="164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32" fillId="0" borderId="0" xfId="0" applyFont="1"/>
    <xf numFmtId="3" fontId="31" fillId="0" borderId="10" xfId="16" applyNumberFormat="1" applyFont="1" applyFill="1" applyBorder="1" applyAlignment="1" applyProtection="1">
      <alignment vertical="center" wrapText="1"/>
      <protection locked="0"/>
    </xf>
    <xf numFmtId="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Fill="1" applyBorder="1" applyProtection="1">
      <protection locked="0"/>
    </xf>
    <xf numFmtId="3" fontId="10" fillId="0" borderId="2" xfId="0" applyNumberFormat="1" applyFont="1" applyFill="1" applyBorder="1" applyAlignment="1" applyProtection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5" fontId="21" fillId="0" borderId="23" xfId="0" applyNumberFormat="1" applyFont="1" applyBorder="1" applyAlignment="1">
      <alignment horizontal="center" vertical="center"/>
    </xf>
    <xf numFmtId="5" fontId="20" fillId="0" borderId="23" xfId="0" applyNumberFormat="1" applyFont="1" applyBorder="1" applyAlignment="1">
      <alignment horizontal="center" vertical="center"/>
    </xf>
    <xf numFmtId="5" fontId="20" fillId="0" borderId="8" xfId="0" applyNumberFormat="1" applyFont="1" applyFill="1" applyBorder="1" applyAlignment="1">
      <alignment horizontal="center" vertical="center"/>
    </xf>
    <xf numFmtId="5" fontId="12" fillId="5" borderId="13" xfId="12" applyNumberFormat="1" applyFont="1" applyFill="1" applyBorder="1" applyAlignment="1">
      <alignment horizontal="center"/>
    </xf>
    <xf numFmtId="5" fontId="17" fillId="5" borderId="13" xfId="12" applyNumberFormat="1" applyFont="1" applyFill="1" applyBorder="1" applyAlignment="1">
      <alignment horizontal="center"/>
    </xf>
    <xf numFmtId="5" fontId="18" fillId="5" borderId="9" xfId="12" applyNumberFormat="1" applyFont="1" applyFill="1" applyBorder="1" applyAlignment="1">
      <alignment horizontal="center"/>
    </xf>
    <xf numFmtId="5" fontId="24" fillId="5" borderId="12" xfId="12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169" fontId="12" fillId="5" borderId="13" xfId="0" applyNumberFormat="1" applyFont="1" applyFill="1" applyBorder="1" applyAlignment="1">
      <alignment horizontal="center" vertical="center"/>
    </xf>
    <xf numFmtId="169" fontId="12" fillId="5" borderId="9" xfId="0" applyNumberFormat="1" applyFont="1" applyFill="1" applyBorder="1" applyAlignment="1">
      <alignment horizontal="center" vertical="center"/>
    </xf>
    <xf numFmtId="169" fontId="12" fillId="5" borderId="12" xfId="0" applyNumberFormat="1" applyFont="1" applyFill="1" applyBorder="1" applyAlignment="1">
      <alignment horizontal="center" vertical="center"/>
    </xf>
    <xf numFmtId="169" fontId="18" fillId="5" borderId="2" xfId="0" applyNumberFormat="1" applyFont="1" applyFill="1" applyBorder="1" applyAlignment="1">
      <alignment horizontal="center" vertical="center"/>
    </xf>
    <xf numFmtId="166" fontId="12" fillId="5" borderId="13" xfId="10" applyNumberFormat="1" applyFont="1" applyFill="1" applyBorder="1" applyAlignment="1">
      <alignment horizontal="center" vertical="center"/>
    </xf>
    <xf numFmtId="169" fontId="18" fillId="5" borderId="13" xfId="0" applyNumberFormat="1" applyFont="1" applyFill="1" applyBorder="1" applyAlignment="1">
      <alignment horizontal="center" vertical="center"/>
    </xf>
    <xf numFmtId="169" fontId="18" fillId="5" borderId="9" xfId="0" applyNumberFormat="1" applyFont="1" applyFill="1" applyBorder="1" applyAlignment="1">
      <alignment horizontal="center" vertical="center"/>
    </xf>
    <xf numFmtId="169" fontId="24" fillId="5" borderId="9" xfId="0" applyNumberFormat="1" applyFont="1" applyFill="1" applyBorder="1" applyAlignment="1">
      <alignment horizontal="center" vertical="center"/>
    </xf>
    <xf numFmtId="9" fontId="24" fillId="5" borderId="9" xfId="1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166" fontId="12" fillId="5" borderId="9" xfId="1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5" fillId="0" borderId="6" xfId="0" applyFont="1" applyBorder="1" applyAlignment="1">
      <alignment horizontal="center" vertical="center"/>
    </xf>
    <xf numFmtId="0" fontId="36" fillId="0" borderId="2" xfId="1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3" fontId="36" fillId="0" borderId="15" xfId="0" applyNumberFormat="1" applyFont="1" applyFill="1" applyBorder="1" applyProtection="1">
      <protection locked="0"/>
    </xf>
    <xf numFmtId="0" fontId="13" fillId="0" borderId="14" xfId="0" quotePrefix="1" applyFont="1" applyBorder="1" applyAlignment="1">
      <alignment horizontal="left"/>
    </xf>
    <xf numFmtId="165" fontId="13" fillId="0" borderId="3" xfId="9" applyNumberFormat="1" applyFont="1" applyFill="1" applyBorder="1" applyProtection="1"/>
    <xf numFmtId="0" fontId="10" fillId="0" borderId="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0" fillId="0" borderId="26" xfId="0" applyBorder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11" fillId="0" borderId="18" xfId="0" applyFont="1" applyBorder="1"/>
    <xf numFmtId="0" fontId="0" fillId="0" borderId="0" xfId="0" applyBorder="1"/>
    <xf numFmtId="0" fontId="0" fillId="0" borderId="27" xfId="0" applyBorder="1"/>
    <xf numFmtId="0" fontId="0" fillId="0" borderId="26" xfId="0" quotePrefix="1" applyBorder="1"/>
    <xf numFmtId="0" fontId="0" fillId="0" borderId="0" xfId="0" applyFill="1" applyBorder="1"/>
    <xf numFmtId="165" fontId="0" fillId="0" borderId="27" xfId="9" applyNumberFormat="1" applyFont="1" applyBorder="1" applyProtection="1"/>
    <xf numFmtId="165" fontId="0" fillId="0" borderId="28" xfId="9" applyNumberFormat="1" applyFont="1" applyBorder="1" applyProtection="1"/>
    <xf numFmtId="0" fontId="11" fillId="0" borderId="26" xfId="0" applyFont="1" applyBorder="1"/>
    <xf numFmtId="165" fontId="0" fillId="0" borderId="29" xfId="9" applyNumberFormat="1" applyFont="1" applyBorder="1" applyProtection="1"/>
    <xf numFmtId="165" fontId="0" fillId="0" borderId="0" xfId="0" applyNumberFormat="1" applyFill="1" applyBorder="1"/>
    <xf numFmtId="165" fontId="0" fillId="0" borderId="27" xfId="0" applyNumberFormat="1" applyBorder="1"/>
    <xf numFmtId="165" fontId="0" fillId="0" borderId="30" xfId="9" applyNumberFormat="1" applyFont="1" applyBorder="1" applyProtection="1"/>
    <xf numFmtId="0" fontId="0" fillId="0" borderId="1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8" xfId="0" applyBorder="1"/>
    <xf numFmtId="0" fontId="34" fillId="0" borderId="14" xfId="0" quotePrefix="1" applyFont="1" applyBorder="1" applyAlignment="1">
      <alignment horizontal="left"/>
    </xf>
    <xf numFmtId="0" fontId="36" fillId="0" borderId="9" xfId="11" applyFont="1" applyBorder="1" applyAlignment="1">
      <alignment horizontal="center" vertical="center" wrapText="1"/>
    </xf>
    <xf numFmtId="5" fontId="21" fillId="5" borderId="23" xfId="0" applyNumberFormat="1" applyFont="1" applyFill="1" applyBorder="1" applyAlignment="1">
      <alignment horizontal="center" vertical="center"/>
    </xf>
    <xf numFmtId="5" fontId="20" fillId="5" borderId="23" xfId="0" applyNumberFormat="1" applyFont="1" applyFill="1" applyBorder="1" applyAlignment="1">
      <alignment horizontal="center" vertical="center"/>
    </xf>
    <xf numFmtId="5" fontId="20" fillId="5" borderId="8" xfId="0" applyNumberFormat="1" applyFont="1" applyFill="1" applyBorder="1" applyAlignment="1">
      <alignment horizontal="center" vertical="center"/>
    </xf>
    <xf numFmtId="5" fontId="21" fillId="5" borderId="20" xfId="0" applyNumberFormat="1" applyFont="1" applyFill="1" applyBorder="1" applyAlignment="1">
      <alignment horizontal="center" vertical="center"/>
    </xf>
    <xf numFmtId="5" fontId="20" fillId="5" borderId="20" xfId="0" applyNumberFormat="1" applyFont="1" applyFill="1" applyBorder="1" applyAlignment="1">
      <alignment horizontal="center" vertical="center"/>
    </xf>
    <xf numFmtId="5" fontId="21" fillId="5" borderId="8" xfId="0" applyNumberFormat="1" applyFont="1" applyFill="1" applyBorder="1" applyAlignment="1">
      <alignment horizontal="center" vertical="center"/>
    </xf>
    <xf numFmtId="166" fontId="21" fillId="5" borderId="8" xfId="10" applyNumberFormat="1" applyFont="1" applyFill="1" applyBorder="1" applyAlignment="1">
      <alignment horizontal="center" vertical="center"/>
    </xf>
    <xf numFmtId="5" fontId="20" fillId="5" borderId="7" xfId="0" applyNumberFormat="1" applyFont="1" applyFill="1" applyBorder="1" applyAlignment="1">
      <alignment horizontal="center" vertical="center"/>
    </xf>
    <xf numFmtId="5" fontId="20" fillId="0" borderId="7" xfId="0" applyNumberFormat="1" applyFont="1" applyBorder="1" applyAlignment="1">
      <alignment horizontal="center" vertical="center"/>
    </xf>
    <xf numFmtId="0" fontId="28" fillId="0" borderId="2" xfId="0" applyFont="1" applyFill="1" applyBorder="1"/>
    <xf numFmtId="10" fontId="28" fillId="0" borderId="2" xfId="10" applyNumberFormat="1" applyFont="1" applyFill="1" applyBorder="1" applyAlignment="1">
      <alignment horizontal="center"/>
    </xf>
    <xf numFmtId="3" fontId="31" fillId="0" borderId="11" xfId="16" applyNumberFormat="1" applyFont="1" applyFill="1" applyBorder="1" applyAlignment="1" applyProtection="1">
      <alignment vertical="center" wrapText="1"/>
      <protection locked="0"/>
    </xf>
    <xf numFmtId="3" fontId="10" fillId="0" borderId="2" xfId="0" applyNumberFormat="1" applyFont="1" applyFill="1" applyBorder="1" applyAlignment="1" applyProtection="1">
      <alignment horizontal="center"/>
      <protection locked="0"/>
    </xf>
    <xf numFmtId="3" fontId="10" fillId="0" borderId="2" xfId="0" applyNumberFormat="1" applyFont="1" applyFill="1" applyBorder="1" applyAlignment="1" applyProtection="1">
      <alignment horizontal="center" wrapText="1"/>
      <protection locked="0"/>
    </xf>
    <xf numFmtId="168" fontId="33" fillId="0" borderId="2" xfId="1" applyNumberFormat="1" applyFont="1" applyFill="1" applyBorder="1" applyProtection="1">
      <protection locked="0"/>
    </xf>
    <xf numFmtId="0" fontId="38" fillId="0" borderId="7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left" wrapText="1"/>
      <protection locked="0"/>
    </xf>
    <xf numFmtId="3" fontId="9" fillId="0" borderId="0" xfId="0" applyNumberFormat="1" applyFont="1" applyFill="1" applyAlignment="1" applyProtection="1">
      <alignment horizontal="left" vertical="top" wrapText="1"/>
      <protection locked="0"/>
    </xf>
  </cellXfs>
  <cellStyles count="18">
    <cellStyle name="Comma" xfId="1" builtinId="3"/>
    <cellStyle name="Comma 7" xfId="12"/>
    <cellStyle name="Currency" xfId="9" builtinId="4"/>
    <cellStyle name="Currency 2" xfId="17"/>
    <cellStyle name="Empty" xfId="6"/>
    <cellStyle name="Explanatory" xfId="5"/>
    <cellStyle name="Heading4" xfId="2"/>
    <cellStyle name="Input 2" xfId="7"/>
    <cellStyle name="Normal" xfId="0" builtinId="0"/>
    <cellStyle name="Normal 2" xfId="16"/>
    <cellStyle name="Normal 4" xfId="13"/>
    <cellStyle name="Normal 7" xfId="11"/>
    <cellStyle name="Offsheet" xfId="14"/>
    <cellStyle name="Percent" xfId="10" builtinId="5"/>
    <cellStyle name="Subtotal" xfId="8"/>
    <cellStyle name="Subtotal 4" xfId="15"/>
    <cellStyle name="TableHeading" xfId="3"/>
    <cellStyle name="Un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-ca/departments/natgas/sites/ON/ONReg/RC_QRAM/EB-2024-0130%20-%20Aylmer%202025-2029%20Cost%20of%20Service/Excel%20Templates/ENGLP_EB-2024-0130_Supporting%20Appendixes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A_Customer Engagement"/>
      <sheetName val="1B_SQI"/>
      <sheetName val="2A_Capital Projects"/>
      <sheetName val="2B_Capital Expenditures"/>
      <sheetName val="2C_Fixed Asset Continuity"/>
      <sheetName val="2D_Service Life"/>
      <sheetName val="2E_Depreciation Expense"/>
      <sheetName val="2F_Overhead Expense"/>
      <sheetName val="3A_Load Forecast Summary"/>
      <sheetName val="4B_OM&amp;A Detail"/>
      <sheetName val="4D_Employee Costs"/>
      <sheetName val="4E_OM&amp;A Per Cust"/>
      <sheetName val="4F_One-time Costs"/>
      <sheetName val="4G_Corp_Cost_Allocation"/>
      <sheetName val="5A_Other Revenue"/>
      <sheetName val="5B_Capital Structure"/>
      <sheetName val="5C_Debt Instruments"/>
      <sheetName val="TO BE REMOVED -&gt;"/>
      <sheetName val="4A_OM&amp;A Summary"/>
      <sheetName val="4C_OM&amp;A Cost Drivers"/>
      <sheetName val="4F_Reg Costs"/>
    </sheetNames>
    <sheetDataSet>
      <sheetData sheetId="0">
        <row r="6">
          <cell r="E6" t="str">
            <v>EB-2024-0130</v>
          </cell>
        </row>
        <row r="14">
          <cell r="E14">
            <v>2025</v>
          </cell>
        </row>
        <row r="16">
          <cell r="E16">
            <v>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="140" zoomScaleNormal="140" workbookViewId="0">
      <selection activeCell="L10" sqref="L10"/>
    </sheetView>
  </sheetViews>
  <sheetFormatPr defaultColWidth="11.625" defaultRowHeight="14.25"/>
  <cols>
    <col min="1" max="1" width="36.5" style="76" customWidth="1"/>
    <col min="2" max="2" width="12" style="76" hidden="1" customWidth="1"/>
    <col min="3" max="3" width="13" style="76" customWidth="1"/>
    <col min="4" max="4" width="12.375" style="76" hidden="1" customWidth="1"/>
    <col min="5" max="5" width="12.75" style="76" hidden="1" customWidth="1"/>
    <col min="6" max="6" width="2.875" style="76" customWidth="1"/>
    <col min="7" max="7" width="13" style="76" customWidth="1"/>
    <col min="8" max="8" width="12.375" style="76" customWidth="1"/>
    <col min="9" max="9" width="12.75" style="76" customWidth="1"/>
    <col min="10" max="16384" width="11.625" style="76"/>
  </cols>
  <sheetData>
    <row r="1" spans="1:9" ht="18">
      <c r="A1" s="129" t="s">
        <v>114</v>
      </c>
      <c r="B1" s="129"/>
      <c r="C1" s="129"/>
      <c r="D1" s="129"/>
      <c r="E1" s="129"/>
      <c r="G1" s="129"/>
      <c r="H1" s="129"/>
      <c r="I1" s="129"/>
    </row>
    <row r="2" spans="1:9" ht="18">
      <c r="A2" s="119" t="s">
        <v>118</v>
      </c>
      <c r="B2" s="129"/>
      <c r="C2" s="129"/>
      <c r="D2" s="129"/>
      <c r="E2" s="129"/>
      <c r="G2" s="129"/>
      <c r="H2" s="129"/>
      <c r="I2" s="129"/>
    </row>
    <row r="3" spans="1:9" ht="25.5">
      <c r="A3" s="14" t="s">
        <v>41</v>
      </c>
      <c r="B3" s="14" t="s">
        <v>23</v>
      </c>
      <c r="C3" s="14" t="s">
        <v>123</v>
      </c>
      <c r="D3" s="15" t="s">
        <v>105</v>
      </c>
      <c r="E3" s="15" t="s">
        <v>104</v>
      </c>
      <c r="G3" s="159" t="s">
        <v>124</v>
      </c>
      <c r="H3" s="15" t="s">
        <v>105</v>
      </c>
      <c r="I3" s="15" t="s">
        <v>104</v>
      </c>
    </row>
    <row r="4" spans="1:9">
      <c r="A4" s="16" t="s">
        <v>43</v>
      </c>
      <c r="B4" s="17">
        <f>'OM&amp;A'!C37*1000</f>
        <v>3209118.9999999986</v>
      </c>
      <c r="C4" s="139">
        <f>'OM&amp;A'!I37*1000-'OM&amp;A'!I32*1000</f>
        <v>4321958.3990672678</v>
      </c>
      <c r="D4" s="17">
        <f>(C4-B4)</f>
        <v>1112839.3990672692</v>
      </c>
      <c r="E4" s="18">
        <f>D4/B4</f>
        <v>0.34677411434953631</v>
      </c>
      <c r="G4" s="17">
        <f>C4-180000</f>
        <v>4141958.3990672678</v>
      </c>
      <c r="H4" s="17">
        <f t="shared" ref="H4:H12" si="0">(G4-C4)</f>
        <v>-180000</v>
      </c>
      <c r="I4" s="18">
        <f t="shared" ref="I4:I12" si="1">H4/C4</f>
        <v>-4.1647786345848731E-2</v>
      </c>
    </row>
    <row r="5" spans="1:9">
      <c r="A5" s="16" t="s">
        <v>44</v>
      </c>
      <c r="B5" s="17">
        <f>876563</f>
        <v>876563</v>
      </c>
      <c r="C5" s="139">
        <f>-'Rate Base'!I12*1000</f>
        <v>1320799.2968832257</v>
      </c>
      <c r="D5" s="17">
        <f t="shared" ref="D5:D10" si="2">(C5-B5)</f>
        <v>444236.29688322567</v>
      </c>
      <c r="E5" s="18">
        <f t="shared" ref="E5:E9" si="3">D5/B5</f>
        <v>0.50679334729303616</v>
      </c>
      <c r="G5" s="17">
        <f>-'Rate Base'!L12*1000</f>
        <v>1302707.1741928</v>
      </c>
      <c r="H5" s="17">
        <f t="shared" si="0"/>
        <v>-18092.12269042572</v>
      </c>
      <c r="I5" s="18">
        <f t="shared" si="1"/>
        <v>-1.3697859116914171E-2</v>
      </c>
    </row>
    <row r="6" spans="1:9">
      <c r="A6" s="16" t="s">
        <v>0</v>
      </c>
      <c r="B6" s="17">
        <v>632000</v>
      </c>
      <c r="C6" s="139">
        <v>705564</v>
      </c>
      <c r="D6" s="17">
        <f t="shared" si="2"/>
        <v>73564</v>
      </c>
      <c r="E6" s="18">
        <f t="shared" si="3"/>
        <v>0.11639873417721519</v>
      </c>
      <c r="G6" s="17">
        <v>705564</v>
      </c>
      <c r="H6" s="17">
        <f t="shared" si="0"/>
        <v>0</v>
      </c>
      <c r="I6" s="18">
        <f t="shared" si="1"/>
        <v>0</v>
      </c>
    </row>
    <row r="7" spans="1:9">
      <c r="A7" s="16" t="s">
        <v>45</v>
      </c>
      <c r="B7" s="17">
        <f>61842</f>
        <v>61842</v>
      </c>
      <c r="C7" s="139">
        <f>'Income Taxes'!C20</f>
        <v>74989.242363798752</v>
      </c>
      <c r="D7" s="17">
        <f t="shared" si="2"/>
        <v>13147.242363798752</v>
      </c>
      <c r="E7" s="18">
        <f>D7/B7</f>
        <v>0.21259406817047882</v>
      </c>
      <c r="G7" s="17">
        <f>'Income Taxes'!D20</f>
        <v>11366.307104064032</v>
      </c>
      <c r="H7" s="17">
        <f t="shared" si="0"/>
        <v>-63622.935259734717</v>
      </c>
      <c r="I7" s="18">
        <f t="shared" si="1"/>
        <v>-0.84842749778798743</v>
      </c>
    </row>
    <row r="8" spans="1:9">
      <c r="A8" s="16" t="s">
        <v>107</v>
      </c>
      <c r="B8" s="17">
        <f>B16*B14</f>
        <v>366431.71986348199</v>
      </c>
      <c r="C8" s="139">
        <f>C16*C14</f>
        <v>643824.62844604754</v>
      </c>
      <c r="D8" s="17">
        <f t="shared" si="2"/>
        <v>277392.90858256555</v>
      </c>
      <c r="E8" s="18">
        <f t="shared" si="3"/>
        <v>0.75701117983429822</v>
      </c>
      <c r="G8" s="17">
        <f>G16*G14</f>
        <v>613545.19576846063</v>
      </c>
      <c r="H8" s="17">
        <f t="shared" si="0"/>
        <v>-30279.432677586912</v>
      </c>
      <c r="I8" s="18">
        <f t="shared" si="1"/>
        <v>-4.7030559782514324E-2</v>
      </c>
    </row>
    <row r="9" spans="1:9">
      <c r="A9" s="16" t="s">
        <v>46</v>
      </c>
      <c r="B9" s="19">
        <f>B17*B14</f>
        <v>580140.48737201479</v>
      </c>
      <c r="C9" s="140">
        <f>C17*C14</f>
        <v>980922.38063813967</v>
      </c>
      <c r="D9" s="19">
        <f t="shared" si="2"/>
        <v>400781.89326612488</v>
      </c>
      <c r="E9" s="20">
        <f t="shared" si="3"/>
        <v>0.69083593024446799</v>
      </c>
      <c r="G9" s="19">
        <f>G17*G14</f>
        <v>957596.24043835653</v>
      </c>
      <c r="H9" s="19">
        <f t="shared" si="0"/>
        <v>-23326.140199783142</v>
      </c>
      <c r="I9" s="20">
        <f t="shared" si="1"/>
        <v>-2.3779802214940093E-2</v>
      </c>
    </row>
    <row r="10" spans="1:9">
      <c r="A10" s="21" t="s">
        <v>58</v>
      </c>
      <c r="B10" s="22">
        <f>SUM(B4:B9)</f>
        <v>5726096.2072354946</v>
      </c>
      <c r="C10" s="141">
        <f>SUM(C4:C9)</f>
        <v>8048057.9473984782</v>
      </c>
      <c r="D10" s="22">
        <f t="shared" si="2"/>
        <v>2321961.7401629835</v>
      </c>
      <c r="E10" s="23">
        <f>D10/B10</f>
        <v>0.40550519169219562</v>
      </c>
      <c r="G10" s="22">
        <f>SUM(G4:G9)</f>
        <v>7732737.3165709488</v>
      </c>
      <c r="H10" s="22">
        <f t="shared" si="0"/>
        <v>-315320.63082752936</v>
      </c>
      <c r="I10" s="23">
        <f t="shared" si="1"/>
        <v>-3.917971675756339E-2</v>
      </c>
    </row>
    <row r="11" spans="1:9">
      <c r="A11" s="74" t="s">
        <v>1</v>
      </c>
      <c r="B11" s="75">
        <v>-147778</v>
      </c>
      <c r="C11" s="142">
        <f>-'Income Taxes'!C8</f>
        <v>-108388</v>
      </c>
      <c r="D11" s="75">
        <f t="shared" ref="D11:D12" si="4">(C11-B11)</f>
        <v>39390</v>
      </c>
      <c r="E11" s="93">
        <f t="shared" ref="E11:E12" si="5">D11/B11</f>
        <v>-0.26654847135568216</v>
      </c>
      <c r="G11" s="75">
        <f>-'Income Taxes'!D8</f>
        <v>-108388</v>
      </c>
      <c r="H11" s="75">
        <f t="shared" si="0"/>
        <v>0</v>
      </c>
      <c r="I11" s="93">
        <f t="shared" si="1"/>
        <v>0</v>
      </c>
    </row>
    <row r="12" spans="1:9">
      <c r="A12" s="73" t="s">
        <v>101</v>
      </c>
      <c r="B12" s="22">
        <f>B10+B11</f>
        <v>5578318.2072354946</v>
      </c>
      <c r="C12" s="141">
        <f>C10+C11</f>
        <v>7939669.9473984782</v>
      </c>
      <c r="D12" s="22">
        <f t="shared" si="4"/>
        <v>2361351.7401629835</v>
      </c>
      <c r="E12" s="104">
        <f t="shared" si="5"/>
        <v>0.4233088992843998</v>
      </c>
      <c r="G12" s="22">
        <f>G10+G11</f>
        <v>7624349.3165709488</v>
      </c>
      <c r="H12" s="22">
        <f t="shared" si="0"/>
        <v>-315320.63082752936</v>
      </c>
      <c r="I12" s="104">
        <f t="shared" si="1"/>
        <v>-3.9714576665853436E-2</v>
      </c>
    </row>
    <row r="13" spans="1:9">
      <c r="A13" s="24"/>
      <c r="B13" s="25"/>
      <c r="C13" s="25"/>
      <c r="D13" s="25"/>
      <c r="E13" s="26"/>
      <c r="G13" s="25"/>
      <c r="H13" s="25"/>
      <c r="I13" s="26"/>
    </row>
    <row r="14" spans="1:9" s="78" customFormat="1" ht="12.75">
      <c r="A14" s="77" t="s">
        <v>47</v>
      </c>
      <c r="B14" s="87">
        <f>16150904.4368601</f>
        <v>16150904.436860099</v>
      </c>
      <c r="C14" s="88">
        <f>'Rate Base'!I23*1000</f>
        <v>26626557.563467413</v>
      </c>
      <c r="D14" s="89">
        <f>(C14-B14)</f>
        <v>10475653.126607314</v>
      </c>
      <c r="E14" s="90">
        <f>D14/B14</f>
        <v>0.64861092872913362</v>
      </c>
      <c r="G14" s="88">
        <f>'Rate Base'!L23*1000</f>
        <v>25880979.471306935</v>
      </c>
      <c r="H14" s="89">
        <f>(G14-C14)</f>
        <v>-745578.09216047823</v>
      </c>
      <c r="I14" s="90">
        <f>H14/C14</f>
        <v>-2.8001294962118495E-2</v>
      </c>
    </row>
    <row r="15" spans="1:9" s="78" customFormat="1" ht="12.75">
      <c r="A15" s="79" t="s">
        <v>48</v>
      </c>
      <c r="B15" s="80">
        <v>5.8608E-2</v>
      </c>
      <c r="C15" s="81">
        <f>WACC!E16</f>
        <v>6.1019792183477681E-2</v>
      </c>
      <c r="D15" s="105">
        <f t="shared" ref="D15:D17" si="6">(C15-B15)</f>
        <v>2.4117921834776804E-3</v>
      </c>
      <c r="E15" s="82"/>
      <c r="G15" s="81">
        <f>WACC!E31</f>
        <v>6.0706413292768546E-2</v>
      </c>
      <c r="H15" s="81">
        <f>(G15-C15)</f>
        <v>-3.1337889070913449E-4</v>
      </c>
      <c r="I15" s="82"/>
    </row>
    <row r="16" spans="1:9" s="78" customFormat="1" ht="12">
      <c r="A16" s="197" t="s">
        <v>4</v>
      </c>
      <c r="B16" s="198">
        <v>2.2688000000000003E-2</v>
      </c>
      <c r="C16" s="198">
        <f>WACC!E9*0.6</f>
        <v>2.4179792183477669E-2</v>
      </c>
      <c r="D16" s="83">
        <f t="shared" si="6"/>
        <v>1.4917921834776658E-3</v>
      </c>
      <c r="E16" s="84"/>
      <c r="G16" s="198">
        <f>WACC!E24*0.6</f>
        <v>2.3706413292768548E-2</v>
      </c>
      <c r="H16" s="198">
        <f>(G16-C16)</f>
        <v>-4.7337889070912104E-4</v>
      </c>
      <c r="I16" s="84"/>
    </row>
    <row r="17" spans="1:9" s="78" customFormat="1" ht="12">
      <c r="A17" s="197" t="s">
        <v>46</v>
      </c>
      <c r="B17" s="198">
        <v>3.5920000000000001E-2</v>
      </c>
      <c r="C17" s="198">
        <f>WACC!E14*0.4</f>
        <v>3.6840000000000005E-2</v>
      </c>
      <c r="D17" s="83">
        <f t="shared" si="6"/>
        <v>9.2000000000000415E-4</v>
      </c>
      <c r="E17" s="82"/>
      <c r="G17" s="198">
        <f>WACC!E27*0.4</f>
        <v>3.6999999999999998E-2</v>
      </c>
      <c r="H17" s="198">
        <f>(G17-C17)</f>
        <v>1.5999999999999348E-4</v>
      </c>
      <c r="I17" s="82"/>
    </row>
    <row r="18" spans="1:9" s="78" customFormat="1" ht="12">
      <c r="A18" s="85"/>
      <c r="E18" s="86"/>
      <c r="I18" s="86"/>
    </row>
    <row r="19" spans="1:9">
      <c r="A19" s="85" t="s">
        <v>108</v>
      </c>
    </row>
  </sheetData>
  <customSheetViews>
    <customSheetView guid="{AA99D3D3-DB59-480B-8D6F-8444093D81D7}" scale="110" showGridLines="0" hiddenRows="1" hiddenColumns="1">
      <selection activeCell="H14" sqref="H1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tabSelected="1" workbookViewId="0">
      <selection activeCell="R16" sqref="R16"/>
    </sheetView>
  </sheetViews>
  <sheetFormatPr defaultRowHeight="14.25"/>
  <cols>
    <col min="1" max="1" width="5.625" style="28" customWidth="1"/>
    <col min="2" max="2" width="25" style="54" customWidth="1"/>
    <col min="3" max="4" width="11.5" style="28" customWidth="1"/>
    <col min="5" max="9" width="11.625" style="28" customWidth="1"/>
    <col min="10" max="10" width="1.75" customWidth="1"/>
    <col min="11" max="12" width="11.625" style="28" customWidth="1"/>
    <col min="13" max="13" width="2.5" customWidth="1"/>
    <col min="14" max="14" width="11.625" style="28" customWidth="1"/>
  </cols>
  <sheetData>
    <row r="1" spans="1:14" ht="18">
      <c r="A1" s="129" t="s">
        <v>114</v>
      </c>
      <c r="B1" s="129"/>
      <c r="C1" s="129"/>
      <c r="D1" s="129"/>
      <c r="E1" s="129"/>
      <c r="F1" s="129"/>
      <c r="G1" s="129"/>
      <c r="H1" s="129"/>
      <c r="I1" s="129"/>
      <c r="K1" s="129"/>
      <c r="L1" s="129"/>
      <c r="N1" s="129"/>
    </row>
    <row r="2" spans="1:14" ht="30">
      <c r="A2" s="129" t="s">
        <v>117</v>
      </c>
      <c r="B2" s="129"/>
      <c r="C2" s="129"/>
      <c r="D2" s="129"/>
      <c r="E2" s="129"/>
      <c r="F2" s="129"/>
      <c r="G2" s="129"/>
      <c r="H2" s="204" t="s">
        <v>126</v>
      </c>
      <c r="I2" s="205"/>
      <c r="J2" s="157"/>
      <c r="K2" s="206" t="s">
        <v>129</v>
      </c>
      <c r="L2" s="207"/>
      <c r="N2" s="156" t="s">
        <v>130</v>
      </c>
    </row>
    <row r="3" spans="1:14">
      <c r="A3" s="27"/>
      <c r="B3" s="29"/>
      <c r="C3" s="27" t="s">
        <v>49</v>
      </c>
      <c r="D3" s="27" t="s">
        <v>51</v>
      </c>
      <c r="E3" s="27" t="s">
        <v>52</v>
      </c>
      <c r="F3" s="27" t="s">
        <v>53</v>
      </c>
      <c r="G3" s="27" t="s">
        <v>54</v>
      </c>
      <c r="H3" s="144" t="s">
        <v>55</v>
      </c>
      <c r="I3" s="144" t="s">
        <v>56</v>
      </c>
      <c r="K3" s="27" t="s">
        <v>127</v>
      </c>
      <c r="L3" s="27" t="s">
        <v>128</v>
      </c>
      <c r="N3" s="27" t="s">
        <v>131</v>
      </c>
    </row>
    <row r="4" spans="1:14" ht="25.5">
      <c r="A4" s="30"/>
      <c r="B4" s="31" t="s">
        <v>72</v>
      </c>
      <c r="C4" s="32" t="s">
        <v>57</v>
      </c>
      <c r="D4" s="32" t="s">
        <v>59</v>
      </c>
      <c r="E4" s="32" t="s">
        <v>60</v>
      </c>
      <c r="F4" s="32" t="s">
        <v>61</v>
      </c>
      <c r="G4" s="32" t="s">
        <v>62</v>
      </c>
      <c r="H4" s="143" t="s">
        <v>73</v>
      </c>
      <c r="I4" s="143" t="s">
        <v>42</v>
      </c>
      <c r="K4" s="160" t="s">
        <v>73</v>
      </c>
      <c r="L4" s="160" t="s">
        <v>42</v>
      </c>
      <c r="N4" s="32" t="s">
        <v>42</v>
      </c>
    </row>
    <row r="5" spans="1:14">
      <c r="A5" s="27">
        <v>1</v>
      </c>
      <c r="B5" s="33" t="s">
        <v>74</v>
      </c>
      <c r="C5" s="27"/>
      <c r="D5" s="27"/>
      <c r="E5" s="27"/>
      <c r="F5" s="27"/>
      <c r="G5" s="27"/>
      <c r="H5" s="144"/>
      <c r="I5" s="144"/>
      <c r="K5" s="27"/>
      <c r="L5" s="27"/>
      <c r="N5" s="27"/>
    </row>
    <row r="6" spans="1:14">
      <c r="A6" s="34">
        <v>2</v>
      </c>
      <c r="B6" s="35" t="s">
        <v>75</v>
      </c>
      <c r="C6" s="36">
        <f>33017051.53/1000</f>
        <v>33017.051530000004</v>
      </c>
      <c r="D6" s="36">
        <v>31710.675459999995</v>
      </c>
      <c r="E6" s="36">
        <f>D9</f>
        <v>34574.082039999994</v>
      </c>
      <c r="F6" s="36">
        <f t="shared" ref="F6:I6" si="0">E9</f>
        <v>36314.645729999997</v>
      </c>
      <c r="G6" s="36">
        <f t="shared" si="0"/>
        <v>38242.539699999994</v>
      </c>
      <c r="H6" s="145">
        <f t="shared" si="0"/>
        <v>41155.761099999996</v>
      </c>
      <c r="I6" s="145">
        <f t="shared" si="0"/>
        <v>46200.701099999998</v>
      </c>
      <c r="K6" s="36">
        <f>G9</f>
        <v>41155.761099999996</v>
      </c>
      <c r="L6" s="36">
        <f t="shared" ref="L6" si="1">K9</f>
        <v>45500.701099999998</v>
      </c>
      <c r="N6" s="36">
        <f>L6-I6</f>
        <v>-700</v>
      </c>
    </row>
    <row r="7" spans="1:14">
      <c r="A7" s="34">
        <v>3</v>
      </c>
      <c r="B7" s="35" t="s">
        <v>76</v>
      </c>
      <c r="C7" s="36">
        <f>1273600/1000+66</f>
        <v>1339.6</v>
      </c>
      <c r="D7" s="36">
        <v>2863.4065799999998</v>
      </c>
      <c r="E7" s="36">
        <v>1740.56369</v>
      </c>
      <c r="F7" s="36">
        <v>1927.8939700000001</v>
      </c>
      <c r="G7" s="36">
        <v>2913.2214000000004</v>
      </c>
      <c r="H7" s="145">
        <v>5044.9399999999996</v>
      </c>
      <c r="I7" s="145">
        <v>4063.93</v>
      </c>
      <c r="K7" s="36">
        <f>5044.94-700</f>
        <v>4344.9399999999996</v>
      </c>
      <c r="L7" s="36">
        <f>4063.93+700-800</f>
        <v>3963.9300000000003</v>
      </c>
      <c r="N7" s="36">
        <f t="shared" ref="N7:N9" si="2">L7-I7</f>
        <v>-99.999999999999545</v>
      </c>
    </row>
    <row r="8" spans="1:14">
      <c r="A8" s="34">
        <v>4</v>
      </c>
      <c r="B8" s="35" t="s">
        <v>77</v>
      </c>
      <c r="C8" s="36">
        <f>-1128193.52/1000-66</f>
        <v>-1194.19352</v>
      </c>
      <c r="D8" s="36">
        <v>0</v>
      </c>
      <c r="E8" s="36">
        <v>0</v>
      </c>
      <c r="F8" s="36">
        <v>0</v>
      </c>
      <c r="G8" s="36">
        <v>0</v>
      </c>
      <c r="H8" s="145">
        <v>0</v>
      </c>
      <c r="I8" s="145">
        <v>0</v>
      </c>
      <c r="K8" s="36">
        <v>0</v>
      </c>
      <c r="L8" s="36">
        <v>0</v>
      </c>
      <c r="N8" s="36">
        <f t="shared" si="2"/>
        <v>0</v>
      </c>
    </row>
    <row r="9" spans="1:14">
      <c r="A9" s="37">
        <v>5</v>
      </c>
      <c r="B9" s="38" t="s">
        <v>71</v>
      </c>
      <c r="C9" s="39">
        <f>SUM(C6:C8)</f>
        <v>33162.458010000002</v>
      </c>
      <c r="D9" s="39">
        <f>D6+D7+D8</f>
        <v>34574.082039999994</v>
      </c>
      <c r="E9" s="39">
        <f t="shared" ref="E9:I9" si="3">E6+E7+E8</f>
        <v>36314.645729999997</v>
      </c>
      <c r="F9" s="39">
        <f t="shared" si="3"/>
        <v>38242.539699999994</v>
      </c>
      <c r="G9" s="39">
        <f t="shared" si="3"/>
        <v>41155.761099999996</v>
      </c>
      <c r="H9" s="146">
        <f t="shared" si="3"/>
        <v>46200.701099999998</v>
      </c>
      <c r="I9" s="146">
        <f t="shared" si="3"/>
        <v>50264.631099999999</v>
      </c>
      <c r="K9" s="39">
        <f t="shared" ref="K9:L9" si="4">K6+K7+K8</f>
        <v>45500.701099999998</v>
      </c>
      <c r="L9" s="39">
        <f t="shared" si="4"/>
        <v>49464.631099999999</v>
      </c>
      <c r="N9" s="39">
        <f t="shared" si="2"/>
        <v>-800</v>
      </c>
    </row>
    <row r="10" spans="1:14">
      <c r="A10" s="27">
        <v>6</v>
      </c>
      <c r="B10" s="33" t="s">
        <v>70</v>
      </c>
      <c r="C10" s="40"/>
      <c r="D10" s="40"/>
      <c r="E10" s="40"/>
      <c r="F10" s="40"/>
      <c r="G10" s="40"/>
      <c r="H10" s="147"/>
      <c r="I10" s="147"/>
      <c r="K10" s="40"/>
      <c r="L10" s="40"/>
      <c r="N10" s="40"/>
    </row>
    <row r="11" spans="1:14">
      <c r="A11" s="34">
        <v>7</v>
      </c>
      <c r="B11" s="35" t="s">
        <v>75</v>
      </c>
      <c r="C11" s="36">
        <f>-16974683.4736383/1000</f>
        <v>-16974.683473638299</v>
      </c>
      <c r="D11" s="36">
        <v>-17012.801319999999</v>
      </c>
      <c r="E11" s="36">
        <f>D14</f>
        <v>-17993.595109999998</v>
      </c>
      <c r="F11" s="36">
        <f t="shared" ref="F11:I11" si="5">E14</f>
        <v>-18894.45421</v>
      </c>
      <c r="G11" s="36">
        <f t="shared" si="5"/>
        <v>-19830.93809</v>
      </c>
      <c r="H11" s="145">
        <f t="shared" si="5"/>
        <v>-20859.816340000001</v>
      </c>
      <c r="I11" s="145">
        <f t="shared" si="5"/>
        <v>-22019.246099021017</v>
      </c>
      <c r="K11" s="36">
        <f>G14</f>
        <v>-20859.816340000001</v>
      </c>
      <c r="L11" s="36">
        <f t="shared" ref="L11" si="6">K14</f>
        <v>-22010.370252526711</v>
      </c>
      <c r="N11" s="36">
        <f t="shared" ref="N11:N23" si="7">L11-I11</f>
        <v>8.8758464943057334</v>
      </c>
    </row>
    <row r="12" spans="1:14">
      <c r="A12" s="34">
        <v>8</v>
      </c>
      <c r="B12" s="35" t="s">
        <v>44</v>
      </c>
      <c r="C12" s="36">
        <f>-876563.069053274/1000</f>
        <v>-876.56306905327403</v>
      </c>
      <c r="D12" s="36">
        <v>-980.79379000000006</v>
      </c>
      <c r="E12" s="36">
        <v>-900.85910000000013</v>
      </c>
      <c r="F12" s="36">
        <v>-936.48388</v>
      </c>
      <c r="G12" s="36">
        <v>-1028.8782500000002</v>
      </c>
      <c r="H12" s="145">
        <v>-1159.4297590210172</v>
      </c>
      <c r="I12" s="145">
        <v>-1320.7992968832257</v>
      </c>
      <c r="K12" s="36">
        <f>-1150553.91252671/1000</f>
        <v>-1150.5539125267101</v>
      </c>
      <c r="L12" s="36">
        <f>-1302707.1741928/1000</f>
        <v>-1302.7071741928</v>
      </c>
      <c r="N12" s="36">
        <f t="shared" si="7"/>
        <v>18.09212269042564</v>
      </c>
    </row>
    <row r="13" spans="1:14">
      <c r="A13" s="34">
        <v>9</v>
      </c>
      <c r="B13" s="35" t="s">
        <v>77</v>
      </c>
      <c r="C13" s="36">
        <f>965732.31/1000</f>
        <v>965.7323100000001</v>
      </c>
      <c r="D13" s="36">
        <v>0</v>
      </c>
      <c r="E13" s="36">
        <v>0</v>
      </c>
      <c r="F13" s="36">
        <v>0</v>
      </c>
      <c r="G13" s="36">
        <v>0</v>
      </c>
      <c r="H13" s="145">
        <v>0</v>
      </c>
      <c r="I13" s="145">
        <v>0</v>
      </c>
      <c r="K13" s="36">
        <v>0</v>
      </c>
      <c r="L13" s="36">
        <v>0</v>
      </c>
      <c r="N13" s="36">
        <f t="shared" si="7"/>
        <v>0</v>
      </c>
    </row>
    <row r="14" spans="1:14">
      <c r="A14" s="34">
        <v>10</v>
      </c>
      <c r="B14" s="35" t="s">
        <v>71</v>
      </c>
      <c r="C14" s="36">
        <f>SUM(C11:C13)</f>
        <v>-16885.514232691574</v>
      </c>
      <c r="D14" s="36">
        <f>D11+D12+D13</f>
        <v>-17993.595109999998</v>
      </c>
      <c r="E14" s="36">
        <f t="shared" ref="E14:I14" si="8">E11+E12+E13</f>
        <v>-18894.45421</v>
      </c>
      <c r="F14" s="36">
        <f t="shared" si="8"/>
        <v>-19830.93809</v>
      </c>
      <c r="G14" s="36">
        <f t="shared" si="8"/>
        <v>-20859.816340000001</v>
      </c>
      <c r="H14" s="145">
        <f t="shared" si="8"/>
        <v>-22019.246099021017</v>
      </c>
      <c r="I14" s="145">
        <f t="shared" si="8"/>
        <v>-23340.045395904242</v>
      </c>
      <c r="K14" s="36">
        <f t="shared" ref="K14:L14" si="9">K11+K12+K13</f>
        <v>-22010.370252526711</v>
      </c>
      <c r="L14" s="36">
        <f t="shared" si="9"/>
        <v>-23313.077426719512</v>
      </c>
      <c r="N14" s="36">
        <f t="shared" si="7"/>
        <v>26.967969184730464</v>
      </c>
    </row>
    <row r="15" spans="1:14">
      <c r="A15" s="41">
        <v>11</v>
      </c>
      <c r="B15" s="31" t="s">
        <v>78</v>
      </c>
      <c r="C15" s="42">
        <f>(C6+C9+C11+C14)/2</f>
        <v>16159.655916835061</v>
      </c>
      <c r="D15" s="42">
        <f>(D6+D9+D11+D14)/2</f>
        <v>15639.180534999998</v>
      </c>
      <c r="E15" s="42">
        <f t="shared" ref="E15:I15" si="10">(E6+E9+E11+E14)/2</f>
        <v>17000.339225000003</v>
      </c>
      <c r="F15" s="42">
        <f t="shared" si="10"/>
        <v>17915.896564999995</v>
      </c>
      <c r="G15" s="42">
        <f t="shared" si="10"/>
        <v>19353.773184999998</v>
      </c>
      <c r="H15" s="148">
        <f t="shared" si="10"/>
        <v>22238.699880489487</v>
      </c>
      <c r="I15" s="148">
        <f t="shared" si="10"/>
        <v>25553.020352537369</v>
      </c>
      <c r="K15" s="42">
        <f t="shared" ref="K15:L15" si="11">(K6+K9+K11+K14)/2</f>
        <v>21893.137803736638</v>
      </c>
      <c r="L15" s="42">
        <f t="shared" si="11"/>
        <v>24820.942260376891</v>
      </c>
      <c r="N15" s="42">
        <f t="shared" si="7"/>
        <v>-732.07809216047826</v>
      </c>
    </row>
    <row r="16" spans="1:14">
      <c r="A16" s="37">
        <v>12</v>
      </c>
      <c r="B16" s="38" t="s">
        <v>79</v>
      </c>
      <c r="C16" s="39">
        <f>C9+C14</f>
        <v>16276.943777308428</v>
      </c>
      <c r="D16" s="39">
        <f>D9+D14</f>
        <v>16580.486929999995</v>
      </c>
      <c r="E16" s="39">
        <f t="shared" ref="E16:I16" si="12">E9+E14</f>
        <v>17420.191519999997</v>
      </c>
      <c r="F16" s="39">
        <f t="shared" si="12"/>
        <v>18411.601609999994</v>
      </c>
      <c r="G16" s="39">
        <f t="shared" si="12"/>
        <v>20295.944759999995</v>
      </c>
      <c r="H16" s="146">
        <f t="shared" si="12"/>
        <v>24181.455000978982</v>
      </c>
      <c r="I16" s="146">
        <f t="shared" si="12"/>
        <v>26924.585704095756</v>
      </c>
      <c r="K16" s="39">
        <f t="shared" ref="K16:L16" si="13">K9+K14</f>
        <v>23490.330847473288</v>
      </c>
      <c r="L16" s="39">
        <f t="shared" si="13"/>
        <v>26151.553673280487</v>
      </c>
      <c r="N16" s="39">
        <f t="shared" si="7"/>
        <v>-773.03203081526954</v>
      </c>
    </row>
    <row r="17" spans="1:14">
      <c r="A17" s="34">
        <v>13</v>
      </c>
      <c r="B17" s="43" t="s">
        <v>80</v>
      </c>
      <c r="C17" s="36"/>
      <c r="D17" s="36"/>
      <c r="E17" s="36"/>
      <c r="F17" s="36"/>
      <c r="G17" s="36"/>
      <c r="H17" s="145"/>
      <c r="I17" s="145"/>
      <c r="K17" s="36"/>
      <c r="L17" s="36"/>
      <c r="N17" s="36"/>
    </row>
    <row r="18" spans="1:14">
      <c r="A18" s="34">
        <v>14</v>
      </c>
      <c r="B18" s="44" t="s">
        <v>81</v>
      </c>
      <c r="C18" s="36">
        <v>0</v>
      </c>
      <c r="D18" s="36">
        <v>6102.1441099999993</v>
      </c>
      <c r="E18" s="36">
        <v>7290.7996499999999</v>
      </c>
      <c r="F18" s="36">
        <v>11003.840400000001</v>
      </c>
      <c r="G18" s="36">
        <v>12293.286410000001</v>
      </c>
      <c r="H18" s="145">
        <v>9759.1101000000017</v>
      </c>
      <c r="I18" s="145">
        <v>9991.871079999999</v>
      </c>
      <c r="K18" s="36">
        <v>9759.1101000000017</v>
      </c>
      <c r="L18" s="36">
        <v>9991.871079999999</v>
      </c>
      <c r="N18" s="36">
        <f t="shared" si="7"/>
        <v>0</v>
      </c>
    </row>
    <row r="19" spans="1:14">
      <c r="A19" s="34">
        <v>15</v>
      </c>
      <c r="B19" s="44" t="s">
        <v>43</v>
      </c>
      <c r="C19" s="36">
        <v>3359.1019999999999</v>
      </c>
      <c r="D19" s="36">
        <v>3263.9303200000008</v>
      </c>
      <c r="E19" s="36">
        <v>3315.6855899999996</v>
      </c>
      <c r="F19" s="36">
        <v>3819.5933099999997</v>
      </c>
      <c r="G19" s="36">
        <v>3679.8873200000003</v>
      </c>
      <c r="H19" s="145">
        <v>4161.9664611792996</v>
      </c>
      <c r="I19" s="145">
        <f>'Revenue Requirement'!C4/1000</f>
        <v>4321.9583990672681</v>
      </c>
      <c r="K19" s="36">
        <v>4161.9664611792996</v>
      </c>
      <c r="L19" s="36">
        <f>'Revenue Requirement'!G4/1000</f>
        <v>4141.9583990672681</v>
      </c>
      <c r="N19" s="36">
        <f t="shared" si="7"/>
        <v>-180</v>
      </c>
    </row>
    <row r="20" spans="1:14">
      <c r="A20" s="34">
        <v>16</v>
      </c>
      <c r="B20" s="44" t="s">
        <v>82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149">
        <v>0</v>
      </c>
      <c r="I20" s="149">
        <v>7.4999999999999997E-2</v>
      </c>
      <c r="K20" s="45">
        <v>0</v>
      </c>
      <c r="L20" s="45">
        <v>7.4999999999999997E-2</v>
      </c>
      <c r="N20" s="45">
        <f t="shared" si="7"/>
        <v>0</v>
      </c>
    </row>
    <row r="21" spans="1:14">
      <c r="A21" s="34">
        <v>17</v>
      </c>
      <c r="B21" s="46" t="s">
        <v>83</v>
      </c>
      <c r="C21" s="47">
        <f t="shared" ref="C21:G21" si="14">(C18+C19)*C20</f>
        <v>0</v>
      </c>
      <c r="D21" s="47">
        <f t="shared" si="14"/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150">
        <f>(H18+H19)*H20</f>
        <v>0</v>
      </c>
      <c r="I21" s="150">
        <f>(I18+I19)*I20</f>
        <v>1073.5372109300449</v>
      </c>
      <c r="K21" s="47">
        <f>(K18+K19)*K20</f>
        <v>0</v>
      </c>
      <c r="L21" s="47">
        <f>(L18+L19)*L20</f>
        <v>1060.0372109300449</v>
      </c>
      <c r="N21" s="47">
        <f t="shared" si="7"/>
        <v>-13.5</v>
      </c>
    </row>
    <row r="22" spans="1:14">
      <c r="A22" s="34">
        <v>18</v>
      </c>
      <c r="B22" s="44"/>
      <c r="C22" s="36"/>
      <c r="D22" s="36"/>
      <c r="E22" s="36"/>
      <c r="F22" s="36"/>
      <c r="G22" s="36"/>
      <c r="H22" s="145"/>
      <c r="I22" s="145"/>
      <c r="K22" s="36"/>
      <c r="L22" s="36"/>
      <c r="N22" s="36"/>
    </row>
    <row r="23" spans="1:14">
      <c r="A23" s="48">
        <v>19</v>
      </c>
      <c r="B23" s="49" t="s">
        <v>84</v>
      </c>
      <c r="C23" s="50">
        <f>C15+C21</f>
        <v>16159.655916835061</v>
      </c>
      <c r="D23" s="50">
        <f t="shared" ref="D23:I23" si="15">D15+D21</f>
        <v>15639.180534999998</v>
      </c>
      <c r="E23" s="50">
        <f t="shared" si="15"/>
        <v>17000.339225000003</v>
      </c>
      <c r="F23" s="50">
        <f t="shared" si="15"/>
        <v>17915.896564999995</v>
      </c>
      <c r="G23" s="50">
        <f t="shared" si="15"/>
        <v>19353.773184999998</v>
      </c>
      <c r="H23" s="151">
        <f t="shared" si="15"/>
        <v>22238.699880489487</v>
      </c>
      <c r="I23" s="151">
        <f t="shared" si="15"/>
        <v>26626.557563467413</v>
      </c>
      <c r="K23" s="50">
        <f t="shared" ref="K23:L23" si="16">K15+K21</f>
        <v>21893.137803736638</v>
      </c>
      <c r="L23" s="50">
        <f t="shared" si="16"/>
        <v>25880.979471306935</v>
      </c>
      <c r="N23" s="50">
        <f t="shared" si="7"/>
        <v>-745.57809216047826</v>
      </c>
    </row>
    <row r="24" spans="1:14">
      <c r="A24" s="48">
        <v>20</v>
      </c>
      <c r="B24" s="51" t="s">
        <v>85</v>
      </c>
      <c r="C24" s="52"/>
      <c r="D24" s="52">
        <f>D23-C23</f>
        <v>-520.47538183506367</v>
      </c>
      <c r="E24" s="52">
        <f t="shared" ref="E24:I24" si="17">E23-D23</f>
        <v>1361.1586900000057</v>
      </c>
      <c r="F24" s="52">
        <f t="shared" si="17"/>
        <v>915.55733999999211</v>
      </c>
      <c r="G24" s="52">
        <f t="shared" si="17"/>
        <v>1437.8766200000027</v>
      </c>
      <c r="H24" s="152">
        <f t="shared" si="17"/>
        <v>2884.9266954894883</v>
      </c>
      <c r="I24" s="152">
        <f t="shared" si="17"/>
        <v>4387.8576829779267</v>
      </c>
      <c r="K24" s="52">
        <f>K23-G23</f>
        <v>2539.3646187366394</v>
      </c>
      <c r="L24" s="52">
        <f t="shared" ref="L24" si="18">L23-K23</f>
        <v>3987.8416675702974</v>
      </c>
      <c r="N24" s="52"/>
    </row>
    <row r="25" spans="1:14">
      <c r="A25" s="48">
        <v>21</v>
      </c>
      <c r="B25" s="51" t="s">
        <v>86</v>
      </c>
      <c r="C25" s="52"/>
      <c r="D25" s="53">
        <f>D24/C23</f>
        <v>-3.2208320802971716E-2</v>
      </c>
      <c r="E25" s="53">
        <f t="shared" ref="E25:I25" si="19">E24/D23</f>
        <v>8.7035167025137597E-2</v>
      </c>
      <c r="F25" s="53">
        <f t="shared" si="19"/>
        <v>5.385523946802255E-2</v>
      </c>
      <c r="G25" s="53">
        <f t="shared" si="19"/>
        <v>8.0257028431889865E-2</v>
      </c>
      <c r="H25" s="153">
        <f t="shared" si="19"/>
        <v>0.14906275215240353</v>
      </c>
      <c r="I25" s="153">
        <f t="shared" si="19"/>
        <v>0.19730729343703646</v>
      </c>
      <c r="K25" s="53">
        <f>K24/G23</f>
        <v>0.13120772856348009</v>
      </c>
      <c r="L25" s="53">
        <f t="shared" ref="L25" si="20">L24/K23</f>
        <v>0.18215030222345138</v>
      </c>
      <c r="N25" s="53"/>
    </row>
    <row r="26" spans="1:14">
      <c r="C26" s="55"/>
      <c r="D26" s="54"/>
      <c r="E26" s="54"/>
      <c r="F26" s="54"/>
      <c r="G26" s="54"/>
      <c r="H26" s="54"/>
      <c r="I26" s="54"/>
      <c r="K26" s="54"/>
      <c r="L26" s="54"/>
      <c r="N26" s="54"/>
    </row>
    <row r="29" spans="1:14">
      <c r="A29" s="27"/>
      <c r="B29" s="29"/>
      <c r="C29" s="27" t="s">
        <v>49</v>
      </c>
      <c r="D29" s="27" t="s">
        <v>51</v>
      </c>
      <c r="E29" s="27" t="s">
        <v>52</v>
      </c>
      <c r="F29" s="27" t="s">
        <v>53</v>
      </c>
      <c r="G29" s="27" t="s">
        <v>54</v>
      </c>
      <c r="H29" s="144" t="s">
        <v>55</v>
      </c>
      <c r="I29" s="144" t="s">
        <v>56</v>
      </c>
      <c r="K29" s="27" t="s">
        <v>127</v>
      </c>
      <c r="L29" s="27" t="s">
        <v>128</v>
      </c>
      <c r="N29" s="27" t="s">
        <v>131</v>
      </c>
    </row>
    <row r="30" spans="1:14">
      <c r="A30" s="37"/>
      <c r="B30" s="56" t="s">
        <v>80</v>
      </c>
      <c r="C30" s="57"/>
      <c r="D30" s="57" t="s">
        <v>59</v>
      </c>
      <c r="E30" s="57" t="s">
        <v>60</v>
      </c>
      <c r="F30" s="57" t="s">
        <v>61</v>
      </c>
      <c r="G30" s="57" t="s">
        <v>62</v>
      </c>
      <c r="H30" s="154" t="s">
        <v>73</v>
      </c>
      <c r="I30" s="154" t="s">
        <v>42</v>
      </c>
      <c r="K30" s="57" t="s">
        <v>73</v>
      </c>
      <c r="L30" s="57" t="s">
        <v>42</v>
      </c>
      <c r="N30" s="57" t="s">
        <v>42</v>
      </c>
    </row>
    <row r="31" spans="1:14">
      <c r="A31" s="34">
        <v>1</v>
      </c>
      <c r="B31" s="44" t="s">
        <v>81</v>
      </c>
      <c r="C31" s="36"/>
      <c r="D31" s="36">
        <f t="shared" ref="D31:I32" si="21">D18</f>
        <v>6102.1441099999993</v>
      </c>
      <c r="E31" s="36">
        <f t="shared" si="21"/>
        <v>7290.7996499999999</v>
      </c>
      <c r="F31" s="36">
        <f t="shared" si="21"/>
        <v>11003.840400000001</v>
      </c>
      <c r="G31" s="36">
        <f t="shared" si="21"/>
        <v>12293.286410000001</v>
      </c>
      <c r="H31" s="145">
        <f t="shared" si="21"/>
        <v>9759.1101000000017</v>
      </c>
      <c r="I31" s="145">
        <f t="shared" si="21"/>
        <v>9991.871079999999</v>
      </c>
      <c r="K31" s="36">
        <f t="shared" ref="K31:L31" si="22">K18</f>
        <v>9759.1101000000017</v>
      </c>
      <c r="L31" s="36">
        <f t="shared" si="22"/>
        <v>9991.871079999999</v>
      </c>
      <c r="N31" s="36">
        <f t="shared" ref="N31:N32" si="23">L31-I31</f>
        <v>0</v>
      </c>
    </row>
    <row r="32" spans="1:14">
      <c r="A32" s="34">
        <v>2</v>
      </c>
      <c r="B32" s="44" t="s">
        <v>43</v>
      </c>
      <c r="C32" s="36"/>
      <c r="D32" s="36">
        <f t="shared" si="21"/>
        <v>3263.9303200000008</v>
      </c>
      <c r="E32" s="36">
        <f t="shared" si="21"/>
        <v>3315.6855899999996</v>
      </c>
      <c r="F32" s="36">
        <f t="shared" si="21"/>
        <v>3819.5933099999997</v>
      </c>
      <c r="G32" s="36">
        <f t="shared" si="21"/>
        <v>3679.8873200000003</v>
      </c>
      <c r="H32" s="145">
        <f t="shared" si="21"/>
        <v>4161.9664611792996</v>
      </c>
      <c r="I32" s="145">
        <f t="shared" si="21"/>
        <v>4321.9583990672681</v>
      </c>
      <c r="K32" s="36">
        <f t="shared" ref="K32:L32" si="24">K19</f>
        <v>4161.9664611792996</v>
      </c>
      <c r="L32" s="36">
        <f t="shared" si="24"/>
        <v>4141.9583990672681</v>
      </c>
      <c r="N32" s="36">
        <f t="shared" si="23"/>
        <v>-180</v>
      </c>
    </row>
    <row r="33" spans="1:14">
      <c r="A33" s="37">
        <v>3</v>
      </c>
      <c r="B33" s="58" t="s">
        <v>82</v>
      </c>
      <c r="C33" s="59"/>
      <c r="D33" s="59">
        <v>7.4999999999999997E-2</v>
      </c>
      <c r="E33" s="59">
        <v>7.4999999999999997E-2</v>
      </c>
      <c r="F33" s="59">
        <v>7.4999999999999997E-2</v>
      </c>
      <c r="G33" s="59">
        <v>7.4999999999999997E-2</v>
      </c>
      <c r="H33" s="155">
        <v>7.4999999999999997E-2</v>
      </c>
      <c r="I33" s="155">
        <v>7.4999999999999997E-2</v>
      </c>
      <c r="K33" s="59">
        <v>7.4999999999999997E-2</v>
      </c>
      <c r="L33" s="59">
        <v>7.4999999999999997E-2</v>
      </c>
      <c r="N33" s="59">
        <v>7.4999999999999997E-2</v>
      </c>
    </row>
    <row r="34" spans="1:14">
      <c r="A34" s="37">
        <v>4</v>
      </c>
      <c r="B34" s="49" t="s">
        <v>12</v>
      </c>
      <c r="C34" s="50"/>
      <c r="D34" s="50">
        <f t="shared" ref="D34:H34" si="25">(D31+D32)*D33</f>
        <v>702.45558225000002</v>
      </c>
      <c r="E34" s="50">
        <f t="shared" si="25"/>
        <v>795.48639300000002</v>
      </c>
      <c r="F34" s="50">
        <f t="shared" si="25"/>
        <v>1111.75752825</v>
      </c>
      <c r="G34" s="50">
        <f t="shared" si="25"/>
        <v>1197.9880297499999</v>
      </c>
      <c r="H34" s="151">
        <f t="shared" si="25"/>
        <v>1044.0807420884476</v>
      </c>
      <c r="I34" s="151">
        <f>(I31+I32)*I33</f>
        <v>1073.5372109300449</v>
      </c>
      <c r="K34" s="50">
        <f t="shared" ref="K34" si="26">(K31+K32)*K33</f>
        <v>1044.0807420884476</v>
      </c>
      <c r="L34" s="50">
        <f>(L31+L32)*L33</f>
        <v>1060.0372109300449</v>
      </c>
      <c r="N34" s="50">
        <f>(N31+N32)*N33</f>
        <v>-13.5</v>
      </c>
    </row>
  </sheetData>
  <customSheetViews>
    <customSheetView guid="{AA99D3D3-DB59-480B-8D6F-8444093D81D7}" showGridLines="0">
      <selection activeCell="K30" sqref="K30:L30"/>
      <pageMargins left="0.7" right="0.7" top="0.75" bottom="0.75" header="0.3" footer="0.3"/>
    </customSheetView>
  </customSheetViews>
  <mergeCells count="2">
    <mergeCell ref="H2:I2"/>
    <mergeCell ref="K2:L2"/>
  </mergeCells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zoomScale="90" zoomScaleNormal="90" workbookViewId="0">
      <selection activeCell="Q24" sqref="Q24"/>
    </sheetView>
  </sheetViews>
  <sheetFormatPr defaultColWidth="8.25" defaultRowHeight="14.25"/>
  <cols>
    <col min="1" max="1" width="12.25" style="110" bestFit="1" customWidth="1"/>
    <col min="2" max="2" width="27.5" style="110" bestFit="1" customWidth="1"/>
    <col min="3" max="8" width="12.625" style="110" customWidth="1"/>
    <col min="9" max="9" width="11.75" style="110" customWidth="1"/>
    <col min="10" max="16384" width="8.25" style="110"/>
  </cols>
  <sheetData>
    <row r="1" spans="1:9" s="109" customFormat="1" ht="18">
      <c r="A1" s="129" t="s">
        <v>114</v>
      </c>
      <c r="B1" s="120"/>
      <c r="C1" s="120"/>
      <c r="D1" s="120"/>
      <c r="E1" s="120"/>
      <c r="F1" s="120"/>
      <c r="G1" s="120"/>
      <c r="H1" s="120"/>
      <c r="I1" s="120"/>
    </row>
    <row r="2" spans="1:9" s="109" customFormat="1" ht="18">
      <c r="A2" s="129" t="s">
        <v>116</v>
      </c>
      <c r="B2" s="120"/>
      <c r="C2" s="120"/>
      <c r="D2" s="120"/>
      <c r="E2" s="120"/>
      <c r="F2" s="120"/>
      <c r="G2" s="120"/>
      <c r="H2" s="120"/>
      <c r="I2" s="120"/>
    </row>
    <row r="3" spans="1:9" s="109" customFormat="1">
      <c r="B3" s="208"/>
      <c r="C3" s="208"/>
      <c r="D3" s="208"/>
      <c r="E3" s="208"/>
      <c r="F3" s="208"/>
      <c r="G3" s="208"/>
      <c r="H3" s="208"/>
      <c r="I3" s="208"/>
    </row>
    <row r="4" spans="1:9" ht="63" customHeight="1">
      <c r="A4" s="132" t="s">
        <v>111</v>
      </c>
      <c r="B4" s="111" t="s">
        <v>106</v>
      </c>
      <c r="C4" s="133" t="s">
        <v>14</v>
      </c>
      <c r="D4" s="134" t="s">
        <v>15</v>
      </c>
      <c r="E4" s="134" t="s">
        <v>16</v>
      </c>
      <c r="F4" s="134" t="s">
        <v>17</v>
      </c>
      <c r="G4" s="134" t="s">
        <v>18</v>
      </c>
      <c r="H4" s="134" t="s">
        <v>19</v>
      </c>
      <c r="I4" s="134" t="s">
        <v>20</v>
      </c>
    </row>
    <row r="5" spans="1:9" ht="15" hidden="1" thickBot="1">
      <c r="A5" s="199"/>
      <c r="B5" s="130" t="s">
        <v>21</v>
      </c>
      <c r="C5" s="131" t="s">
        <v>22</v>
      </c>
      <c r="D5" s="131" t="s">
        <v>22</v>
      </c>
      <c r="E5" s="131" t="s">
        <v>22</v>
      </c>
      <c r="F5" s="131" t="s">
        <v>22</v>
      </c>
      <c r="G5" s="131" t="s">
        <v>22</v>
      </c>
      <c r="H5" s="131" t="s">
        <v>22</v>
      </c>
      <c r="I5" s="131" t="s">
        <v>22</v>
      </c>
    </row>
    <row r="6" spans="1:9">
      <c r="A6" s="200">
        <v>301</v>
      </c>
      <c r="B6" s="111" t="s">
        <v>24</v>
      </c>
      <c r="C6" s="112">
        <v>1419.14</v>
      </c>
      <c r="D6" s="112">
        <v>1216.0271399999999</v>
      </c>
      <c r="E6" s="112">
        <v>1286.3667700000001</v>
      </c>
      <c r="F6" s="112">
        <v>1463.6042500000001</v>
      </c>
      <c r="G6" s="112">
        <v>1580.4927399999999</v>
      </c>
      <c r="H6" s="112">
        <v>1631.268424283523</v>
      </c>
      <c r="I6" s="112">
        <v>1811.70706906548</v>
      </c>
    </row>
    <row r="7" spans="1:9">
      <c r="A7" s="200">
        <v>301</v>
      </c>
      <c r="B7" s="111" t="s">
        <v>25</v>
      </c>
      <c r="C7" s="112">
        <v>362.03</v>
      </c>
      <c r="D7" s="112">
        <v>338.70492000000002</v>
      </c>
      <c r="E7" s="112">
        <v>370.03886999999997</v>
      </c>
      <c r="F7" s="112">
        <v>386.16982000000002</v>
      </c>
      <c r="G7" s="112">
        <v>435.73244</v>
      </c>
      <c r="H7" s="112">
        <v>398.74237524463166</v>
      </c>
      <c r="I7" s="112">
        <v>445.20215288408576</v>
      </c>
    </row>
    <row r="8" spans="1:9">
      <c r="A8" s="200">
        <v>301</v>
      </c>
      <c r="B8" s="111" t="s">
        <v>64</v>
      </c>
      <c r="C8" s="112">
        <v>-235.46799999999999</v>
      </c>
      <c r="D8" s="112">
        <v>-283.81223</v>
      </c>
      <c r="E8" s="112">
        <v>-330.13</v>
      </c>
      <c r="F8" s="112">
        <v>-253.21858</v>
      </c>
      <c r="G8" s="112">
        <v>-318.87671999999998</v>
      </c>
      <c r="H8" s="112">
        <v>-387.18885516399996</v>
      </c>
      <c r="I8" s="112">
        <v>-419.295527472</v>
      </c>
    </row>
    <row r="9" spans="1:9">
      <c r="A9" s="200">
        <v>301</v>
      </c>
      <c r="B9" s="111" t="s">
        <v>65</v>
      </c>
      <c r="C9" s="113">
        <v>-113.57899999999999</v>
      </c>
      <c r="D9" s="113">
        <v>-214.88878980499999</v>
      </c>
      <c r="E9" s="113">
        <v>-212.89952000000002</v>
      </c>
      <c r="F9" s="113">
        <v>-380.62714319374999</v>
      </c>
      <c r="G9" s="113">
        <v>-607.83451549999995</v>
      </c>
      <c r="H9" s="113">
        <v>-636.090680126199</v>
      </c>
      <c r="I9" s="113">
        <v>-502.05413660067393</v>
      </c>
    </row>
    <row r="10" spans="1:9">
      <c r="A10" s="200">
        <v>301</v>
      </c>
      <c r="B10" s="111" t="s">
        <v>112</v>
      </c>
      <c r="C10" s="113">
        <v>453.505</v>
      </c>
      <c r="D10" s="113">
        <v>696.81269980499997</v>
      </c>
      <c r="E10" s="113">
        <v>640.94177000000002</v>
      </c>
      <c r="F10" s="113">
        <v>739.35733319375004</v>
      </c>
      <c r="G10" s="113">
        <v>894.76724914285717</v>
      </c>
      <c r="H10" s="113">
        <v>1142.819612374027</v>
      </c>
      <c r="I10" s="113">
        <v>1085.1784489106735</v>
      </c>
    </row>
    <row r="11" spans="1:9">
      <c r="A11" s="200">
        <v>301</v>
      </c>
      <c r="B11" s="111" t="s">
        <v>26</v>
      </c>
      <c r="C11" s="113">
        <v>315.03500000000003</v>
      </c>
      <c r="D11" s="113">
        <v>323.29626999999999</v>
      </c>
      <c r="E11" s="113">
        <v>382.47300000000001</v>
      </c>
      <c r="F11" s="113">
        <v>475.61435</v>
      </c>
      <c r="G11" s="113">
        <v>173.92634000000001</v>
      </c>
      <c r="H11" s="113">
        <v>182.68</v>
      </c>
      <c r="I11" s="113">
        <v>329.70100000000002</v>
      </c>
    </row>
    <row r="12" spans="1:9">
      <c r="A12" s="200">
        <v>301</v>
      </c>
      <c r="B12" s="114" t="s">
        <v>28</v>
      </c>
      <c r="C12" s="113">
        <v>211.852</v>
      </c>
      <c r="D12" s="113">
        <v>57.504529999999995</v>
      </c>
      <c r="E12" s="113">
        <v>36.732009999999995</v>
      </c>
      <c r="F12" s="113">
        <v>35.196620000000003</v>
      </c>
      <c r="G12" s="113">
        <v>145.02505635714286</v>
      </c>
      <c r="H12" s="113">
        <v>38.999999999999943</v>
      </c>
      <c r="I12" s="113">
        <v>138.99999999999997</v>
      </c>
    </row>
    <row r="13" spans="1:9">
      <c r="A13" s="200">
        <v>301</v>
      </c>
      <c r="B13" s="111" t="s">
        <v>29</v>
      </c>
      <c r="C13" s="113">
        <v>34.468000000000004</v>
      </c>
      <c r="D13" s="113">
        <v>43.837389999999999</v>
      </c>
      <c r="E13" s="113">
        <v>32.454720000000002</v>
      </c>
      <c r="F13" s="113">
        <v>38.983760000000004</v>
      </c>
      <c r="G13" s="113">
        <v>17.240119999999997</v>
      </c>
      <c r="H13" s="113">
        <v>41.999999999999993</v>
      </c>
      <c r="I13" s="113">
        <v>35.735000000004085</v>
      </c>
    </row>
    <row r="14" spans="1:9">
      <c r="A14" s="200">
        <v>301</v>
      </c>
      <c r="B14" s="111" t="s">
        <v>27</v>
      </c>
      <c r="C14" s="113">
        <v>31.334</v>
      </c>
      <c r="D14" s="113">
        <v>36.520000000000003</v>
      </c>
      <c r="E14" s="113">
        <v>8.9570000000000007</v>
      </c>
      <c r="F14" s="113">
        <v>24.25</v>
      </c>
      <c r="G14" s="113">
        <v>23.004999999999999</v>
      </c>
      <c r="H14" s="113">
        <v>27.582214945243713</v>
      </c>
      <c r="I14" s="113">
        <v>28.16144145909384</v>
      </c>
    </row>
    <row r="15" spans="1:9">
      <c r="A15" s="200">
        <v>301</v>
      </c>
      <c r="B15" s="111" t="s">
        <v>66</v>
      </c>
      <c r="C15" s="113">
        <v>17.443000000000001</v>
      </c>
      <c r="D15" s="113">
        <v>54.109899999999996</v>
      </c>
      <c r="E15" s="113">
        <v>60.739880000000007</v>
      </c>
      <c r="F15" s="113">
        <v>31.734950000000001</v>
      </c>
      <c r="G15" s="113">
        <v>22.608220000000003</v>
      </c>
      <c r="H15" s="113">
        <v>33</v>
      </c>
      <c r="I15" s="113">
        <v>33.567</v>
      </c>
    </row>
    <row r="16" spans="1:9">
      <c r="A16" s="200">
        <v>301</v>
      </c>
      <c r="B16" s="111" t="s">
        <v>67</v>
      </c>
      <c r="C16" s="113">
        <v>36</v>
      </c>
      <c r="D16" s="113">
        <v>102.36983000000001</v>
      </c>
      <c r="E16" s="113">
        <v>100.48525000000001</v>
      </c>
      <c r="F16" s="113">
        <v>103.27816</v>
      </c>
      <c r="G16" s="113">
        <v>128.76509000000001</v>
      </c>
      <c r="H16" s="113">
        <v>117.56300000000003</v>
      </c>
      <c r="I16" s="113">
        <v>120.84882488880001</v>
      </c>
    </row>
    <row r="17" spans="1:9">
      <c r="A17" s="200">
        <v>301</v>
      </c>
      <c r="B17" s="111" t="s">
        <v>31</v>
      </c>
      <c r="C17" s="113">
        <v>127.39400000000001</v>
      </c>
      <c r="D17" s="113">
        <v>147.20022</v>
      </c>
      <c r="E17" s="113">
        <v>138.89829999999998</v>
      </c>
      <c r="F17" s="113">
        <v>146.85729999999998</v>
      </c>
      <c r="G17" s="113">
        <v>172.82960999999997</v>
      </c>
      <c r="H17" s="113">
        <v>138.40075999999999</v>
      </c>
      <c r="I17" s="113">
        <v>134.86036800000406</v>
      </c>
    </row>
    <row r="18" spans="1:9">
      <c r="A18" s="200">
        <v>301</v>
      </c>
      <c r="B18" s="114" t="s">
        <v>30</v>
      </c>
      <c r="C18" s="113">
        <v>34.24</v>
      </c>
      <c r="D18" s="113">
        <v>10.2128</v>
      </c>
      <c r="E18" s="113">
        <v>18.405440000000002</v>
      </c>
      <c r="F18" s="113">
        <v>28.75414</v>
      </c>
      <c r="G18" s="113">
        <v>19.200610000000001</v>
      </c>
      <c r="H18" s="113">
        <v>25.210000000004001</v>
      </c>
      <c r="I18" s="113">
        <v>25.271110000004086</v>
      </c>
    </row>
    <row r="19" spans="1:9">
      <c r="A19" s="200">
        <v>301</v>
      </c>
      <c r="B19" s="111" t="s">
        <v>32</v>
      </c>
      <c r="C19" s="113">
        <v>31.184999999999999</v>
      </c>
      <c r="D19" s="113">
        <v>6.6901000000000002</v>
      </c>
      <c r="E19" s="113">
        <v>16.425840000000001</v>
      </c>
      <c r="F19" s="113">
        <v>30.61411</v>
      </c>
      <c r="G19" s="113">
        <v>36.456590000000006</v>
      </c>
      <c r="H19" s="113">
        <v>26.22</v>
      </c>
      <c r="I19" s="113">
        <v>26.770619999999994</v>
      </c>
    </row>
    <row r="20" spans="1:9">
      <c r="A20" s="200">
        <v>301</v>
      </c>
      <c r="B20" s="111" t="s">
        <v>35</v>
      </c>
      <c r="C20" s="113">
        <v>15.145</v>
      </c>
      <c r="D20" s="113">
        <v>9.5571799999999989</v>
      </c>
      <c r="E20" s="113">
        <v>6.329089999999999</v>
      </c>
      <c r="F20" s="113">
        <v>21.197380000000006</v>
      </c>
      <c r="G20" s="113">
        <v>24.851539999999996</v>
      </c>
      <c r="H20" s="113">
        <v>23.885000000000009</v>
      </c>
      <c r="I20" s="113">
        <v>24.386504999999993</v>
      </c>
    </row>
    <row r="21" spans="1:9">
      <c r="A21" s="200">
        <v>301</v>
      </c>
      <c r="B21" s="111" t="s">
        <v>36</v>
      </c>
      <c r="C21" s="113">
        <v>0</v>
      </c>
      <c r="D21" s="113">
        <v>17.181090000000001</v>
      </c>
      <c r="E21" s="113">
        <v>14.79392</v>
      </c>
      <c r="F21" s="113">
        <v>26.512719999999998</v>
      </c>
      <c r="G21" s="113">
        <v>27.938809999999997</v>
      </c>
      <c r="H21" s="113">
        <v>19.591185773215482</v>
      </c>
      <c r="I21" s="113">
        <v>19.684265202450288</v>
      </c>
    </row>
    <row r="22" spans="1:9">
      <c r="A22" s="200">
        <v>301</v>
      </c>
      <c r="B22" s="111" t="s">
        <v>38</v>
      </c>
      <c r="C22" s="113">
        <v>86.210999999999999</v>
      </c>
      <c r="D22" s="113">
        <v>104.52973</v>
      </c>
      <c r="E22" s="113">
        <v>111.41830999999999</v>
      </c>
      <c r="F22" s="113">
        <v>110.70725</v>
      </c>
      <c r="G22" s="113">
        <v>32.467019999999998</v>
      </c>
      <c r="H22" s="113">
        <v>39.972000000000001</v>
      </c>
      <c r="I22" s="113">
        <v>42.683999999999997</v>
      </c>
    </row>
    <row r="23" spans="1:9">
      <c r="A23" s="200">
        <v>301</v>
      </c>
      <c r="B23" s="111" t="s">
        <v>68</v>
      </c>
      <c r="C23" s="113">
        <v>0</v>
      </c>
      <c r="D23" s="113">
        <v>3.7</v>
      </c>
      <c r="E23" s="113">
        <v>0</v>
      </c>
      <c r="F23" s="113">
        <v>2.6657800000000003</v>
      </c>
      <c r="G23" s="113">
        <v>3.9717099999999999</v>
      </c>
      <c r="H23" s="113">
        <v>1.0000000000000002</v>
      </c>
      <c r="I23" s="113">
        <v>1.0209999999999995</v>
      </c>
    </row>
    <row r="24" spans="1:9">
      <c r="A24" s="200">
        <v>301</v>
      </c>
      <c r="B24" s="114" t="s">
        <v>37</v>
      </c>
      <c r="C24" s="113">
        <v>439.21699999999998</v>
      </c>
      <c r="D24" s="113">
        <v>340.75296000000003</v>
      </c>
      <c r="E24" s="113">
        <v>369.51135999999997</v>
      </c>
      <c r="F24" s="113">
        <v>531.34706000000006</v>
      </c>
      <c r="G24" s="113">
        <v>529.21843999999999</v>
      </c>
      <c r="H24" s="113">
        <v>547.64165720060964</v>
      </c>
      <c r="I24" s="113">
        <v>580.20273172934537</v>
      </c>
    </row>
    <row r="25" spans="1:9">
      <c r="A25" s="200">
        <v>301</v>
      </c>
      <c r="B25" s="111" t="s">
        <v>39</v>
      </c>
      <c r="C25" s="113">
        <v>0</v>
      </c>
      <c r="D25" s="113">
        <v>12.529910000000001</v>
      </c>
      <c r="E25" s="113">
        <v>7.5900099999999995</v>
      </c>
      <c r="F25" s="113">
        <v>8.9144799999999993</v>
      </c>
      <c r="G25" s="113">
        <v>10.720890000000001</v>
      </c>
      <c r="H25" s="113">
        <v>14.596</v>
      </c>
      <c r="I25" s="113">
        <v>14.7463</v>
      </c>
    </row>
    <row r="26" spans="1:9">
      <c r="A26" s="200">
        <v>301</v>
      </c>
      <c r="B26" s="111" t="s">
        <v>34</v>
      </c>
      <c r="C26" s="113">
        <v>6.0190000000000001</v>
      </c>
      <c r="D26" s="113">
        <v>10.027659999999999</v>
      </c>
      <c r="E26" s="113">
        <v>2.2324499999999996</v>
      </c>
      <c r="F26" s="113">
        <v>2.3228400000000002</v>
      </c>
      <c r="G26" s="113">
        <v>3.24491</v>
      </c>
      <c r="H26" s="113">
        <v>0</v>
      </c>
      <c r="I26" s="113">
        <v>0</v>
      </c>
    </row>
    <row r="27" spans="1:9">
      <c r="A27" s="200">
        <v>301</v>
      </c>
      <c r="B27" s="111" t="s">
        <v>33</v>
      </c>
      <c r="C27" s="113">
        <v>34.200000000000003</v>
      </c>
      <c r="D27" s="113">
        <v>10.970979999999999</v>
      </c>
      <c r="E27" s="113">
        <v>43.993989999999997</v>
      </c>
      <c r="F27" s="113">
        <v>60.098080000000003</v>
      </c>
      <c r="G27" s="113">
        <v>88.04195</v>
      </c>
      <c r="H27" s="113">
        <v>92.444119999999998</v>
      </c>
      <c r="I27" s="113">
        <v>97.066320000000005</v>
      </c>
    </row>
    <row r="28" spans="1:9">
      <c r="A28" s="200">
        <v>301</v>
      </c>
      <c r="B28" s="111" t="s">
        <v>40</v>
      </c>
      <c r="C28" s="113">
        <v>0</v>
      </c>
      <c r="D28" s="113">
        <v>9.5354599999999987</v>
      </c>
      <c r="E28" s="113">
        <v>5.8672899999999997</v>
      </c>
      <c r="F28" s="113">
        <v>4.9912900000000002</v>
      </c>
      <c r="G28" s="113">
        <v>10.63222</v>
      </c>
      <c r="H28" s="113">
        <v>0</v>
      </c>
      <c r="I28" s="113">
        <v>0</v>
      </c>
    </row>
    <row r="29" spans="1:9">
      <c r="A29" s="200">
        <v>301</v>
      </c>
      <c r="B29" s="111" t="s">
        <v>69</v>
      </c>
      <c r="C29" s="113">
        <v>8</v>
      </c>
      <c r="D29" s="113">
        <v>0</v>
      </c>
      <c r="E29" s="113">
        <v>0</v>
      </c>
      <c r="F29" s="113">
        <v>0</v>
      </c>
      <c r="G29" s="113">
        <v>0</v>
      </c>
      <c r="H29" s="113">
        <v>10.055</v>
      </c>
      <c r="I29" s="113">
        <v>10.055</v>
      </c>
    </row>
    <row r="30" spans="1:9" ht="14.25" customHeight="1">
      <c r="A30" s="201">
        <v>302</v>
      </c>
      <c r="B30" s="114" t="s">
        <v>113</v>
      </c>
      <c r="C30" s="113">
        <v>45.747999999999998</v>
      </c>
      <c r="D30" s="113">
        <v>109.00749999999999</v>
      </c>
      <c r="E30" s="113">
        <v>116.28245999999999</v>
      </c>
      <c r="F30" s="113">
        <v>122.31252000000001</v>
      </c>
      <c r="G30" s="113">
        <v>137.45768000000001</v>
      </c>
      <c r="H30" s="113">
        <v>146.26400000000001</v>
      </c>
      <c r="I30" s="113">
        <v>147.77801599999998</v>
      </c>
    </row>
    <row r="31" spans="1:9" ht="14.25" customHeight="1">
      <c r="A31" s="200">
        <v>313</v>
      </c>
      <c r="B31" s="111" t="s">
        <v>66</v>
      </c>
      <c r="C31" s="113">
        <v>0</v>
      </c>
      <c r="D31" s="113">
        <v>101.55307000000001</v>
      </c>
      <c r="E31" s="113">
        <v>87.777379999999994</v>
      </c>
      <c r="F31" s="113">
        <v>57.954839999999997</v>
      </c>
      <c r="G31" s="113">
        <v>88.004320000000007</v>
      </c>
      <c r="H31" s="113">
        <v>88.53</v>
      </c>
      <c r="I31" s="113">
        <v>89.680889999999991</v>
      </c>
    </row>
    <row r="32" spans="1:9" ht="15" thickBot="1">
      <c r="A32" s="132"/>
      <c r="B32" s="161" t="s">
        <v>125</v>
      </c>
      <c r="C32" s="202">
        <v>-150</v>
      </c>
      <c r="D32" s="202"/>
      <c r="E32" s="202"/>
      <c r="F32" s="202"/>
      <c r="G32" s="202"/>
      <c r="H32" s="202"/>
      <c r="I32" s="202">
        <v>-180</v>
      </c>
    </row>
    <row r="33" spans="1:9" hidden="1">
      <c r="A33" s="111"/>
      <c r="B33" s="111"/>
      <c r="C33" s="113"/>
      <c r="D33" s="113"/>
      <c r="E33" s="113"/>
      <c r="F33" s="113"/>
      <c r="G33" s="113"/>
      <c r="H33" s="113"/>
      <c r="I33" s="113"/>
    </row>
    <row r="34" spans="1:9" hidden="1">
      <c r="A34" s="111"/>
      <c r="B34" s="111"/>
      <c r="C34" s="113"/>
      <c r="D34" s="113"/>
      <c r="E34" s="113"/>
      <c r="F34" s="113"/>
      <c r="G34" s="113"/>
      <c r="H34" s="113"/>
      <c r="I34" s="113"/>
    </row>
    <row r="35" spans="1:9" hidden="1">
      <c r="A35" s="111"/>
      <c r="B35" s="111"/>
      <c r="C35" s="113"/>
      <c r="D35" s="113"/>
      <c r="E35" s="113"/>
      <c r="F35" s="113"/>
      <c r="G35" s="113"/>
      <c r="H35" s="113"/>
      <c r="I35" s="113"/>
    </row>
    <row r="36" spans="1:9" ht="15" hidden="1" thickBot="1">
      <c r="A36" s="114"/>
      <c r="B36" s="114"/>
      <c r="C36" s="112"/>
      <c r="D36" s="112"/>
      <c r="E36" s="112"/>
      <c r="F36" s="112"/>
      <c r="G36" s="112"/>
      <c r="H36" s="112"/>
      <c r="I36" s="112"/>
    </row>
    <row r="37" spans="1:9" ht="15.75" thickTop="1" thickBot="1">
      <c r="A37" s="107"/>
      <c r="B37" s="107" t="s">
        <v>12</v>
      </c>
      <c r="C37" s="108">
        <f>SUM(C6:C36)</f>
        <v>3209.1189999999988</v>
      </c>
      <c r="D37" s="108">
        <f t="shared" ref="D37:I37" si="0">SUM(D6:D36)</f>
        <v>3263.9303200000004</v>
      </c>
      <c r="E37" s="108">
        <f t="shared" si="0"/>
        <v>3315.68559</v>
      </c>
      <c r="F37" s="108">
        <f t="shared" si="0"/>
        <v>3819.5933100000002</v>
      </c>
      <c r="G37" s="108">
        <f t="shared" si="0"/>
        <v>3679.8873199999994</v>
      </c>
      <c r="H37" s="108">
        <f t="shared" si="0"/>
        <v>3765.1858145310562</v>
      </c>
      <c r="I37" s="108">
        <f t="shared" si="0"/>
        <v>4141.9583990672672</v>
      </c>
    </row>
    <row r="39" spans="1:9">
      <c r="B39" s="115"/>
    </row>
    <row r="41" spans="1:9" ht="28.5" customHeight="1">
      <c r="B41" s="209"/>
      <c r="C41" s="209"/>
      <c r="D41" s="209"/>
      <c r="E41" s="209"/>
      <c r="F41" s="209"/>
      <c r="G41" s="209"/>
      <c r="H41" s="209"/>
      <c r="I41" s="209"/>
    </row>
    <row r="42" spans="1:9" ht="16.5" customHeight="1">
      <c r="B42" s="209"/>
      <c r="C42" s="209"/>
      <c r="D42" s="209"/>
      <c r="E42" s="209"/>
      <c r="F42" s="209"/>
      <c r="G42" s="209"/>
      <c r="H42" s="209"/>
      <c r="I42" s="209"/>
    </row>
    <row r="43" spans="1:9">
      <c r="B43" s="116"/>
      <c r="C43" s="116"/>
      <c r="D43" s="116"/>
      <c r="E43" s="116"/>
      <c r="F43" s="116"/>
      <c r="G43" s="116"/>
      <c r="H43" s="116"/>
      <c r="I43" s="116"/>
    </row>
    <row r="45" spans="1:9">
      <c r="B45" s="117"/>
      <c r="C45" s="117"/>
      <c r="D45" s="117"/>
      <c r="E45" s="117"/>
      <c r="F45" s="117"/>
      <c r="G45" s="117"/>
      <c r="H45" s="117"/>
      <c r="I45" s="117"/>
    </row>
    <row r="46" spans="1:9">
      <c r="B46" s="117"/>
      <c r="C46" s="117"/>
      <c r="D46" s="117"/>
      <c r="E46" s="117"/>
      <c r="F46" s="117"/>
      <c r="G46" s="117"/>
      <c r="H46" s="117"/>
      <c r="I46" s="117"/>
    </row>
    <row r="48" spans="1:9">
      <c r="B48" s="118"/>
    </row>
  </sheetData>
  <customSheetViews>
    <customSheetView guid="{AA99D3D3-DB59-480B-8D6F-8444093D81D7}" showGridLines="0" hiddenRows="1" hiddenColumns="1" topLeftCell="A2">
      <pane xSplit="1" ySplit="1" topLeftCell="B4" activePane="bottomRight" state="frozen"/>
      <selection pane="bottomRight" activeCell="N4" sqref="N4"/>
      <pageMargins left="0.7" right="0.7" top="0.75" bottom="0.75" header="0.3" footer="0.3"/>
      <pageSetup orientation="portrait" r:id="rId1"/>
    </customSheetView>
  </customSheetViews>
  <mergeCells count="3">
    <mergeCell ref="B3:I3"/>
    <mergeCell ref="B41:I41"/>
    <mergeCell ref="B42:I42"/>
  </mergeCells>
  <dataValidations count="1">
    <dataValidation type="list" allowBlank="1" showInputMessage="1" showErrorMessage="1" sqref="C5:I5">
      <formula1>"CGAAP, MIFRS, USGAAP, ASPE"</formula1>
    </dataValidation>
  </dataValidations>
  <pageMargins left="0.7" right="0.7" top="0.75" bottom="0.75" header="0.3" footer="0.3"/>
  <pageSetup scale="8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zoomScale="110" zoomScaleNormal="110" workbookViewId="0">
      <selection activeCell="J26" sqref="J26"/>
    </sheetView>
  </sheetViews>
  <sheetFormatPr defaultColWidth="7.875" defaultRowHeight="14.25"/>
  <cols>
    <col min="1" max="1" width="27" customWidth="1"/>
    <col min="2" max="2" width="11.5" bestFit="1" customWidth="1"/>
    <col min="3" max="3" width="16" customWidth="1"/>
    <col min="4" max="4" width="9.75" customWidth="1"/>
    <col min="5" max="5" width="10.5" style="2" bestFit="1" customWidth="1"/>
    <col min="6" max="6" width="10.625" customWidth="1"/>
    <col min="9" max="9" width="1.75" customWidth="1"/>
    <col min="10" max="10" width="7.25" bestFit="1" customWidth="1"/>
    <col min="11" max="11" width="11.125" bestFit="1" customWidth="1"/>
  </cols>
  <sheetData>
    <row r="1" spans="1:6">
      <c r="A1" s="120" t="s">
        <v>114</v>
      </c>
      <c r="B1" s="120"/>
      <c r="C1" s="120"/>
      <c r="D1" s="120"/>
      <c r="E1" s="120"/>
      <c r="F1" s="120"/>
    </row>
    <row r="2" spans="1:6">
      <c r="A2" s="120" t="s">
        <v>48</v>
      </c>
      <c r="B2" s="120"/>
      <c r="C2" s="120"/>
      <c r="D2" s="120"/>
      <c r="E2" s="120"/>
      <c r="F2" s="120"/>
    </row>
    <row r="3" spans="1:6">
      <c r="A3" s="120"/>
      <c r="B3" s="120"/>
      <c r="C3" s="120"/>
      <c r="D3" s="120"/>
      <c r="E3" s="120"/>
      <c r="F3" s="120"/>
    </row>
    <row r="4" spans="1:6" ht="15">
      <c r="A4" s="162" t="s">
        <v>119</v>
      </c>
      <c r="B4" s="163">
        <f>'Revenue Requirement'!C14</f>
        <v>26626557.563467413</v>
      </c>
      <c r="C4" s="164"/>
      <c r="D4" s="164"/>
      <c r="E4" s="164"/>
      <c r="F4" s="165"/>
    </row>
    <row r="5" spans="1:6">
      <c r="A5" s="166"/>
      <c r="B5" s="167" t="s">
        <v>2</v>
      </c>
      <c r="C5" s="167" t="s">
        <v>3</v>
      </c>
      <c r="D5" s="168"/>
      <c r="E5" s="167" t="s">
        <v>2</v>
      </c>
      <c r="F5" s="169" t="s">
        <v>3</v>
      </c>
    </row>
    <row r="6" spans="1:6">
      <c r="A6" s="170" t="s">
        <v>4</v>
      </c>
      <c r="B6" s="171"/>
      <c r="C6" s="171"/>
      <c r="D6" s="171"/>
      <c r="E6" s="168"/>
      <c r="F6" s="172"/>
    </row>
    <row r="7" spans="1:6">
      <c r="A7" s="173" t="s">
        <v>5</v>
      </c>
      <c r="B7" s="3">
        <v>0.56000000000000005</v>
      </c>
      <c r="C7" s="4">
        <f>$B$4*B7</f>
        <v>14910872.235541753</v>
      </c>
      <c r="D7" s="174"/>
      <c r="E7" s="100">
        <v>3.8728200327638698E-2</v>
      </c>
      <c r="F7" s="175">
        <f>E7*C7</f>
        <v>577471.24699788692</v>
      </c>
    </row>
    <row r="8" spans="1:6">
      <c r="A8" s="173" t="s">
        <v>6</v>
      </c>
      <c r="B8" s="5">
        <v>0.04</v>
      </c>
      <c r="C8" s="4">
        <f>$B$4*B8</f>
        <v>1065062.3025386964</v>
      </c>
      <c r="D8" s="174"/>
      <c r="E8" s="101">
        <v>6.2300000000000001E-2</v>
      </c>
      <c r="F8" s="176">
        <f>E8*C8</f>
        <v>66353.381448160784</v>
      </c>
    </row>
    <row r="9" spans="1:6" ht="15" thickBot="1">
      <c r="A9" s="177" t="s">
        <v>7</v>
      </c>
      <c r="B9" s="7">
        <f>SUM(B7:B8)</f>
        <v>0.60000000000000009</v>
      </c>
      <c r="C9" s="10">
        <f>SUM(C7:C8)</f>
        <v>15975934.53808045</v>
      </c>
      <c r="D9" s="174"/>
      <c r="E9" s="102">
        <f>IF(B9=0,0,SUMPRODUCT(B7:B8,E7:E8)/B9)</f>
        <v>4.0299653639129449E-2</v>
      </c>
      <c r="F9" s="178">
        <f>SUM(F7:F8)</f>
        <v>643824.62844604766</v>
      </c>
    </row>
    <row r="10" spans="1:6" ht="15" thickTop="1">
      <c r="A10" s="166"/>
      <c r="B10" s="9"/>
      <c r="C10" s="179"/>
      <c r="D10" s="174"/>
      <c r="E10" s="100"/>
      <c r="F10" s="180"/>
    </row>
    <row r="11" spans="1:6">
      <c r="A11" s="170" t="s">
        <v>8</v>
      </c>
      <c r="B11" s="9"/>
      <c r="C11" s="179"/>
      <c r="D11" s="174"/>
      <c r="E11" s="100"/>
      <c r="F11" s="180"/>
    </row>
    <row r="12" spans="1:6">
      <c r="A12" s="173" t="s">
        <v>9</v>
      </c>
      <c r="B12" s="8">
        <v>0.4</v>
      </c>
      <c r="C12" s="4">
        <f>B12*$B$4</f>
        <v>10650623.025386967</v>
      </c>
      <c r="D12" s="174"/>
      <c r="E12" s="100">
        <v>9.2100000000000001E-2</v>
      </c>
      <c r="F12" s="175">
        <f>E12*C12</f>
        <v>980922.38063813967</v>
      </c>
    </row>
    <row r="13" spans="1:6">
      <c r="A13" s="173" t="s">
        <v>10</v>
      </c>
      <c r="B13" s="5">
        <v>0</v>
      </c>
      <c r="C13" s="6">
        <f>$C$32*B13</f>
        <v>0</v>
      </c>
      <c r="D13" s="174"/>
      <c r="E13" s="101"/>
      <c r="F13" s="176">
        <f>E13*C13</f>
        <v>0</v>
      </c>
    </row>
    <row r="14" spans="1:6" ht="15" thickBot="1">
      <c r="A14" s="177" t="s">
        <v>11</v>
      </c>
      <c r="B14" s="7">
        <f>SUM(B12:B13)</f>
        <v>0.4</v>
      </c>
      <c r="C14" s="10">
        <f>SUM(C12:C13)</f>
        <v>10650623.025386967</v>
      </c>
      <c r="D14" s="174"/>
      <c r="E14" s="102">
        <f>IF(B14=0,0,SUMPRODUCT(B12:B13,E12:E13)/B14)</f>
        <v>9.2100000000000001E-2</v>
      </c>
      <c r="F14" s="178">
        <f>SUM(F12:F13)</f>
        <v>980922.38063813967</v>
      </c>
    </row>
    <row r="15" spans="1:6" ht="15" thickTop="1">
      <c r="A15" s="166"/>
      <c r="B15" s="171"/>
      <c r="C15" s="179"/>
      <c r="D15" s="174"/>
      <c r="E15" s="100"/>
      <c r="F15" s="180"/>
    </row>
    <row r="16" spans="1:6" ht="15" thickBot="1">
      <c r="A16" s="177" t="s">
        <v>12</v>
      </c>
      <c r="B16" s="11">
        <f>B9+B14</f>
        <v>1</v>
      </c>
      <c r="C16" s="12">
        <f>C9+C14</f>
        <v>26626557.563467417</v>
      </c>
      <c r="D16" s="174"/>
      <c r="E16" s="103">
        <f>(E9*B9)+(E14*B14)</f>
        <v>6.1019792183477681E-2</v>
      </c>
      <c r="F16" s="181">
        <f>F9+F14</f>
        <v>1624747.0090841874</v>
      </c>
    </row>
    <row r="17" spans="1:6" ht="15" thickTop="1">
      <c r="A17" s="182"/>
      <c r="B17" s="183"/>
      <c r="C17" s="183"/>
      <c r="D17" s="183"/>
      <c r="E17" s="184"/>
      <c r="F17" s="185"/>
    </row>
    <row r="19" spans="1:6" ht="15">
      <c r="A19" s="186" t="s">
        <v>120</v>
      </c>
      <c r="B19" s="163">
        <f>'Revenue Requirement'!G14</f>
        <v>25880979.471306935</v>
      </c>
      <c r="C19" s="164"/>
      <c r="D19" s="164"/>
      <c r="E19" s="164"/>
      <c r="F19" s="165"/>
    </row>
    <row r="20" spans="1:6">
      <c r="A20" s="166"/>
      <c r="B20" s="167" t="s">
        <v>2</v>
      </c>
      <c r="C20" s="167" t="s">
        <v>3</v>
      </c>
      <c r="D20" s="168"/>
      <c r="E20" s="167" t="s">
        <v>2</v>
      </c>
      <c r="F20" s="169" t="s">
        <v>3</v>
      </c>
    </row>
    <row r="21" spans="1:6">
      <c r="A21" s="170" t="s">
        <v>4</v>
      </c>
      <c r="B21" s="171"/>
      <c r="C21" s="171"/>
      <c r="D21" s="171"/>
      <c r="E21" s="168"/>
      <c r="F21" s="172"/>
    </row>
    <row r="22" spans="1:6">
      <c r="A22" s="173" t="s">
        <v>5</v>
      </c>
      <c r="B22" s="3">
        <v>0.56000000000000005</v>
      </c>
      <c r="C22" s="4">
        <f>$B$19*B22</f>
        <v>14493348.503931886</v>
      </c>
      <c r="D22" s="174"/>
      <c r="E22" s="100">
        <v>3.8732880879943837E-2</v>
      </c>
      <c r="F22" s="175">
        <f>E22*C22</f>
        <v>561369.14115430589</v>
      </c>
    </row>
    <row r="23" spans="1:6">
      <c r="A23" s="173" t="s">
        <v>6</v>
      </c>
      <c r="B23" s="5">
        <v>0.04</v>
      </c>
      <c r="C23" s="4">
        <f>$B$19*B23</f>
        <v>1035239.1788522775</v>
      </c>
      <c r="D23" s="174"/>
      <c r="E23" s="101">
        <v>5.04E-2</v>
      </c>
      <c r="F23" s="176">
        <f>E23*C23</f>
        <v>52176.054614154782</v>
      </c>
    </row>
    <row r="24" spans="1:6" ht="15" thickBot="1">
      <c r="A24" s="177" t="s">
        <v>7</v>
      </c>
      <c r="B24" s="7">
        <f>SUM(B22:B23)</f>
        <v>0.60000000000000009</v>
      </c>
      <c r="C24" s="10">
        <f>SUM(C22:C23)</f>
        <v>15528587.682784162</v>
      </c>
      <c r="D24" s="174"/>
      <c r="E24" s="102">
        <f>IF(B24=0,0,SUMPRODUCT(B22:B23,E22:E23)/B24)</f>
        <v>3.9510688821280913E-2</v>
      </c>
      <c r="F24" s="178">
        <f>SUM(F22:F23)</f>
        <v>613545.19576846063</v>
      </c>
    </row>
    <row r="25" spans="1:6" ht="15" thickTop="1">
      <c r="A25" s="166"/>
      <c r="B25" s="9"/>
      <c r="C25" s="179"/>
      <c r="D25" s="174"/>
      <c r="E25" s="100"/>
      <c r="F25" s="180"/>
    </row>
    <row r="26" spans="1:6">
      <c r="A26" s="170" t="s">
        <v>8</v>
      </c>
      <c r="B26" s="9"/>
      <c r="C26" s="179"/>
      <c r="D26" s="174"/>
      <c r="E26" s="100"/>
      <c r="F26" s="180"/>
    </row>
    <row r="27" spans="1:6">
      <c r="A27" s="173" t="s">
        <v>9</v>
      </c>
      <c r="B27" s="8">
        <v>0.4</v>
      </c>
      <c r="C27" s="4">
        <f>B27*$B$19</f>
        <v>10352391.788522774</v>
      </c>
      <c r="D27" s="174"/>
      <c r="E27" s="100">
        <v>9.2499999999999999E-2</v>
      </c>
      <c r="F27" s="175">
        <f>E27*C27</f>
        <v>957596.24043835665</v>
      </c>
    </row>
    <row r="28" spans="1:6">
      <c r="A28" s="173" t="s">
        <v>10</v>
      </c>
      <c r="B28" s="5">
        <v>0</v>
      </c>
      <c r="C28" s="6">
        <f>$C$32*B28</f>
        <v>0</v>
      </c>
      <c r="D28" s="174"/>
      <c r="E28" s="101"/>
      <c r="F28" s="176">
        <f>E28*C28</f>
        <v>0</v>
      </c>
    </row>
    <row r="29" spans="1:6" ht="15" thickBot="1">
      <c r="A29" s="177" t="s">
        <v>11</v>
      </c>
      <c r="B29" s="7">
        <f>SUM(B27:B28)</f>
        <v>0.4</v>
      </c>
      <c r="C29" s="10">
        <f>SUM(C27:C28)</f>
        <v>10352391.788522774</v>
      </c>
      <c r="D29" s="174"/>
      <c r="E29" s="102">
        <f>IF(B29=0,0,SUMPRODUCT(B27:B28,E27:E28)/B29)</f>
        <v>9.2499999999999985E-2</v>
      </c>
      <c r="F29" s="178">
        <f>SUM(F27:F28)</f>
        <v>957596.24043835665</v>
      </c>
    </row>
    <row r="30" spans="1:6" ht="15" thickTop="1">
      <c r="A30" s="166"/>
      <c r="B30" s="171"/>
      <c r="C30" s="179"/>
      <c r="D30" s="174"/>
      <c r="E30" s="100"/>
      <c r="F30" s="180"/>
    </row>
    <row r="31" spans="1:6" ht="15" thickBot="1">
      <c r="A31" s="177" t="s">
        <v>12</v>
      </c>
      <c r="B31" s="11">
        <f>B24+B29</f>
        <v>1</v>
      </c>
      <c r="C31" s="12">
        <f>C24+C29</f>
        <v>25880979.471306935</v>
      </c>
      <c r="D31" s="174"/>
      <c r="E31" s="103">
        <f>(E24*B24)+(E29*B29)</f>
        <v>6.0706413292768546E-2</v>
      </c>
      <c r="F31" s="181">
        <f>F24+F29</f>
        <v>1571141.4362068172</v>
      </c>
    </row>
    <row r="32" spans="1:6" ht="15" thickTop="1">
      <c r="A32" s="182"/>
      <c r="B32" s="183"/>
      <c r="C32" s="183"/>
      <c r="D32" s="183"/>
      <c r="E32" s="184"/>
      <c r="F32" s="185"/>
    </row>
    <row r="33" spans="6:6">
      <c r="F33" s="1"/>
    </row>
  </sheetData>
  <customSheetViews>
    <customSheetView guid="{AA99D3D3-DB59-480B-8D6F-8444093D81D7}" scale="90" showGridLines="0">
      <selection activeCell="E21" sqref="E21"/>
      <pageMargins left="0.7" right="0.7" top="0.75" bottom="0.75" header="0.3" footer="0.3"/>
      <pageSetup orientation="portrait" r:id="rId1"/>
    </customSheetView>
  </customSheetViews>
  <printOptions horizontalCentered="1"/>
  <pageMargins left="0.7" right="0.7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="160" zoomScaleNormal="160" workbookViewId="0">
      <selection activeCell="E8" sqref="E8"/>
    </sheetView>
  </sheetViews>
  <sheetFormatPr defaultRowHeight="14.25"/>
  <cols>
    <col min="1" max="1" width="2.625" bestFit="1" customWidth="1"/>
    <col min="2" max="2" width="37.5" bestFit="1" customWidth="1"/>
    <col min="3" max="3" width="17.25" style="2" customWidth="1"/>
    <col min="4" max="4" width="18.875" style="2" customWidth="1"/>
    <col min="5" max="5" width="13.375" bestFit="1" customWidth="1"/>
  </cols>
  <sheetData>
    <row r="1" spans="1:5">
      <c r="A1" s="120" t="s">
        <v>114</v>
      </c>
    </row>
    <row r="2" spans="1:5" ht="15" thickBot="1">
      <c r="A2" s="120" t="s">
        <v>115</v>
      </c>
    </row>
    <row r="3" spans="1:5">
      <c r="A3" s="61"/>
      <c r="B3" s="62"/>
      <c r="C3" s="61" t="s">
        <v>49</v>
      </c>
      <c r="D3" s="63" t="s">
        <v>50</v>
      </c>
    </row>
    <row r="4" spans="1:5" ht="15" thickBot="1">
      <c r="A4" s="64"/>
      <c r="B4" s="65" t="s">
        <v>13</v>
      </c>
      <c r="C4" s="135" t="s">
        <v>121</v>
      </c>
      <c r="D4" s="158" t="s">
        <v>122</v>
      </c>
    </row>
    <row r="5" spans="1:5">
      <c r="A5" s="66">
        <v>1</v>
      </c>
      <c r="B5" s="67" t="s">
        <v>100</v>
      </c>
      <c r="C5" s="188">
        <f>'Rate Base'!I31*1000</f>
        <v>9991871.0799999982</v>
      </c>
      <c r="D5" s="136">
        <f>C5</f>
        <v>9991871.0799999982</v>
      </c>
    </row>
    <row r="6" spans="1:5">
      <c r="A6" s="66">
        <v>2</v>
      </c>
      <c r="B6" s="68" t="s">
        <v>87</v>
      </c>
      <c r="C6" s="189">
        <f>-C5</f>
        <v>-9991871.0799999982</v>
      </c>
      <c r="D6" s="137">
        <f>-D5</f>
        <v>-9991871.0799999982</v>
      </c>
    </row>
    <row r="7" spans="1:5">
      <c r="A7" s="66">
        <v>3</v>
      </c>
      <c r="B7" s="72" t="s">
        <v>88</v>
      </c>
      <c r="C7" s="188">
        <f>'Revenue Requirement'!C4+'Revenue Requirement'!C5+'Revenue Requirement'!C6+'Revenue Requirement'!C8+'Revenue Requirement'!C9+'Revenue Requirement'!C11</f>
        <v>7864680.7050346797</v>
      </c>
      <c r="D7" s="136">
        <f>'Revenue Requirement'!G4+'Revenue Requirement'!G5+'Revenue Requirement'!G6+'Revenue Requirement'!G8+'Revenue Requirement'!G9+'Revenue Requirement'!G11</f>
        <v>7612983.0094668847</v>
      </c>
      <c r="E7" s="92"/>
    </row>
    <row r="8" spans="1:5">
      <c r="A8" s="66">
        <v>4</v>
      </c>
      <c r="B8" s="68" t="s">
        <v>89</v>
      </c>
      <c r="C8" s="189">
        <v>108388</v>
      </c>
      <c r="D8" s="137">
        <v>108388</v>
      </c>
    </row>
    <row r="9" spans="1:5">
      <c r="A9" s="66">
        <v>5</v>
      </c>
      <c r="B9" s="68" t="s">
        <v>90</v>
      </c>
      <c r="C9" s="189">
        <f>-'Revenue Requirement'!C4</f>
        <v>-4321958.3990672678</v>
      </c>
      <c r="D9" s="137">
        <f>-'Revenue Requirement'!G4</f>
        <v>-4141958.3990672678</v>
      </c>
    </row>
    <row r="10" spans="1:5">
      <c r="A10" s="66">
        <v>6</v>
      </c>
      <c r="B10" s="68" t="s">
        <v>91</v>
      </c>
      <c r="C10" s="189">
        <f>-'Revenue Requirement'!C6</f>
        <v>-705564</v>
      </c>
      <c r="D10" s="137">
        <f>-'Revenue Requirement'!G6</f>
        <v>-705564</v>
      </c>
    </row>
    <row r="11" spans="1:5">
      <c r="A11" s="66">
        <v>7</v>
      </c>
      <c r="B11" s="68" t="s">
        <v>92</v>
      </c>
      <c r="C11" s="189">
        <f>-'Revenue Requirement'!C8</f>
        <v>-643824.62844604754</v>
      </c>
      <c r="D11" s="137">
        <f>-'Revenue Requirement'!G8</f>
        <v>-613545.19576846063</v>
      </c>
    </row>
    <row r="12" spans="1:5" ht="15" thickBot="1">
      <c r="A12" s="66">
        <v>8</v>
      </c>
      <c r="B12" s="68" t="s">
        <v>93</v>
      </c>
      <c r="C12" s="190">
        <v>-2093732.6468142243</v>
      </c>
      <c r="D12" s="138">
        <v>-2228777.9968142239</v>
      </c>
    </row>
    <row r="13" spans="1:5" ht="15" thickBot="1">
      <c r="A13" s="69">
        <v>9</v>
      </c>
      <c r="B13" s="62" t="s">
        <v>94</v>
      </c>
      <c r="C13" s="191">
        <f>SUM(C5:C12)</f>
        <v>207989.03070713999</v>
      </c>
      <c r="D13" s="122">
        <f>SUM(D5:D12)</f>
        <v>31525.417816932313</v>
      </c>
      <c r="E13" s="60"/>
    </row>
    <row r="14" spans="1:5">
      <c r="A14" s="66">
        <v>10</v>
      </c>
      <c r="B14" s="62" t="s">
        <v>95</v>
      </c>
      <c r="C14" s="192"/>
      <c r="D14" s="123"/>
    </row>
    <row r="15" spans="1:5">
      <c r="A15" s="66">
        <v>11</v>
      </c>
      <c r="B15" s="70" t="s">
        <v>96</v>
      </c>
      <c r="C15" s="189">
        <f>C13*0.15</f>
        <v>31198.354606070996</v>
      </c>
      <c r="D15" s="121">
        <f>D13*0.15</f>
        <v>4728.812672539847</v>
      </c>
    </row>
    <row r="16" spans="1:5">
      <c r="A16" s="66">
        <v>12</v>
      </c>
      <c r="B16" s="70" t="s">
        <v>97</v>
      </c>
      <c r="C16" s="189">
        <f>C13*0.115</f>
        <v>23918.738531321098</v>
      </c>
      <c r="D16" s="121">
        <f>D13*0.115</f>
        <v>3625.4230489472161</v>
      </c>
    </row>
    <row r="17" spans="1:5" ht="15" thickBot="1">
      <c r="A17" s="66">
        <v>13</v>
      </c>
      <c r="B17" s="71" t="s">
        <v>98</v>
      </c>
      <c r="C17" s="193">
        <f>C15+C16</f>
        <v>55117.09313739209</v>
      </c>
      <c r="D17" s="124">
        <f>D15+D16</f>
        <v>8354.2357214870626</v>
      </c>
    </row>
    <row r="18" spans="1:5" ht="15" thickBot="1">
      <c r="A18" s="69">
        <v>14</v>
      </c>
      <c r="B18" s="71" t="s">
        <v>99</v>
      </c>
      <c r="C18" s="194">
        <f>C17/C13</f>
        <v>0.26499999999999996</v>
      </c>
      <c r="D18" s="125">
        <f>D17/D13</f>
        <v>0.26500000000000001</v>
      </c>
    </row>
    <row r="19" spans="1:5" ht="15" thickBot="1"/>
    <row r="20" spans="1:5" ht="15" thickBot="1">
      <c r="A20" s="69">
        <v>15</v>
      </c>
      <c r="B20" s="203" t="s">
        <v>103</v>
      </c>
      <c r="C20" s="195">
        <f>C17/(1-C18)</f>
        <v>74989.242363798752</v>
      </c>
      <c r="D20" s="196">
        <f>D17/(1-D18)</f>
        <v>11366.307104064032</v>
      </c>
    </row>
    <row r="21" spans="1:5">
      <c r="C21" s="126"/>
      <c r="D21" s="126"/>
    </row>
    <row r="22" spans="1:5">
      <c r="C22" s="127"/>
      <c r="D22" s="127"/>
    </row>
    <row r="24" spans="1:5">
      <c r="C24" s="128"/>
      <c r="D24" s="128"/>
      <c r="E24" s="13"/>
    </row>
  </sheetData>
  <customSheetViews>
    <customSheetView guid="{AA99D3D3-DB59-480B-8D6F-8444093D81D7}" scale="160" showGridLines="0">
      <selection activeCell="B20" sqref="B20"/>
      <pageMargins left="0.7" right="0.7" top="0.75" bottom="0.75" header="0.3" footer="0.3"/>
    </customSheetView>
  </customSheetViews>
  <pageMargins left="0.7" right="0.7" top="0.75" bottom="0.75" header="0.3" footer="0.3"/>
  <pageSetup scale="1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zoomScale="120" zoomScaleNormal="120" workbookViewId="0">
      <selection activeCell="G9" sqref="G9"/>
    </sheetView>
  </sheetViews>
  <sheetFormatPr defaultRowHeight="14.25"/>
  <cols>
    <col min="1" max="1" width="4.625" style="2" customWidth="1"/>
    <col min="2" max="2" width="31.125" customWidth="1"/>
    <col min="3" max="3" width="11" bestFit="1" customWidth="1"/>
    <col min="4" max="4" width="1.875" customWidth="1"/>
    <col min="5" max="5" width="11" bestFit="1" customWidth="1"/>
    <col min="11" max="11" width="9" customWidth="1"/>
  </cols>
  <sheetData>
    <row r="1" spans="1:5">
      <c r="A1" s="120" t="s">
        <v>114</v>
      </c>
    </row>
    <row r="2" spans="1:5">
      <c r="A2" s="120" t="s">
        <v>102</v>
      </c>
    </row>
    <row r="3" spans="1:5">
      <c r="A3" s="95"/>
      <c r="B3" s="95" t="s">
        <v>49</v>
      </c>
      <c r="C3" s="95" t="s">
        <v>50</v>
      </c>
      <c r="E3" s="95" t="s">
        <v>50</v>
      </c>
    </row>
    <row r="4" spans="1:5" ht="25.5">
      <c r="A4" s="94"/>
      <c r="B4" s="94" t="s">
        <v>41</v>
      </c>
      <c r="C4" s="94" t="s">
        <v>123</v>
      </c>
      <c r="E4" s="187" t="s">
        <v>124</v>
      </c>
    </row>
    <row r="5" spans="1:5">
      <c r="A5" s="96">
        <v>1</v>
      </c>
      <c r="B5" s="16" t="s">
        <v>43</v>
      </c>
      <c r="C5" s="139">
        <f>'Revenue Requirement'!C4</f>
        <v>4321958.3990672678</v>
      </c>
      <c r="E5" s="17">
        <f>'Revenue Requirement'!G4</f>
        <v>4141958.3990672678</v>
      </c>
    </row>
    <row r="6" spans="1:5">
      <c r="A6" s="96">
        <v>2</v>
      </c>
      <c r="B6" s="16" t="s">
        <v>44</v>
      </c>
      <c r="C6" s="139">
        <f>'Revenue Requirement'!C5</f>
        <v>1320799.2968832257</v>
      </c>
      <c r="E6" s="17">
        <f>'Revenue Requirement'!G5</f>
        <v>1302707.1741928</v>
      </c>
    </row>
    <row r="7" spans="1:5">
      <c r="A7" s="96">
        <v>3</v>
      </c>
      <c r="B7" s="16" t="s">
        <v>0</v>
      </c>
      <c r="C7" s="139">
        <f>'Revenue Requirement'!C6</f>
        <v>705564</v>
      </c>
      <c r="E7" s="17">
        <f>'Revenue Requirement'!G6</f>
        <v>705564</v>
      </c>
    </row>
    <row r="8" spans="1:5">
      <c r="A8" s="96">
        <v>4</v>
      </c>
      <c r="B8" s="16" t="s">
        <v>45</v>
      </c>
      <c r="C8" s="139">
        <f>'Revenue Requirement'!C7</f>
        <v>74989.242363798752</v>
      </c>
      <c r="E8" s="17">
        <f>'Revenue Requirement'!G7</f>
        <v>11366.307104064032</v>
      </c>
    </row>
    <row r="9" spans="1:5">
      <c r="A9" s="96">
        <v>5</v>
      </c>
      <c r="B9" s="16" t="s">
        <v>63</v>
      </c>
      <c r="C9" s="139">
        <f>'Revenue Requirement'!C8</f>
        <v>643824.62844604754</v>
      </c>
      <c r="E9" s="17">
        <f>'Revenue Requirement'!G8</f>
        <v>613545.19576846063</v>
      </c>
    </row>
    <row r="10" spans="1:5">
      <c r="A10" s="96">
        <v>6</v>
      </c>
      <c r="B10" s="16" t="s">
        <v>46</v>
      </c>
      <c r="C10" s="139">
        <f>'Revenue Requirement'!C9</f>
        <v>980922.38063813967</v>
      </c>
      <c r="E10" s="17">
        <f>'Revenue Requirement'!G9</f>
        <v>957596.24043835653</v>
      </c>
    </row>
    <row r="11" spans="1:5">
      <c r="A11" s="94">
        <v>7</v>
      </c>
      <c r="B11" s="21" t="s">
        <v>58</v>
      </c>
      <c r="C11" s="141">
        <f>SUM(C5:C10)</f>
        <v>8048057.9473984782</v>
      </c>
      <c r="E11" s="22">
        <f>SUM(E5:E10)</f>
        <v>7732737.3165709488</v>
      </c>
    </row>
    <row r="12" spans="1:5">
      <c r="A12" s="97">
        <v>8</v>
      </c>
      <c r="B12" s="74" t="s">
        <v>1</v>
      </c>
      <c r="C12" s="142">
        <f>-'Income Taxes'!C8</f>
        <v>-108388</v>
      </c>
      <c r="E12" s="75">
        <f>'Revenue Requirement'!G11</f>
        <v>-108388</v>
      </c>
    </row>
    <row r="13" spans="1:5">
      <c r="A13" s="98">
        <v>9</v>
      </c>
      <c r="B13" s="73" t="s">
        <v>101</v>
      </c>
      <c r="C13" s="141">
        <f>C11+C12</f>
        <v>7939669.9473984782</v>
      </c>
      <c r="E13" s="22">
        <f>E11+E12</f>
        <v>7624349.3165709488</v>
      </c>
    </row>
    <row r="14" spans="1:5">
      <c r="A14" s="99">
        <v>10</v>
      </c>
      <c r="B14" s="91" t="s">
        <v>109</v>
      </c>
      <c r="C14" s="142">
        <v>7371781.1451785313</v>
      </c>
      <c r="E14" s="75">
        <v>7371781.1451785313</v>
      </c>
    </row>
    <row r="15" spans="1:5">
      <c r="A15" s="98">
        <v>11</v>
      </c>
      <c r="B15" s="73" t="s">
        <v>102</v>
      </c>
      <c r="C15" s="141">
        <f>C14-C13</f>
        <v>-567888.80221994687</v>
      </c>
      <c r="E15" s="22">
        <f>E14-E13</f>
        <v>-252568.17139241751</v>
      </c>
    </row>
    <row r="17" spans="1:1">
      <c r="A17" s="106" t="s">
        <v>110</v>
      </c>
    </row>
  </sheetData>
  <customSheetViews>
    <customSheetView guid="{AA99D3D3-DB59-480B-8D6F-8444093D81D7}" scale="120" showGridLines="0">
      <selection activeCell="D20" sqref="D20"/>
      <pageMargins left="0.7" right="0.7" top="0.75" bottom="0.75" header="0.3" footer="0.3"/>
    </customSheetView>
  </customSheetViews>
  <pageMargins left="0.7" right="0.7" top="0.75" bottom="0.75" header="0.3" footer="0.3"/>
  <pageSetup scale="1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6YNFE3WTN53P-2032442789-1274</_dlc_DocId>
    <_dlc_DocIdUrl xmlns="2bc3004b-9ad1-483e-becf-bfd5ad8c6084">
      <Url>https://epcorweb/en-ca/departments/natgas/sites/ON/ONReg/_layouts/15/DocIdRedir.aspx?ID=6YNFE3WTN53P-2032442789-1274</Url>
      <Description>6YNFE3WTN53P-2032442789-1274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DDF49-E2C6-4E4B-9644-7B89A02A742E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39dcb1-57cb-40ed-87e6-3a760137f3f8"/>
    <ds:schemaRef ds:uri="2bc3004b-9ad1-483e-becf-bfd5ad8c6084"/>
  </ds:schemaRefs>
</ds:datastoreItem>
</file>

<file path=customXml/itemProps2.xml><?xml version="1.0" encoding="utf-8"?>
<ds:datastoreItem xmlns:ds="http://schemas.openxmlformats.org/officeDocument/2006/customXml" ds:itemID="{C0620C62-83BC-4303-8125-37753D6C2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515A5-D474-43E5-A5DE-697A3260F2D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A2CE4B-C5DE-46C4-9267-ADE0BD115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Revenue Requirement</vt:lpstr>
      <vt:lpstr>Rate Base</vt:lpstr>
      <vt:lpstr>OM&amp;A</vt:lpstr>
      <vt:lpstr>WACC</vt:lpstr>
      <vt:lpstr>Income Taxes</vt:lpstr>
      <vt:lpstr>Revenue Deficiency</vt:lpstr>
      <vt:lpstr>'Income Taxes'!Print_Area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Blair</dc:creator>
  <cp:lastModifiedBy>Hesselink, Tim</cp:lastModifiedBy>
  <cp:lastPrinted>2024-11-05T14:48:11Z</cp:lastPrinted>
  <dcterms:created xsi:type="dcterms:W3CDTF">2024-04-25T20:10:19Z</dcterms:created>
  <dcterms:modified xsi:type="dcterms:W3CDTF">2024-11-06T13:11:11Z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793d7587-8934-45b0-88dd-0229deb38cd5</vt:lpwstr>
  </property>
</Properties>
</file>