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 COS\Interrogatory Responses\Exhibit 7\Supporting Documentation\"/>
    </mc:Choice>
  </mc:AlternateContent>
  <xr:revisionPtr revIDLastSave="0" documentId="13_ncr:1_{B164B545-5135-4DFE-9A93-402DCFA54698}" xr6:coauthVersionLast="47" xr6:coauthVersionMax="47" xr10:uidLastSave="{00000000-0000-0000-0000-000000000000}"/>
  <bookViews>
    <workbookView xWindow="-120" yWindow="-120" windowWidth="29040" windowHeight="15840" tabRatio="840" xr2:uid="{F36BFD34-051D-4EB3-A8CF-1D20787ADFEF}"/>
  </bookViews>
  <sheets>
    <sheet name="Weighting Factor Calc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8" l="1"/>
  <c r="F19" i="8"/>
  <c r="G19" i="8"/>
  <c r="I39" i="8" l="1"/>
  <c r="H39" i="8"/>
  <c r="E39" i="8"/>
  <c r="F39" i="8"/>
  <c r="G39" i="8"/>
  <c r="D39" i="8"/>
  <c r="C35" i="8"/>
  <c r="I7" i="8"/>
  <c r="D17" i="8"/>
  <c r="D16" i="8"/>
  <c r="I11" i="8" l="1"/>
  <c r="I10" i="8"/>
  <c r="I9" i="8"/>
  <c r="E16" i="8"/>
  <c r="F21" i="8" l="1"/>
  <c r="E21" i="8"/>
  <c r="D21" i="8"/>
  <c r="F24" i="8"/>
  <c r="G24" i="8"/>
  <c r="H24" i="8"/>
  <c r="D24" i="8"/>
  <c r="I24" i="8"/>
  <c r="E24" i="8"/>
  <c r="F30" i="8"/>
  <c r="G30" i="8"/>
  <c r="H30" i="8"/>
  <c r="E30" i="8"/>
  <c r="I30" i="8"/>
  <c r="D30" i="8"/>
  <c r="E17" i="8" l="1"/>
  <c r="F16" i="8"/>
  <c r="I4" i="8"/>
  <c r="E18" i="8" s="1"/>
  <c r="D5" i="8" l="1"/>
  <c r="E5" i="8"/>
  <c r="G5" i="8"/>
  <c r="C5" i="8"/>
  <c r="F5" i="8"/>
  <c r="B5" i="8"/>
  <c r="I25" i="8"/>
  <c r="D27" i="8"/>
  <c r="D25" i="8"/>
  <c r="G18" i="8"/>
  <c r="H18" i="8"/>
  <c r="F33" i="8"/>
  <c r="D18" i="8"/>
  <c r="E26" i="8"/>
  <c r="I18" i="8"/>
  <c r="F26" i="8"/>
  <c r="F18" i="8"/>
  <c r="I26" i="8"/>
  <c r="E25" i="8"/>
  <c r="F25" i="8"/>
  <c r="H26" i="8"/>
  <c r="H25" i="8"/>
  <c r="D26" i="8"/>
  <c r="G26" i="8"/>
  <c r="I8" i="8"/>
  <c r="D29" i="8" s="1"/>
  <c r="I5" i="8" l="1"/>
  <c r="H33" i="8"/>
  <c r="G33" i="8"/>
  <c r="D33" i="8"/>
  <c r="I33" i="8"/>
  <c r="E33" i="8"/>
  <c r="G29" i="8"/>
  <c r="G35" i="8" s="1"/>
  <c r="G40" i="8" s="1"/>
  <c r="E29" i="8"/>
  <c r="E35" i="8" s="1"/>
  <c r="E40" i="8" s="1"/>
  <c r="F29" i="8"/>
  <c r="H29" i="8"/>
  <c r="I29" i="8"/>
  <c r="F35" i="8" l="1"/>
  <c r="F40" i="8" s="1"/>
  <c r="D35" i="8"/>
  <c r="D40" i="8" s="1"/>
  <c r="E42" i="8" s="1"/>
  <c r="I35" i="8"/>
  <c r="I40" i="8" s="1"/>
  <c r="H35" i="8"/>
  <c r="H40" i="8" s="1"/>
  <c r="G42" i="8" l="1"/>
  <c r="F42" i="8"/>
  <c r="D42" i="8"/>
  <c r="H42" i="8"/>
  <c r="I42" i="8"/>
</calcChain>
</file>

<file path=xl/sharedStrings.xml><?xml version="1.0" encoding="utf-8"?>
<sst xmlns="http://schemas.openxmlformats.org/spreadsheetml/2006/main" count="56" uniqueCount="47">
  <si>
    <t>Sync Operator</t>
  </si>
  <si>
    <t>Residential</t>
  </si>
  <si>
    <t>GS&lt;50</t>
  </si>
  <si>
    <t>Collecting</t>
  </si>
  <si>
    <t>GS&gt;50</t>
  </si>
  <si>
    <t>Streetlights</t>
  </si>
  <si>
    <t>Sentinel Lights</t>
  </si>
  <si>
    <t>Unmetered</t>
  </si>
  <si>
    <t>Meter Sense</t>
  </si>
  <si>
    <t>% of customer base</t>
  </si>
  <si>
    <t>Total</t>
  </si>
  <si>
    <t>Automation Platform</t>
  </si>
  <si>
    <t>*use # of customers</t>
  </si>
  <si>
    <t>Settlement Services</t>
  </si>
  <si>
    <t>Cost Drivers</t>
  </si>
  <si>
    <t># Connections</t>
  </si>
  <si>
    <t># E-bills</t>
  </si>
  <si>
    <t># Paper bills</t>
  </si>
  <si>
    <t>Cost Allocations</t>
  </si>
  <si>
    <t>2023 Actual Cost</t>
  </si>
  <si>
    <t># NPD Service orders</t>
  </si>
  <si>
    <t># Retailer Accounts</t>
  </si>
  <si>
    <t># Settlement Notices</t>
  </si>
  <si>
    <t>Other Miscellaneous Collections &amp; Billing Cost</t>
  </si>
  <si>
    <t>Total cost per bill</t>
  </si>
  <si>
    <t>Generation</t>
  </si>
  <si>
    <t>Weighting</t>
  </si>
  <si>
    <t>Weighting used (rounded)</t>
  </si>
  <si>
    <t>*Allocate based on # customers for Residential, GS&lt;50 and GS&gt;50 classes</t>
  </si>
  <si>
    <t>*Allocate based on # customers for Residential and GS&lt;50</t>
  </si>
  <si>
    <t>*Allocate based on # customers for all classes</t>
  </si>
  <si>
    <t>*Allocate base on number of NPD service orders</t>
  </si>
  <si>
    <t>*Allocate base on number of Accounts with a Retailer</t>
  </si>
  <si>
    <t>*Allocate based on total paper bills</t>
  </si>
  <si>
    <t>*Allocate based on total settlement notices</t>
  </si>
  <si>
    <t xml:space="preserve"># Customers </t>
  </si>
  <si>
    <t>*as at December 2023</t>
  </si>
  <si>
    <t>Computer Support</t>
  </si>
  <si>
    <t>Truck Time - Collecting</t>
  </si>
  <si>
    <t>Labour &amp; Contracted Services</t>
  </si>
  <si>
    <t>Labour - Retailer Billing</t>
  </si>
  <si>
    <t>Labour and Contract Services - Billing</t>
  </si>
  <si>
    <t>Labour - Collecting</t>
  </si>
  <si>
    <t>Postage</t>
  </si>
  <si>
    <t xml:space="preserve">Billing </t>
  </si>
  <si>
    <t xml:space="preserve">Total Billing &amp; Collecting </t>
  </si>
  <si>
    <t>Number of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</si>
</sst>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b/>
      <sz val="10"/>
      <color rgb="FF0070C0"/>
      <name val="Arial"/>
      <family val="2"/>
    </font>
    <font>
      <b/>
      <sz val="1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9" fontId="0" fillId="0" borderId="0" xfId="2" applyFont="1"/>
    <xf numFmtId="2" fontId="0" fillId="0" borderId="0" xfId="0" applyNumberFormat="1"/>
    <xf numFmtId="2" fontId="0" fillId="0" borderId="0" xfId="2" applyNumberFormat="1" applyFont="1"/>
    <xf numFmtId="0" fontId="5" fillId="0" borderId="0" xfId="0" applyFont="1"/>
    <xf numFmtId="0" fontId="6" fillId="0" borderId="0" xfId="0" applyFont="1"/>
    <xf numFmtId="164" fontId="0" fillId="2" borderId="0" xfId="1" applyFont="1" applyFill="1"/>
    <xf numFmtId="164" fontId="0" fillId="2" borderId="0" xfId="0" applyNumberFormat="1" applyFill="1"/>
    <xf numFmtId="0" fontId="4" fillId="0" borderId="0" xfId="0" applyFont="1"/>
    <xf numFmtId="2" fontId="4" fillId="0" borderId="0" xfId="0" applyNumberFormat="1" applyFont="1"/>
    <xf numFmtId="164" fontId="0" fillId="0" borderId="0" xfId="1" applyFont="1" applyFill="1" applyAlignment="1"/>
    <xf numFmtId="0" fontId="2" fillId="3" borderId="0" xfId="0" applyFont="1" applyFill="1"/>
    <xf numFmtId="0" fontId="7" fillId="0" borderId="0" xfId="0" applyFont="1"/>
    <xf numFmtId="0" fontId="2" fillId="2" borderId="2" xfId="0" applyFont="1" applyFill="1" applyBorder="1" applyAlignment="1">
      <alignment horizontal="center" wrapText="1"/>
    </xf>
    <xf numFmtId="17" fontId="0" fillId="0" borderId="2" xfId="0" applyNumberFormat="1" applyBorder="1"/>
    <xf numFmtId="0" fontId="0" fillId="0" borderId="2" xfId="0" applyBorder="1"/>
    <xf numFmtId="10" fontId="0" fillId="0" borderId="2" xfId="2" applyNumberFormat="1" applyFont="1" applyBorder="1"/>
    <xf numFmtId="9" fontId="0" fillId="0" borderId="2" xfId="2" applyFont="1" applyBorder="1"/>
    <xf numFmtId="9" fontId="0" fillId="0" borderId="2" xfId="2" applyFont="1" applyFill="1" applyBorder="1"/>
    <xf numFmtId="0" fontId="8" fillId="0" borderId="2" xfId="0" applyFont="1" applyBorder="1"/>
    <xf numFmtId="166" fontId="0" fillId="0" borderId="2" xfId="3" applyNumberFormat="1" applyFont="1" applyBorder="1" applyAlignment="1">
      <alignment horizontal="center" wrapText="1"/>
    </xf>
    <xf numFmtId="166" fontId="0" fillId="0" borderId="2" xfId="3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167" fontId="0" fillId="0" borderId="0" xfId="1" applyNumberFormat="1" applyFont="1"/>
    <xf numFmtId="167" fontId="0" fillId="0" borderId="0" xfId="1" applyNumberFormat="1" applyFont="1" applyAlignment="1">
      <alignment horizontal="center"/>
    </xf>
    <xf numFmtId="167" fontId="2" fillId="0" borderId="1" xfId="1" applyNumberFormat="1" applyFont="1" applyBorder="1"/>
    <xf numFmtId="166" fontId="0" fillId="0" borderId="0" xfId="0" applyNumberFormat="1" applyAlignment="1">
      <alignment horizontal="center"/>
    </xf>
    <xf numFmtId="0" fontId="4" fillId="3" borderId="0" xfId="0" applyFont="1" applyFill="1"/>
    <xf numFmtId="2" fontId="4" fillId="3" borderId="0" xfId="0" applyNumberFormat="1" applyFont="1" applyFill="1"/>
    <xf numFmtId="0" fontId="2" fillId="4" borderId="2" xfId="0" applyFont="1" applyFill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65</xdr:row>
      <xdr:rowOff>0</xdr:rowOff>
    </xdr:from>
    <xdr:to>
      <xdr:col>6</xdr:col>
      <xdr:colOff>750942</xdr:colOff>
      <xdr:row>83</xdr:row>
      <xdr:rowOff>15527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A031E-9558-4148-A3E9-6C4FC81B1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11249025"/>
          <a:ext cx="8422745" cy="3444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96CD-DCFF-4D95-8BAB-74A5555B3DD5}">
  <dimension ref="A1:V45"/>
  <sheetViews>
    <sheetView tabSelected="1" zoomScale="85" zoomScaleNormal="85" workbookViewId="0">
      <selection activeCell="N16" sqref="N16"/>
    </sheetView>
  </sheetViews>
  <sheetFormatPr defaultRowHeight="15" x14ac:dyDescent="0.25"/>
  <cols>
    <col min="1" max="1" width="28.7109375" customWidth="1"/>
    <col min="2" max="2" width="21.42578125" customWidth="1"/>
    <col min="3" max="3" width="14.28515625" bestFit="1" customWidth="1"/>
    <col min="4" max="4" width="24.85546875" customWidth="1"/>
    <col min="5" max="5" width="15.140625" customWidth="1"/>
    <col min="6" max="6" width="13.42578125" customWidth="1"/>
    <col min="7" max="7" width="15.7109375" customWidth="1"/>
    <col min="8" max="8" width="16.85546875" customWidth="1"/>
    <col min="9" max="9" width="15.28515625" customWidth="1"/>
    <col min="11" max="11" width="9.140625" style="2"/>
    <col min="15" max="15" width="28.5703125" customWidth="1"/>
    <col min="16" max="16" width="12.85546875" customWidth="1"/>
    <col min="17" max="17" width="21.28515625" customWidth="1"/>
    <col min="18" max="18" width="12.28515625" customWidth="1"/>
    <col min="19" max="19" width="13.28515625" customWidth="1"/>
    <col min="20" max="20" width="11.7109375" customWidth="1"/>
    <col min="21" max="21" width="13.5703125" customWidth="1"/>
  </cols>
  <sheetData>
    <row r="1" spans="1:11" ht="18.75" x14ac:dyDescent="0.3">
      <c r="A1" s="16" t="s">
        <v>14</v>
      </c>
    </row>
    <row r="3" spans="1:11" ht="30" x14ac:dyDescent="0.25">
      <c r="A3" s="23" t="s">
        <v>36</v>
      </c>
      <c r="B3" s="17" t="s">
        <v>1</v>
      </c>
      <c r="C3" s="17" t="s">
        <v>2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25</v>
      </c>
      <c r="I3" s="17" t="s">
        <v>10</v>
      </c>
      <c r="K3"/>
    </row>
    <row r="4" spans="1:11" x14ac:dyDescent="0.25">
      <c r="A4" s="18" t="s">
        <v>35</v>
      </c>
      <c r="B4" s="24">
        <v>23761</v>
      </c>
      <c r="C4" s="24">
        <v>1847</v>
      </c>
      <c r="D4" s="24">
        <v>145</v>
      </c>
      <c r="E4" s="24">
        <v>1</v>
      </c>
      <c r="F4" s="24">
        <v>114</v>
      </c>
      <c r="G4" s="24">
        <v>158</v>
      </c>
      <c r="H4" s="24">
        <v>0</v>
      </c>
      <c r="I4" s="25">
        <f>SUM(B4:H4)</f>
        <v>26026</v>
      </c>
      <c r="K4"/>
    </row>
    <row r="5" spans="1:11" x14ac:dyDescent="0.25">
      <c r="A5" s="19" t="s">
        <v>9</v>
      </c>
      <c r="B5" s="20">
        <f>+B4/$I$4</f>
        <v>0.91297164374087447</v>
      </c>
      <c r="C5" s="20">
        <f t="shared" ref="C5:G5" si="0">+C4/$I$4</f>
        <v>7.0967494044417115E-2</v>
      </c>
      <c r="D5" s="20">
        <f t="shared" si="0"/>
        <v>5.5713517251978787E-3</v>
      </c>
      <c r="E5" s="20">
        <f t="shared" si="0"/>
        <v>3.8423115346192268E-5</v>
      </c>
      <c r="F5" s="20">
        <f t="shared" si="0"/>
        <v>4.3802351494659185E-3</v>
      </c>
      <c r="G5" s="20">
        <f t="shared" si="0"/>
        <v>6.0708522246983787E-3</v>
      </c>
      <c r="H5" s="21"/>
      <c r="I5" s="22">
        <f>SUM(B5:H5)</f>
        <v>1</v>
      </c>
      <c r="K5"/>
    </row>
    <row r="6" spans="1:11" x14ac:dyDescent="0.25">
      <c r="A6" s="19" t="s">
        <v>15</v>
      </c>
      <c r="B6" s="24"/>
      <c r="C6" s="24"/>
      <c r="D6" s="24"/>
      <c r="E6" s="24">
        <v>7272</v>
      </c>
      <c r="F6" s="24">
        <v>341</v>
      </c>
      <c r="G6" s="24">
        <v>196</v>
      </c>
      <c r="H6" s="24"/>
      <c r="I6" s="25"/>
      <c r="K6"/>
    </row>
    <row r="7" spans="1:11" x14ac:dyDescent="0.25">
      <c r="A7" s="19" t="s">
        <v>16</v>
      </c>
      <c r="B7" s="24">
        <v>3733</v>
      </c>
      <c r="C7" s="24">
        <v>413</v>
      </c>
      <c r="D7" s="24">
        <v>75</v>
      </c>
      <c r="E7" s="24">
        <v>1</v>
      </c>
      <c r="F7" s="24">
        <v>9</v>
      </c>
      <c r="G7" s="24">
        <v>144</v>
      </c>
      <c r="H7" s="24"/>
      <c r="I7" s="25">
        <f t="shared" ref="I7:I11" si="1">SUM(B7:H7)</f>
        <v>4375</v>
      </c>
      <c r="K7"/>
    </row>
    <row r="8" spans="1:11" x14ac:dyDescent="0.25">
      <c r="A8" s="19" t="s">
        <v>17</v>
      </c>
      <c r="B8" s="24">
        <v>20028</v>
      </c>
      <c r="C8" s="24">
        <v>1434</v>
      </c>
      <c r="D8" s="24">
        <v>70</v>
      </c>
      <c r="E8" s="24">
        <v>0</v>
      </c>
      <c r="F8" s="24">
        <v>105</v>
      </c>
      <c r="G8" s="24">
        <v>14</v>
      </c>
      <c r="H8" s="24"/>
      <c r="I8" s="25">
        <f t="shared" si="1"/>
        <v>21651</v>
      </c>
      <c r="K8"/>
    </row>
    <row r="9" spans="1:11" x14ac:dyDescent="0.25">
      <c r="A9" s="19" t="s">
        <v>20</v>
      </c>
      <c r="B9" s="24">
        <v>2795</v>
      </c>
      <c r="C9" s="24">
        <v>390</v>
      </c>
      <c r="D9" s="24">
        <v>47</v>
      </c>
      <c r="E9" s="24"/>
      <c r="F9" s="24"/>
      <c r="G9" s="24"/>
      <c r="H9" s="24"/>
      <c r="I9" s="25">
        <f t="shared" si="1"/>
        <v>3232</v>
      </c>
    </row>
    <row r="10" spans="1:11" x14ac:dyDescent="0.25">
      <c r="A10" s="19" t="s">
        <v>21</v>
      </c>
      <c r="B10" s="24">
        <v>233</v>
      </c>
      <c r="C10" s="24">
        <v>127</v>
      </c>
      <c r="D10" s="24">
        <v>21</v>
      </c>
      <c r="E10" s="24"/>
      <c r="F10" s="24">
        <v>9</v>
      </c>
      <c r="G10" s="24">
        <v>1</v>
      </c>
      <c r="H10" s="24"/>
      <c r="I10" s="25">
        <f t="shared" si="1"/>
        <v>391</v>
      </c>
    </row>
    <row r="11" spans="1:11" x14ac:dyDescent="0.25">
      <c r="A11" s="19" t="s">
        <v>22</v>
      </c>
      <c r="B11" s="24">
        <v>2083</v>
      </c>
      <c r="C11" s="24">
        <v>254</v>
      </c>
      <c r="D11" s="24">
        <v>32</v>
      </c>
      <c r="E11" s="24"/>
      <c r="F11" s="24">
        <v>3</v>
      </c>
      <c r="G11" s="24">
        <v>2</v>
      </c>
      <c r="H11" s="24"/>
      <c r="I11" s="25">
        <f t="shared" si="1"/>
        <v>2374</v>
      </c>
    </row>
    <row r="13" spans="1:11" ht="18.75" x14ac:dyDescent="0.3">
      <c r="A13" s="16" t="s">
        <v>18</v>
      </c>
    </row>
    <row r="14" spans="1:11" ht="30" x14ac:dyDescent="0.25">
      <c r="C14" s="34" t="s">
        <v>19</v>
      </c>
      <c r="D14" s="17" t="s">
        <v>1</v>
      </c>
      <c r="E14" s="17" t="s">
        <v>2</v>
      </c>
      <c r="F14" s="17" t="s">
        <v>4</v>
      </c>
      <c r="G14" s="17" t="s">
        <v>5</v>
      </c>
      <c r="H14" s="17" t="s">
        <v>6</v>
      </c>
      <c r="I14" s="17" t="s">
        <v>7</v>
      </c>
    </row>
    <row r="15" spans="1:11" x14ac:dyDescent="0.25">
      <c r="A15" s="9" t="s">
        <v>37</v>
      </c>
      <c r="B15" s="8"/>
    </row>
    <row r="16" spans="1:11" x14ac:dyDescent="0.25">
      <c r="A16" s="26" t="s">
        <v>8</v>
      </c>
      <c r="C16" s="28">
        <v>42443</v>
      </c>
      <c r="D16" s="28">
        <f>C16*(B4/(B4+C4+D4))</f>
        <v>39160.024967964899</v>
      </c>
      <c r="E16" s="28">
        <f>C16*(C4/(B4+C4+D4))</f>
        <v>3044.0034559080491</v>
      </c>
      <c r="F16" s="28">
        <f>C16*D4/(B4+C4+D4)</f>
        <v>238.97157612705317</v>
      </c>
      <c r="G16" s="28"/>
      <c r="H16" s="28"/>
      <c r="I16" s="28"/>
      <c r="J16" t="s">
        <v>28</v>
      </c>
    </row>
    <row r="17" spans="1:22" x14ac:dyDescent="0.25">
      <c r="A17" s="26" t="s">
        <v>0</v>
      </c>
      <c r="C17" s="28">
        <v>46119</v>
      </c>
      <c r="D17" s="28">
        <f>(B4/(B4+C4))*C17</f>
        <v>42792.625702905338</v>
      </c>
      <c r="E17" s="28">
        <f>(C4/(B4+C4))*C17</f>
        <v>3326.3742970946578</v>
      </c>
      <c r="F17" s="28"/>
      <c r="G17" s="28"/>
      <c r="H17" s="28"/>
      <c r="I17" s="28"/>
      <c r="J17" t="s">
        <v>29</v>
      </c>
    </row>
    <row r="18" spans="1:22" x14ac:dyDescent="0.25">
      <c r="A18" s="26" t="s">
        <v>11</v>
      </c>
      <c r="C18" s="28">
        <v>26520</v>
      </c>
      <c r="D18" s="28">
        <f>B4/$I$4*$C$18</f>
        <v>24212.007992007992</v>
      </c>
      <c r="E18" s="28">
        <f>C4/$I$4*$C$18</f>
        <v>1882.0579420579418</v>
      </c>
      <c r="F18" s="28">
        <f>D4/$I$4*$C$18</f>
        <v>147.75224775224774</v>
      </c>
      <c r="G18" s="28">
        <f>E4/$I$4*$C$18</f>
        <v>1.0189810189810189</v>
      </c>
      <c r="H18" s="28">
        <f>F4/$I$4*$C$18</f>
        <v>116.16383616383615</v>
      </c>
      <c r="I18" s="28">
        <f>G4/$I$4*$C$18</f>
        <v>160.999000999001</v>
      </c>
      <c r="J18" t="s">
        <v>30</v>
      </c>
    </row>
    <row r="19" spans="1:22" x14ac:dyDescent="0.25">
      <c r="A19" s="26" t="s">
        <v>13</v>
      </c>
      <c r="C19" s="28">
        <v>45188.349056603773</v>
      </c>
      <c r="D19" s="28"/>
      <c r="E19" s="28"/>
      <c r="F19" s="28">
        <f>$C$19*D4/(D4+E4)</f>
        <v>44878.83981649005</v>
      </c>
      <c r="G19" s="28">
        <f>$C$19*E4/(E4+D4)</f>
        <v>309.50924011372445</v>
      </c>
      <c r="H19" s="28"/>
      <c r="I19" s="28"/>
      <c r="J19" t="s">
        <v>12</v>
      </c>
    </row>
    <row r="20" spans="1:22" x14ac:dyDescent="0.25">
      <c r="B20" s="1"/>
      <c r="C20" s="28"/>
      <c r="D20" s="28"/>
      <c r="E20" s="28"/>
      <c r="F20" s="28"/>
      <c r="G20" s="28"/>
      <c r="H20" s="28"/>
      <c r="I20" s="28"/>
    </row>
    <row r="21" spans="1:22" x14ac:dyDescent="0.25">
      <c r="A21" s="2" t="s">
        <v>38</v>
      </c>
      <c r="C21" s="28">
        <v>43824</v>
      </c>
      <c r="D21" s="28">
        <f>B9/$I$9*$C$21</f>
        <v>37898.539603960395</v>
      </c>
      <c r="E21" s="28">
        <f>C9/$I$9*$C$21</f>
        <v>5288.1683168316831</v>
      </c>
      <c r="F21" s="28">
        <f>D9/$I$9*$C$21</f>
        <v>637.29207920792078</v>
      </c>
      <c r="G21" s="28"/>
      <c r="H21" s="28"/>
      <c r="I21" s="28"/>
      <c r="J21" t="s">
        <v>31</v>
      </c>
    </row>
    <row r="22" spans="1:22" x14ac:dyDescent="0.25">
      <c r="B22" s="1"/>
      <c r="C22" s="28"/>
      <c r="D22" s="28"/>
      <c r="E22" s="28"/>
      <c r="F22" s="28"/>
      <c r="G22" s="28"/>
      <c r="H22" s="28"/>
      <c r="I22" s="28"/>
    </row>
    <row r="23" spans="1:22" x14ac:dyDescent="0.25">
      <c r="A23" s="2" t="s">
        <v>39</v>
      </c>
      <c r="C23" s="28"/>
      <c r="D23" s="29"/>
      <c r="E23" s="29"/>
      <c r="F23" s="29"/>
      <c r="G23" s="28"/>
      <c r="H23" s="28"/>
      <c r="I23" s="28"/>
    </row>
    <row r="24" spans="1:22" x14ac:dyDescent="0.25">
      <c r="A24" s="27" t="s">
        <v>40</v>
      </c>
      <c r="C24" s="28">
        <v>11927</v>
      </c>
      <c r="D24" s="28">
        <f>B10/$I$10*$C$24</f>
        <v>7107.393861892584</v>
      </c>
      <c r="E24" s="28">
        <f>C10/$I$10*$C$24</f>
        <v>3873.9872122762144</v>
      </c>
      <c r="F24" s="28">
        <f>D10/$I$10*$C$24</f>
        <v>640.58056265984658</v>
      </c>
      <c r="G24" s="28">
        <f>E10/$I$10*$C$24</f>
        <v>0</v>
      </c>
      <c r="H24" s="28">
        <f>F10/$I$10*$C$24</f>
        <v>274.53452685421996</v>
      </c>
      <c r="I24" s="28">
        <f>G10/$I$10*$C$24</f>
        <v>30.503836317135551</v>
      </c>
      <c r="J24" t="s">
        <v>32</v>
      </c>
      <c r="P24" s="3"/>
      <c r="Q24" s="3"/>
      <c r="R24" s="3"/>
      <c r="S24" s="3"/>
      <c r="T24" s="3"/>
      <c r="U24" s="3"/>
      <c r="V24" s="3"/>
    </row>
    <row r="25" spans="1:22" x14ac:dyDescent="0.25">
      <c r="A25" s="27" t="s">
        <v>42</v>
      </c>
      <c r="C25" s="28">
        <v>250393</v>
      </c>
      <c r="D25" s="28">
        <f>B$4/$I$4*$C25</f>
        <v>228601.70879120877</v>
      </c>
      <c r="E25" s="28">
        <f t="shared" ref="E25:I25" si="2">C$4/$I$4*$C25</f>
        <v>17769.763736263736</v>
      </c>
      <c r="F25" s="28">
        <f t="shared" si="2"/>
        <v>1395.0274725274724</v>
      </c>
      <c r="G25" s="28">
        <f>E$4/$I$4*$C25</f>
        <v>9.6208791208791204</v>
      </c>
      <c r="H25" s="28">
        <f t="shared" si="2"/>
        <v>1096.7802197802198</v>
      </c>
      <c r="I25" s="28">
        <f t="shared" si="2"/>
        <v>1520.098901098901</v>
      </c>
      <c r="J25" t="s">
        <v>30</v>
      </c>
    </row>
    <row r="26" spans="1:22" x14ac:dyDescent="0.25">
      <c r="A26" s="27" t="s">
        <v>41</v>
      </c>
      <c r="C26" s="28">
        <v>489826</v>
      </c>
      <c r="D26" s="28">
        <f>B$4/$I$4*$C26</f>
        <v>447197.2483670176</v>
      </c>
      <c r="E26" s="28">
        <f t="shared" ref="E26" si="3">C$4/$I$4*$C26</f>
        <v>34761.723737800661</v>
      </c>
      <c r="F26" s="28">
        <f t="shared" ref="F26" si="4">D$4/$I$4*$C26</f>
        <v>2728.992930146776</v>
      </c>
      <c r="G26" s="28">
        <f t="shared" ref="G26" si="5">E$4/$I$4*$C26</f>
        <v>18.820640897563973</v>
      </c>
      <c r="H26" s="28">
        <f t="shared" ref="H26" si="6">F$4/$I$4*$C26</f>
        <v>2145.553062322293</v>
      </c>
      <c r="I26" s="28">
        <f t="shared" ref="I26" si="7">G$4/$I$4*$C26</f>
        <v>2973.661261815108</v>
      </c>
      <c r="J26" t="s">
        <v>30</v>
      </c>
    </row>
    <row r="27" spans="1:22" x14ac:dyDescent="0.25">
      <c r="C27" s="28"/>
      <c r="D27" s="28">
        <f>B$4/$I$4*$C27</f>
        <v>0</v>
      </c>
      <c r="E27" s="28"/>
      <c r="F27" s="28"/>
      <c r="G27" s="28"/>
      <c r="H27" s="28"/>
      <c r="I27" s="28"/>
    </row>
    <row r="28" spans="1:22" x14ac:dyDescent="0.25">
      <c r="A28" s="2" t="s">
        <v>43</v>
      </c>
      <c r="C28" s="28"/>
      <c r="D28" s="28"/>
      <c r="E28" s="28"/>
      <c r="F28" s="28"/>
      <c r="G28" s="28"/>
      <c r="H28" s="28"/>
      <c r="I28" s="28"/>
    </row>
    <row r="29" spans="1:22" x14ac:dyDescent="0.25">
      <c r="A29" s="27" t="s">
        <v>44</v>
      </c>
      <c r="C29" s="28">
        <v>224461</v>
      </c>
      <c r="D29" s="28">
        <f>($C$29/$I$8)*B8</f>
        <v>207634.97796868504</v>
      </c>
      <c r="E29" s="28">
        <f>($C$29/$I$8)*C8</f>
        <v>14866.614659830953</v>
      </c>
      <c r="F29" s="28">
        <f>($C$29/$I$8)*D8</f>
        <v>725.70643388296151</v>
      </c>
      <c r="G29" s="28">
        <f>($C$29/$I$8)*E8</f>
        <v>0</v>
      </c>
      <c r="H29" s="28">
        <f>($C$29/$I$8)*F8</f>
        <v>1088.5596508244423</v>
      </c>
      <c r="I29" s="28">
        <f>($C$29/$I$8)*G8</f>
        <v>145.1412867765923</v>
      </c>
      <c r="J29" t="s">
        <v>33</v>
      </c>
    </row>
    <row r="30" spans="1:22" x14ac:dyDescent="0.25">
      <c r="A30" s="27" t="s">
        <v>3</v>
      </c>
      <c r="C30" s="28">
        <v>6839</v>
      </c>
      <c r="D30" s="28">
        <f>B11/$I$11*$C$30</f>
        <v>6000.6895534962086</v>
      </c>
      <c r="E30" s="28">
        <f>C11/$I$11*$C$30</f>
        <v>731.72114574557702</v>
      </c>
      <c r="F30" s="28">
        <f>D11/$I$11*$C$30</f>
        <v>92.185341196293166</v>
      </c>
      <c r="G30" s="28">
        <f>E11/$I$11*$C$30</f>
        <v>0</v>
      </c>
      <c r="H30" s="28">
        <f>F11/$I$11*$C$30</f>
        <v>8.6423757371524843</v>
      </c>
      <c r="I30" s="28">
        <f>G11/$I$11*$C$30</f>
        <v>5.7615838247683229</v>
      </c>
      <c r="J30" t="s">
        <v>34</v>
      </c>
    </row>
    <row r="31" spans="1:22" x14ac:dyDescent="0.25">
      <c r="C31" s="28"/>
      <c r="D31" s="28"/>
      <c r="E31" s="28"/>
      <c r="F31" s="28"/>
      <c r="G31" s="28"/>
      <c r="H31" s="28"/>
      <c r="I31" s="28"/>
    </row>
    <row r="32" spans="1:22" x14ac:dyDescent="0.25">
      <c r="C32" s="28"/>
      <c r="D32" s="28"/>
      <c r="E32" s="28"/>
      <c r="F32" s="28"/>
      <c r="G32" s="28"/>
      <c r="H32" s="28"/>
      <c r="I32" s="28"/>
    </row>
    <row r="33" spans="1:16" x14ac:dyDescent="0.25">
      <c r="A33" s="2" t="s">
        <v>23</v>
      </c>
      <c r="C33" s="28">
        <v>173273</v>
      </c>
      <c r="D33" s="28">
        <f>B4/$I$4*$C$33</f>
        <v>158193.33562591253</v>
      </c>
      <c r="E33" s="28">
        <f>C4/$I$4*$C$33</f>
        <v>12296.750595558287</v>
      </c>
      <c r="F33" s="28">
        <f>D4/$I$4*$C$33</f>
        <v>965.36482748021206</v>
      </c>
      <c r="G33" s="28">
        <f>E4/$I$4*$C$33</f>
        <v>6.6576884653807733</v>
      </c>
      <c r="H33" s="28">
        <f>F4/$I$4*$C$33</f>
        <v>758.97648505340806</v>
      </c>
      <c r="I33" s="28">
        <f>G4/$I$4*$C$33</f>
        <v>1051.9147775301622</v>
      </c>
      <c r="J33" t="s">
        <v>30</v>
      </c>
    </row>
    <row r="34" spans="1:16" x14ac:dyDescent="0.25">
      <c r="C34" s="28"/>
      <c r="D34" s="28"/>
      <c r="E34" s="28"/>
      <c r="F34" s="28"/>
      <c r="G34" s="28"/>
      <c r="H34" s="28"/>
      <c r="I34" s="28"/>
      <c r="P34" s="5"/>
    </row>
    <row r="35" spans="1:16" ht="15.75" thickBot="1" x14ac:dyDescent="0.3">
      <c r="A35" s="2" t="s">
        <v>45</v>
      </c>
      <c r="C35" s="30">
        <f>SUM(C16:C34)</f>
        <v>1360813.3490566039</v>
      </c>
      <c r="D35" s="30">
        <f t="shared" ref="D35:I35" si="8">SUM(D16:D34)</f>
        <v>1198798.5524350514</v>
      </c>
      <c r="E35" s="30">
        <f t="shared" si="8"/>
        <v>97841.165099367761</v>
      </c>
      <c r="F35" s="30">
        <f t="shared" si="8"/>
        <v>52450.713287470833</v>
      </c>
      <c r="G35" s="30">
        <f t="shared" si="8"/>
        <v>345.62742961652935</v>
      </c>
      <c r="H35" s="30">
        <f t="shared" si="8"/>
        <v>5489.2101567355721</v>
      </c>
      <c r="I35" s="30">
        <f t="shared" si="8"/>
        <v>5888.0806483616689</v>
      </c>
      <c r="P35" s="5"/>
    </row>
    <row r="36" spans="1:16" x14ac:dyDescent="0.25">
      <c r="P36" s="5"/>
    </row>
    <row r="37" spans="1:16" x14ac:dyDescent="0.25">
      <c r="P37" s="5"/>
    </row>
    <row r="38" spans="1:16" x14ac:dyDescent="0.25">
      <c r="P38" s="5"/>
    </row>
    <row r="39" spans="1:16" x14ac:dyDescent="0.25">
      <c r="A39" t="s">
        <v>46</v>
      </c>
      <c r="C39" s="4"/>
      <c r="D39" s="31">
        <f>B4</f>
        <v>23761</v>
      </c>
      <c r="E39" s="31">
        <f>C4</f>
        <v>1847</v>
      </c>
      <c r="F39" s="31">
        <f>D4</f>
        <v>145</v>
      </c>
      <c r="G39" s="31">
        <f>E4</f>
        <v>1</v>
      </c>
      <c r="H39" s="31">
        <f>F4</f>
        <v>114</v>
      </c>
      <c r="I39" s="31">
        <f>G4</f>
        <v>158</v>
      </c>
    </row>
    <row r="40" spans="1:16" x14ac:dyDescent="0.25">
      <c r="A40" s="2" t="s">
        <v>24</v>
      </c>
      <c r="C40" s="10"/>
      <c r="D40" s="11">
        <f>D35/(D39*12)</f>
        <v>4.2043634261852452</v>
      </c>
      <c r="E40" s="11">
        <f t="shared" ref="E40:I40" si="9">E35/(E39*12)</f>
        <v>4.4144182051690919</v>
      </c>
      <c r="F40" s="11">
        <f t="shared" si="9"/>
        <v>30.144088096247604</v>
      </c>
      <c r="G40" s="11">
        <f t="shared" si="9"/>
        <v>28.802285801377447</v>
      </c>
      <c r="H40" s="11">
        <f t="shared" si="9"/>
        <v>4.012580523929512</v>
      </c>
      <c r="I40" s="11">
        <f t="shared" si="9"/>
        <v>3.1055277681232432</v>
      </c>
      <c r="P40" s="7"/>
    </row>
    <row r="41" spans="1:16" x14ac:dyDescent="0.25">
      <c r="P41" s="7"/>
    </row>
    <row r="42" spans="1:16" ht="15.75" x14ac:dyDescent="0.25">
      <c r="B42" s="12" t="s">
        <v>26</v>
      </c>
      <c r="C42" s="12"/>
      <c r="D42" s="13">
        <f>D40/$D$40</f>
        <v>1</v>
      </c>
      <c r="E42" s="13">
        <f>E40/$D$40</f>
        <v>1.0499611374401181</v>
      </c>
      <c r="F42" s="13">
        <f t="shared" ref="F42:I42" si="10">F40/$D$40</f>
        <v>7.1697151365428722</v>
      </c>
      <c r="G42" s="13">
        <f t="shared" si="10"/>
        <v>6.8505699630991916</v>
      </c>
      <c r="H42" s="13">
        <f t="shared" si="10"/>
        <v>0.95438479436356816</v>
      </c>
      <c r="I42" s="13">
        <f t="shared" si="10"/>
        <v>0.73864398800105369</v>
      </c>
      <c r="P42" s="7"/>
    </row>
    <row r="43" spans="1:16" ht="15.75" x14ac:dyDescent="0.25">
      <c r="B43" s="32" t="s">
        <v>27</v>
      </c>
      <c r="C43" s="15"/>
      <c r="D43" s="33">
        <v>1</v>
      </c>
      <c r="E43" s="33">
        <v>1</v>
      </c>
      <c r="F43" s="33">
        <v>7</v>
      </c>
      <c r="G43" s="33">
        <v>6</v>
      </c>
      <c r="H43" s="33">
        <v>1</v>
      </c>
      <c r="I43" s="33">
        <v>1</v>
      </c>
      <c r="P43" s="7"/>
    </row>
    <row r="44" spans="1:16" x14ac:dyDescent="0.25">
      <c r="C44" s="4"/>
      <c r="P44" s="6"/>
    </row>
    <row r="45" spans="1:16" x14ac:dyDescent="0.25">
      <c r="C45" s="14"/>
      <c r="D45" s="1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Weighting Factor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Dionne</dc:creator>
  <cp:lastModifiedBy>Jennifer Dionne</cp:lastModifiedBy>
  <dcterms:created xsi:type="dcterms:W3CDTF">2024-07-24T12:45:33Z</dcterms:created>
  <dcterms:modified xsi:type="dcterms:W3CDTF">2024-11-16T21:28:38Z</dcterms:modified>
</cp:coreProperties>
</file>