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124226"/>
  <xr:revisionPtr revIDLastSave="0" documentId="13_ncr:1_{34857AE3-2BB3-4608-8B05-521E5712A1E5}" xr6:coauthVersionLast="47" xr6:coauthVersionMax="47" xr10:uidLastSave="{00000000-0000-0000-0000-000000000000}"/>
  <bookViews>
    <workbookView xWindow="-120" yWindow="-120" windowWidth="29040" windowHeight="15840" tabRatio="857" activeTab="1" xr2:uid="{E543877E-F907-48B2-9C7D-0A2B26FDF2F9}"/>
  </bookViews>
  <sheets>
    <sheet name="Inputs" sheetId="73" r:id="rId1"/>
    <sheet name="Load Forecast Summary" sheetId="11" r:id="rId2"/>
    <sheet name="Power Purchased Model" sheetId="72" r:id="rId3"/>
    <sheet name="Power Purchased Model-WN" sheetId="80" r:id="rId4"/>
    <sheet name="Rate Class Energy Model" sheetId="9" r:id="rId5"/>
    <sheet name="Rate Class Customer Model" sheetId="17" r:id="rId6"/>
    <sheet name="Rate Class Load Model" sheetId="18" r:id="rId7"/>
  </sheets>
  <definedNames>
    <definedName name="__CAP1000" localSheetId="2">#REF!</definedName>
    <definedName name="__CAP1000" localSheetId="3">#REF!</definedName>
    <definedName name="__CAP1000">#REF!</definedName>
    <definedName name="__OP1000" localSheetId="2">#REF!</definedName>
    <definedName name="__OP1000" localSheetId="3">#REF!</definedName>
    <definedName name="__OP1000">#REF!</definedName>
    <definedName name="_110" localSheetId="2">#REF!</definedName>
    <definedName name="_110" localSheetId="3">#REF!</definedName>
    <definedName name="_110">#REF!</definedName>
    <definedName name="_110INPT" localSheetId="2">#REF!</definedName>
    <definedName name="_110INPT" localSheetId="3">#REF!</definedName>
    <definedName name="_110INPT">#REF!</definedName>
    <definedName name="_115" localSheetId="2">#REF!</definedName>
    <definedName name="_115" localSheetId="3">#REF!</definedName>
    <definedName name="_115">#REF!</definedName>
    <definedName name="_115INPT" localSheetId="2">#REF!</definedName>
    <definedName name="_115INPT" localSheetId="3">#REF!</definedName>
    <definedName name="_115INPT">#REF!</definedName>
    <definedName name="_120" localSheetId="2">#REF!</definedName>
    <definedName name="_120" localSheetId="3">#REF!</definedName>
    <definedName name="_120">#REF!</definedName>
    <definedName name="_140" localSheetId="2">#REF!</definedName>
    <definedName name="_140" localSheetId="3">#REF!</definedName>
    <definedName name="_140">#REF!</definedName>
    <definedName name="_140INPT" localSheetId="2">#REF!</definedName>
    <definedName name="_140INPT" localSheetId="3">#REF!</definedName>
    <definedName name="_140INPT">#REF!</definedName>
    <definedName name="_CAP1000" localSheetId="2">#REF!</definedName>
    <definedName name="_CAP1000" localSheetId="3">#REF!</definedName>
    <definedName name="_CAP1000">#REF!</definedName>
    <definedName name="_Fill" hidden="1">#REF!</definedName>
    <definedName name="_OP1000" localSheetId="2">#REF!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hidden="1">#REF!</definedName>
    <definedName name="ALL" localSheetId="2">#REF!</definedName>
    <definedName name="ALL" localSheetId="3">#REF!</definedName>
    <definedName name="ALL">#REF!</definedName>
    <definedName name="ApprovedYr">#REF!</definedName>
    <definedName name="CAfile">#REF!</definedName>
    <definedName name="CAPCOSTS" localSheetId="2">#REF!</definedName>
    <definedName name="CAPCOSTS" localSheetId="3">#REF!</definedName>
    <definedName name="CAPCOSTS">#REF!</definedName>
    <definedName name="CAPITAL" localSheetId="2">#REF!</definedName>
    <definedName name="CAPITAL" localSheetId="3">#REF!</definedName>
    <definedName name="CAPITAL">#REF!</definedName>
    <definedName name="CapitalExpListing" localSheetId="2">#REF!</definedName>
    <definedName name="CapitalExpListing" localSheetId="3">#REF!</definedName>
    <definedName name="CapitalExpListing">#REF!</definedName>
    <definedName name="CArevReq">#REF!</definedName>
    <definedName name="CASENUMBER">#REF!</definedName>
    <definedName name="CASHFLOW" localSheetId="2">#REF!</definedName>
    <definedName name="CASHFLOW" localSheetId="3">#REF!</definedName>
    <definedName name="CASHFLOW">#REF!</definedName>
    <definedName name="cc" localSheetId="2">#REF!</definedName>
    <definedName name="cc" localSheetId="3">#REF!</definedName>
    <definedName name="cc">#REF!</definedName>
    <definedName name="ClassRange1">#REF!</definedName>
    <definedName name="ClassRange2">#REF!</definedName>
    <definedName name="contactf" localSheetId="2">#REF!</definedName>
    <definedName name="contactf" localSheetId="3">#REF!</definedName>
    <definedName name="contactf">#REF!</definedName>
    <definedName name="_xlnm.Criteria" localSheetId="2">#REF!</definedName>
    <definedName name="_xlnm.Criteria" localSheetId="3">#REF!</definedName>
    <definedName name="_xlnm.Criteria">#REF!</definedName>
    <definedName name="CRLF">#REF!</definedName>
    <definedName name="_xlnm.Database" localSheetId="2">#REF!</definedName>
    <definedName name="_xlnm.Database" localSheetId="3">#REF!</definedName>
    <definedName name="_xlnm.Database">#REF!</definedName>
    <definedName name="DaysInPreviousYear">#REF!</definedName>
    <definedName name="DaysInYear">#REF!</definedName>
    <definedName name="DEBTREPAY" localSheetId="2">#REF!</definedName>
    <definedName name="DEBTREPAY" localSheetId="3">#REF!</definedName>
    <definedName name="DEBTREPAY">#REF!</definedName>
    <definedName name="DeptDiv" localSheetId="2">#REF!</definedName>
    <definedName name="DeptDiv" localSheetId="3">#REF!</definedName>
    <definedName name="DeptDiv">#REF!</definedName>
    <definedName name="EBNUMBER">#REF!</definedName>
    <definedName name="ExpenseAccountListing" localSheetId="2">#REF!</definedName>
    <definedName name="ExpenseAccountListing" localSheetId="3">#REF!</definedName>
    <definedName name="ExpenseAccountListing">#REF!</definedName>
    <definedName name="_xlnm.Extract" localSheetId="2">#REF!</definedName>
    <definedName name="_xlnm.Extract" localSheetId="3">#REF!</definedName>
    <definedName name="_xlnm.Extract">#REF!</definedName>
    <definedName name="FakeBlank">#REF!</definedName>
    <definedName name="FolderPath">#REF!</definedName>
    <definedName name="histdate">#REF!</definedName>
    <definedName name="Incr2000" localSheetId="2">#REF!</definedName>
    <definedName name="Incr2000" localSheetId="3">#REF!</definedName>
    <definedName name="Incr2000">#REF!</definedName>
    <definedName name="INTERIM" localSheetId="2">#REF!</definedName>
    <definedName name="INTERIM" localSheetId="3">#REF!</definedName>
    <definedName name="INTERIM">#REF!</definedName>
    <definedName name="LIMIT" localSheetId="2">#REF!</definedName>
    <definedName name="LIMIT" localSheetId="3">#REF!</definedName>
    <definedName name="LIMIT">#REF!</definedName>
    <definedName name="man_beg_bud" localSheetId="2">#REF!</definedName>
    <definedName name="man_beg_bud" localSheetId="3">#REF!</definedName>
    <definedName name="man_beg_bud">#REF!</definedName>
    <definedName name="man_end_bud" localSheetId="2">#REF!</definedName>
    <definedName name="man_end_bud" localSheetId="3">#REF!</definedName>
    <definedName name="man_end_bud">#REF!</definedName>
    <definedName name="man12ACT" localSheetId="2">#REF!</definedName>
    <definedName name="man12ACT" localSheetId="3">#REF!</definedName>
    <definedName name="man12ACT">#REF!</definedName>
    <definedName name="MANBUD" localSheetId="2">#REF!</definedName>
    <definedName name="MANBUD" localSheetId="3">#REF!</definedName>
    <definedName name="MANBUD">#REF!</definedName>
    <definedName name="manCYACT" localSheetId="2">#REF!</definedName>
    <definedName name="manCYACT" localSheetId="3">#REF!</definedName>
    <definedName name="manCYACT">#REF!</definedName>
    <definedName name="manCYBUD" localSheetId="2">#REF!</definedName>
    <definedName name="manCYBUD" localSheetId="3">#REF!</definedName>
    <definedName name="manCYBUD">#REF!</definedName>
    <definedName name="manCYF" localSheetId="2">#REF!</definedName>
    <definedName name="manCYF" localSheetId="3">#REF!</definedName>
    <definedName name="manCYF">#REF!</definedName>
    <definedName name="MANEND" localSheetId="2">#REF!</definedName>
    <definedName name="MANEND" localSheetId="3">#REF!</definedName>
    <definedName name="MANEND">#REF!</definedName>
    <definedName name="manNYbud" localSheetId="2">#REF!</definedName>
    <definedName name="manNYbud" localSheetId="3">#REF!</definedName>
    <definedName name="manNYbud">#REF!</definedName>
    <definedName name="manpower_costs" localSheetId="2">#REF!</definedName>
    <definedName name="manpower_costs" localSheetId="3">#REF!</definedName>
    <definedName name="manpower_costs">#REF!</definedName>
    <definedName name="manPYACT" localSheetId="2">#REF!</definedName>
    <definedName name="manPYACT" localSheetId="3">#REF!</definedName>
    <definedName name="manPYACT">#REF!</definedName>
    <definedName name="MANSTART" localSheetId="2">#REF!</definedName>
    <definedName name="MANSTART" localSheetId="3">#REF!</definedName>
    <definedName name="MANSTART">#REF!</definedName>
    <definedName name="mat_beg_bud" localSheetId="2">#REF!</definedName>
    <definedName name="mat_beg_bud" localSheetId="3">#REF!</definedName>
    <definedName name="mat_beg_bud">#REF!</definedName>
    <definedName name="mat_end_bud" localSheetId="2">#REF!</definedName>
    <definedName name="mat_end_bud" localSheetId="3">#REF!</definedName>
    <definedName name="mat_end_bud">#REF!</definedName>
    <definedName name="mat12ACT" localSheetId="2">#REF!</definedName>
    <definedName name="mat12ACT" localSheetId="3">#REF!</definedName>
    <definedName name="mat12ACT">#REF!</definedName>
    <definedName name="MATBUD" localSheetId="2">#REF!</definedName>
    <definedName name="MATBUD" localSheetId="3">#REF!</definedName>
    <definedName name="MATBUD">#REF!</definedName>
    <definedName name="matCYACT" localSheetId="2">#REF!</definedName>
    <definedName name="matCYACT" localSheetId="3">#REF!</definedName>
    <definedName name="matCYACT">#REF!</definedName>
    <definedName name="matCYBUD" localSheetId="2">#REF!</definedName>
    <definedName name="matCYBUD" localSheetId="3">#REF!</definedName>
    <definedName name="matCYBUD">#REF!</definedName>
    <definedName name="matCYF" localSheetId="2">#REF!</definedName>
    <definedName name="matCYF" localSheetId="3">#REF!</definedName>
    <definedName name="matCYF">#REF!</definedName>
    <definedName name="MATEND" localSheetId="2">#REF!</definedName>
    <definedName name="MATEND" localSheetId="3">#REF!</definedName>
    <definedName name="MATEND">#REF!</definedName>
    <definedName name="material_costs" localSheetId="2">#REF!</definedName>
    <definedName name="material_costs" localSheetId="3">#REF!</definedName>
    <definedName name="material_costs">#REF!</definedName>
    <definedName name="matNYbud" localSheetId="2">#REF!</definedName>
    <definedName name="matNYbud" localSheetId="3">#REF!</definedName>
    <definedName name="matNYbud">#REF!</definedName>
    <definedName name="matPYACT" localSheetId="2">#REF!</definedName>
    <definedName name="matPYACT" localSheetId="3">#REF!</definedName>
    <definedName name="matPYACT">#REF!</definedName>
    <definedName name="MATSTART" localSheetId="2">#REF!</definedName>
    <definedName name="MATSTART" localSheetId="3">#REF!</definedName>
    <definedName name="MATSTART">#REF!</definedName>
    <definedName name="mea" localSheetId="2">#REF!</definedName>
    <definedName name="mea" localSheetId="3">#REF!</definedName>
    <definedName name="mea">#REF!</definedName>
    <definedName name="MEABAL" localSheetId="2">#REF!</definedName>
    <definedName name="MEABAL" localSheetId="3">#REF!</definedName>
    <definedName name="MEABAL">#REF!</definedName>
    <definedName name="MEACASH" localSheetId="2">#REF!</definedName>
    <definedName name="MEACASH" localSheetId="3">#REF!</definedName>
    <definedName name="MEACASH">#REF!</definedName>
    <definedName name="MEAEQITY" localSheetId="2">#REF!</definedName>
    <definedName name="MEAEQITY" localSheetId="3">#REF!</definedName>
    <definedName name="MEAEQITY">#REF!</definedName>
    <definedName name="MEAOP" localSheetId="2">#REF!</definedName>
    <definedName name="MEAOP" localSheetId="3">#REF!</definedName>
    <definedName name="MEAOP">#REF!</definedName>
    <definedName name="MofF" localSheetId="2">#REF!</definedName>
    <definedName name="MofF" localSheetId="3">#REF!</definedName>
    <definedName name="MofF">#REF!</definedName>
    <definedName name="NewRevReq">#REF!</definedName>
    <definedName name="NOTES" localSheetId="2">#REF!</definedName>
    <definedName name="NOTES" localSheetId="3">#REF!</definedName>
    <definedName name="NOTES">#REF!</definedName>
    <definedName name="OPERATING" localSheetId="2">#REF!</definedName>
    <definedName name="OPERATING" localSheetId="3">#REF!</definedName>
    <definedName name="OPERATING">#REF!</definedName>
    <definedName name="oth_beg_bud" localSheetId="2">#REF!</definedName>
    <definedName name="oth_beg_bud" localSheetId="3">#REF!</definedName>
    <definedName name="oth_beg_bud">#REF!</definedName>
    <definedName name="oth_end_bud" localSheetId="2">#REF!</definedName>
    <definedName name="oth_end_bud" localSheetId="3">#REF!</definedName>
    <definedName name="oth_end_bud">#REF!</definedName>
    <definedName name="oth12ACT" localSheetId="2">#REF!</definedName>
    <definedName name="oth12ACT" localSheetId="3">#REF!</definedName>
    <definedName name="oth12ACT">#REF!</definedName>
    <definedName name="othCYACT" localSheetId="2">#REF!</definedName>
    <definedName name="othCYACT" localSheetId="3">#REF!</definedName>
    <definedName name="othCYACT">#REF!</definedName>
    <definedName name="othCYBUD" localSheetId="2">#REF!</definedName>
    <definedName name="othCYBUD" localSheetId="3">#REF!</definedName>
    <definedName name="othCYBUD">#REF!</definedName>
    <definedName name="othCYF" localSheetId="2">#REF!</definedName>
    <definedName name="othCYF" localSheetId="3">#REF!</definedName>
    <definedName name="othCYF">#REF!</definedName>
    <definedName name="OTHEND" localSheetId="2">#REF!</definedName>
    <definedName name="OTHEND" localSheetId="3">#REF!</definedName>
    <definedName name="OTHEND">#REF!</definedName>
    <definedName name="other_costs" localSheetId="2">#REF!</definedName>
    <definedName name="other_costs" localSheetId="3">#REF!</definedName>
    <definedName name="other_costs">#REF!</definedName>
    <definedName name="OTHERBUD" localSheetId="2">#REF!</definedName>
    <definedName name="OTHERBUD" localSheetId="3">#REF!</definedName>
    <definedName name="OTHERBUD">#REF!</definedName>
    <definedName name="othNYbud" localSheetId="2">#REF!</definedName>
    <definedName name="othNYbud" localSheetId="3">#REF!</definedName>
    <definedName name="othNYbud">#REF!</definedName>
    <definedName name="othPYACT" localSheetId="2">#REF!</definedName>
    <definedName name="othPYACT" localSheetId="3">#REF!</definedName>
    <definedName name="othPYACT">#REF!</definedName>
    <definedName name="OTHSTART" localSheetId="2">#REF!</definedName>
    <definedName name="OTHSTART" localSheetId="3">#REF!</definedName>
    <definedName name="OTHSTART">#REF!</definedName>
    <definedName name="PAGE11" localSheetId="2">#REF!</definedName>
    <definedName name="PAGE11" localSheetId="3">#REF!</definedName>
    <definedName name="PAGE11">#REF!</definedName>
    <definedName name="PAGE2">#REF!</definedName>
    <definedName name="PAGE3" localSheetId="2">#REF!</definedName>
    <definedName name="PAGE3" localSheetId="3">#REF!</definedName>
    <definedName name="PAGE3">#REF!</definedName>
    <definedName name="PAGE4" localSheetId="2">#REF!</definedName>
    <definedName name="PAGE4" localSheetId="3">#REF!</definedName>
    <definedName name="PAGE4">#REF!</definedName>
    <definedName name="PAGE7" localSheetId="2">#REF!</definedName>
    <definedName name="PAGE7" localSheetId="3">#REF!</definedName>
    <definedName name="PAGE7">#REF!</definedName>
    <definedName name="PAGE9" localSheetId="2">#REF!</definedName>
    <definedName name="PAGE9" localSheetId="3">#REF!</definedName>
    <definedName name="PAGE9">#REF!</definedName>
    <definedName name="PageOne" localSheetId="2">#REF!</definedName>
    <definedName name="PageOne" localSheetId="3">#REF!</definedName>
    <definedName name="PageOne">#REF!</definedName>
    <definedName name="PR" localSheetId="2">#REF!</definedName>
    <definedName name="PR" localSheetId="3">#REF!</definedName>
    <definedName name="PR">#REF!</definedName>
    <definedName name="_xlnm.Print_Area" localSheetId="1">'Load Forecast Summary'!$A$3:$M$48</definedName>
    <definedName name="_xlnm.Print_Area" localSheetId="2">'Power Purchased Model'!$A$1:$K$168</definedName>
    <definedName name="_xlnm.Print_Area" localSheetId="3">'Power Purchased Model-WN'!$A$1:$P$168</definedName>
    <definedName name="_xlnm.Print_Area" localSheetId="5">'Rate Class Customer Model'!$A$1:$L$42</definedName>
    <definedName name="_xlnm.Print_Area" localSheetId="6">'Rate Class Load Model'!$A$1:$I$29</definedName>
    <definedName name="Print_Area_MI" localSheetId="2">#REF!</definedName>
    <definedName name="Print_Area_MI" localSheetId="3">#REF!</definedName>
    <definedName name="Print_Area_MI">#REF!</definedName>
    <definedName name="print_end" localSheetId="2">#REF!</definedName>
    <definedName name="print_end" localSheetId="3">#REF!</definedName>
    <definedName name="print_end">#REF!</definedName>
    <definedName name="_xlnm.Print_Titles" localSheetId="0">Inputs!$A:$B,Inputs!$20:$22</definedName>
    <definedName name="_xlnm.Print_Titles" localSheetId="2">'Power Purchased Model'!$A:$K,'Power Purchased Model'!$1:$2</definedName>
    <definedName name="_xlnm.Print_Titles" localSheetId="3">'Power Purchased Model-WN'!$A:$P,'Power Purchased Model-WN'!$1:$2</definedName>
    <definedName name="PRIOR" localSheetId="2">#REF!</definedName>
    <definedName name="PRIOR" localSheetId="3">#REF!</definedName>
    <definedName name="PRIOR">#REF!</definedName>
    <definedName name="Ratebase">#REF!</definedName>
    <definedName name="RebaseYear">#REF!</definedName>
    <definedName name="RevReqLookupKey">#REF!</definedName>
    <definedName name="RevReqRange">#REF!</definedName>
    <definedName name="RVCASHPR" localSheetId="2">#REF!</definedName>
    <definedName name="RVCASHPR" localSheetId="3">#REF!</definedName>
    <definedName name="RVCASHPR">#REF!</definedName>
    <definedName name="SALBENF" localSheetId="2">#REF!</definedName>
    <definedName name="SALBENF" localSheetId="3">#REF!</definedName>
    <definedName name="SALBENF">#REF!</definedName>
    <definedName name="salreg" localSheetId="2">#REF!</definedName>
    <definedName name="salreg" localSheetId="3">#REF!</definedName>
    <definedName name="salreg">#REF!</definedName>
    <definedName name="SALREGF" localSheetId="2">#REF!</definedName>
    <definedName name="SALREGF" localSheetId="3">#REF!</definedName>
    <definedName name="SALREGF">#REF!</definedName>
    <definedName name="SOURCEAPP" localSheetId="2">#REF!</definedName>
    <definedName name="SOURCEAPP" localSheetId="3">#REF!</definedName>
    <definedName name="SOURCEAPP">#REF!</definedName>
    <definedName name="STATS1" localSheetId="2">#REF!</definedName>
    <definedName name="STATS1" localSheetId="3">#REF!</definedName>
    <definedName name="STATS1">#REF!</definedName>
    <definedName name="STATS2" localSheetId="2">#REF!</definedName>
    <definedName name="STATS2" localSheetId="3">#REF!</definedName>
    <definedName name="STATS2">#REF!</definedName>
    <definedName name="Surtax" localSheetId="2">#REF!</definedName>
    <definedName name="Surtax" localSheetId="3">#REF!</definedName>
    <definedName name="Surtax">#REF!</definedName>
    <definedName name="TEMPA" localSheetId="2">#REF!</definedName>
    <definedName name="TEMPA" localSheetId="3">#REF!</definedName>
    <definedName name="TEMPA">#REF!</definedName>
    <definedName name="TEST">#REF!</definedName>
    <definedName name="Test_Year">#REF!</definedName>
    <definedName name="TestYr">#REF!</definedName>
    <definedName name="TestYrPL">#REF!</definedName>
    <definedName name="total_dept" localSheetId="2">#REF!</definedName>
    <definedName name="total_dept" localSheetId="3">#REF!</definedName>
    <definedName name="total_dept">#REF!</definedName>
    <definedName name="total_manpower" localSheetId="2">#REF!</definedName>
    <definedName name="total_manpower" localSheetId="3">#REF!</definedName>
    <definedName name="total_manpower">#REF!</definedName>
    <definedName name="total_material" localSheetId="2">#REF!</definedName>
    <definedName name="total_material" localSheetId="3">#REF!</definedName>
    <definedName name="total_material">#REF!</definedName>
    <definedName name="total_other" localSheetId="2">#REF!</definedName>
    <definedName name="total_other" localSheetId="3">#REF!</definedName>
    <definedName name="total_other">#REF!</definedName>
    <definedName name="total_transportation" localSheetId="2">#REF!</definedName>
    <definedName name="total_transportation" localSheetId="3">#REF!</definedName>
    <definedName name="total_transportation">#REF!</definedName>
    <definedName name="TOTCAPADDITIONS" localSheetId="2">#REF!</definedName>
    <definedName name="TOTCAPADDITIONS" localSheetId="3">#REF!</definedName>
    <definedName name="TOTCAPADDITIONS">#REF!</definedName>
    <definedName name="TRANBUD" localSheetId="2">#REF!</definedName>
    <definedName name="TRANBUD" localSheetId="3">#REF!</definedName>
    <definedName name="TRANBUD">#REF!</definedName>
    <definedName name="TRANEND" localSheetId="2">#REF!</definedName>
    <definedName name="TRANEND" localSheetId="3">#REF!</definedName>
    <definedName name="TRANEND">#REF!</definedName>
    <definedName name="TRANSCAP" localSheetId="2">#REF!</definedName>
    <definedName name="TRANSCAP" localSheetId="3">#REF!</definedName>
    <definedName name="TRANSCAP">#REF!</definedName>
    <definedName name="TRANSFER" localSheetId="2">#REF!</definedName>
    <definedName name="TRANSFER" localSheetId="3">#REF!</definedName>
    <definedName name="TRANSFER">#REF!</definedName>
    <definedName name="transportation_costs" localSheetId="2">#REF!</definedName>
    <definedName name="transportation_costs" localSheetId="3">#REF!</definedName>
    <definedName name="transportation_costs">#REF!</definedName>
    <definedName name="TRANSTART" localSheetId="2">#REF!</definedName>
    <definedName name="TRANSTART" localSheetId="3">#REF!</definedName>
    <definedName name="TRANSTART">#REF!</definedName>
    <definedName name="trn_beg_bud" localSheetId="2">#REF!</definedName>
    <definedName name="trn_beg_bud" localSheetId="3">#REF!</definedName>
    <definedName name="trn_beg_bud">#REF!</definedName>
    <definedName name="trn_end_bud" localSheetId="2">#REF!</definedName>
    <definedName name="trn_end_bud" localSheetId="3">#REF!</definedName>
    <definedName name="trn_end_bud">#REF!</definedName>
    <definedName name="trn12ACT" localSheetId="2">#REF!</definedName>
    <definedName name="trn12ACT" localSheetId="3">#REF!</definedName>
    <definedName name="trn12ACT">#REF!</definedName>
    <definedName name="trnCYACT" localSheetId="2">#REF!</definedName>
    <definedName name="trnCYACT" localSheetId="3">#REF!</definedName>
    <definedName name="trnCYACT">#REF!</definedName>
    <definedName name="trnCYBUD" localSheetId="2">#REF!</definedName>
    <definedName name="trnCYBUD" localSheetId="3">#REF!</definedName>
    <definedName name="trnCYBUD">#REF!</definedName>
    <definedName name="trnCYF" localSheetId="2">#REF!</definedName>
    <definedName name="trnCYF" localSheetId="3">#REF!</definedName>
    <definedName name="trnCYF">#REF!</definedName>
    <definedName name="trnNYbud" localSheetId="2">#REF!</definedName>
    <definedName name="trnNYbud" localSheetId="3">#REF!</definedName>
    <definedName name="trnNYbud">#REF!</definedName>
    <definedName name="trnPYACT" localSheetId="2">#REF!</definedName>
    <definedName name="trnPYACT" localSheetId="3">#REF!</definedName>
    <definedName name="trnPYACT">#REF!</definedName>
    <definedName name="Utility">#REF!</definedName>
    <definedName name="utitliy1">#REF!</definedName>
    <definedName name="Variable1">#REF!</definedName>
    <definedName name="WAGBENF" localSheetId="2">#REF!</definedName>
    <definedName name="WAGBENF" localSheetId="3">#REF!</definedName>
    <definedName name="WAGBENF">#REF!</definedName>
    <definedName name="wagdob" localSheetId="2">#REF!</definedName>
    <definedName name="wagdob" localSheetId="3">#REF!</definedName>
    <definedName name="wagdob">#REF!</definedName>
    <definedName name="wagdobf" localSheetId="2">#REF!</definedName>
    <definedName name="wagdobf" localSheetId="3">#REF!</definedName>
    <definedName name="wagdobf">#REF!</definedName>
    <definedName name="wagreg" localSheetId="2">#REF!</definedName>
    <definedName name="wagreg" localSheetId="3">#REF!</definedName>
    <definedName name="wagreg">#REF!</definedName>
    <definedName name="wagregf" localSheetId="2">#REF!</definedName>
    <definedName name="wagregf" localSheetId="3">#REF!</definedName>
    <definedName name="wagreg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" i="72" l="1"/>
  <c r="K132" i="72"/>
  <c r="G72" i="17" l="1"/>
  <c r="E56" i="17"/>
  <c r="G60" i="17"/>
  <c r="G44" i="17"/>
  <c r="G54" i="17" s="1"/>
  <c r="G45" i="17"/>
  <c r="G55" i="17" s="1"/>
  <c r="G46" i="17"/>
  <c r="G56" i="17" s="1"/>
  <c r="G47" i="17"/>
  <c r="G57" i="17" s="1"/>
  <c r="G48" i="17"/>
  <c r="G70" i="17" s="1"/>
  <c r="G49" i="17"/>
  <c r="G71" i="17" s="1"/>
  <c r="G50" i="17"/>
  <c r="G51" i="17"/>
  <c r="G61" i="17" s="1"/>
  <c r="G52" i="17"/>
  <c r="G62" i="17" s="1"/>
  <c r="G43" i="17"/>
  <c r="F44" i="17"/>
  <c r="F54" i="17" s="1"/>
  <c r="F45" i="17"/>
  <c r="F55" i="17" s="1"/>
  <c r="F46" i="17"/>
  <c r="F68" i="17" s="1"/>
  <c r="F47" i="17"/>
  <c r="F57" i="17" s="1"/>
  <c r="F48" i="17"/>
  <c r="F58" i="17" s="1"/>
  <c r="F49" i="17"/>
  <c r="F59" i="17" s="1"/>
  <c r="F50" i="17"/>
  <c r="F60" i="17" s="1"/>
  <c r="F51" i="17"/>
  <c r="F73" i="17" s="1"/>
  <c r="F52" i="17"/>
  <c r="F62" i="17" s="1"/>
  <c r="F43" i="17"/>
  <c r="E44" i="17"/>
  <c r="E54" i="17" s="1"/>
  <c r="E45" i="17"/>
  <c r="E55" i="17" s="1"/>
  <c r="E46" i="17"/>
  <c r="E68" i="17" s="1"/>
  <c r="E47" i="17"/>
  <c r="E57" i="17" s="1"/>
  <c r="E48" i="17"/>
  <c r="E58" i="17" s="1"/>
  <c r="E49" i="17"/>
  <c r="E59" i="17" s="1"/>
  <c r="E50" i="17"/>
  <c r="E60" i="17" s="1"/>
  <c r="E51" i="17"/>
  <c r="E73" i="17" s="1"/>
  <c r="E52" i="17"/>
  <c r="E62" i="17" s="1"/>
  <c r="E43" i="17"/>
  <c r="D44" i="17"/>
  <c r="D66" i="17" s="1"/>
  <c r="D45" i="17"/>
  <c r="D55" i="17" s="1"/>
  <c r="D46" i="17"/>
  <c r="D56" i="17" s="1"/>
  <c r="D47" i="17"/>
  <c r="D57" i="17" s="1"/>
  <c r="D48" i="17"/>
  <c r="D58" i="17" s="1"/>
  <c r="D49" i="17"/>
  <c r="D59" i="17" s="1"/>
  <c r="D50" i="17"/>
  <c r="D60" i="17" s="1"/>
  <c r="D51" i="17"/>
  <c r="D73" i="17" s="1"/>
  <c r="D52" i="17"/>
  <c r="D62" i="17" s="1"/>
  <c r="D43" i="17"/>
  <c r="C44" i="17"/>
  <c r="C66" i="17" s="1"/>
  <c r="C45" i="17"/>
  <c r="C55" i="17" s="1"/>
  <c r="C46" i="17"/>
  <c r="C56" i="17" s="1"/>
  <c r="C47" i="17"/>
  <c r="C57" i="17" s="1"/>
  <c r="C48" i="17"/>
  <c r="C58" i="17" s="1"/>
  <c r="C49" i="17"/>
  <c r="C71" i="17" s="1"/>
  <c r="C50" i="17"/>
  <c r="C60" i="17" s="1"/>
  <c r="C51" i="17"/>
  <c r="C61" i="17" s="1"/>
  <c r="C52" i="17"/>
  <c r="C62" i="17" s="1"/>
  <c r="C43" i="17"/>
  <c r="B67" i="17"/>
  <c r="B68" i="17"/>
  <c r="B55" i="17"/>
  <c r="B56" i="17"/>
  <c r="B44" i="17"/>
  <c r="B66" i="17" s="1"/>
  <c r="B45" i="17"/>
  <c r="B46" i="17"/>
  <c r="B47" i="17"/>
  <c r="B57" i="17" s="1"/>
  <c r="B48" i="17"/>
  <c r="B70" i="17" s="1"/>
  <c r="B49" i="17"/>
  <c r="B71" i="17" s="1"/>
  <c r="B50" i="17"/>
  <c r="B60" i="17" s="1"/>
  <c r="B51" i="17"/>
  <c r="B61" i="17" s="1"/>
  <c r="B52" i="17"/>
  <c r="B62" i="17" s="1"/>
  <c r="B43" i="17"/>
  <c r="G131" i="80"/>
  <c r="M131" i="80" s="1"/>
  <c r="B131" i="80"/>
  <c r="G130" i="80"/>
  <c r="M130" i="80" s="1"/>
  <c r="B130" i="80"/>
  <c r="M129" i="80"/>
  <c r="G129" i="80"/>
  <c r="B129" i="80"/>
  <c r="G128" i="80"/>
  <c r="M128" i="80" s="1"/>
  <c r="B128" i="80"/>
  <c r="G127" i="80"/>
  <c r="M127" i="80" s="1"/>
  <c r="B127" i="80"/>
  <c r="G126" i="80"/>
  <c r="M126" i="80" s="1"/>
  <c r="B126" i="80"/>
  <c r="G125" i="80"/>
  <c r="M125" i="80" s="1"/>
  <c r="B125" i="80"/>
  <c r="G124" i="80"/>
  <c r="M124" i="80" s="1"/>
  <c r="B124" i="80"/>
  <c r="G123" i="80"/>
  <c r="M123" i="80" s="1"/>
  <c r="B123" i="80"/>
  <c r="G122" i="80"/>
  <c r="M122" i="80" s="1"/>
  <c r="B122" i="80"/>
  <c r="G121" i="80"/>
  <c r="M121" i="80" s="1"/>
  <c r="N121" i="80" s="1"/>
  <c r="B121" i="80"/>
  <c r="G120" i="80"/>
  <c r="M120" i="80" s="1"/>
  <c r="N120" i="80" s="1"/>
  <c r="B120" i="80"/>
  <c r="G119" i="80"/>
  <c r="M119" i="80" s="1"/>
  <c r="B119" i="80"/>
  <c r="G118" i="80"/>
  <c r="M118" i="80" s="1"/>
  <c r="N118" i="80" s="1"/>
  <c r="B118" i="80"/>
  <c r="G117" i="80"/>
  <c r="M117" i="80" s="1"/>
  <c r="B117" i="80"/>
  <c r="G116" i="80"/>
  <c r="M116" i="80" s="1"/>
  <c r="N116" i="80" s="1"/>
  <c r="B116" i="80"/>
  <c r="G115" i="80"/>
  <c r="M115" i="80" s="1"/>
  <c r="B115" i="80"/>
  <c r="G114" i="80"/>
  <c r="M114" i="80" s="1"/>
  <c r="N114" i="80" s="1"/>
  <c r="O114" i="80" s="1"/>
  <c r="P114" i="80" s="1"/>
  <c r="B114" i="80"/>
  <c r="G113" i="80"/>
  <c r="M113" i="80" s="1"/>
  <c r="N113" i="80" s="1"/>
  <c r="B113" i="80"/>
  <c r="G112" i="80"/>
  <c r="M112" i="80" s="1"/>
  <c r="N112" i="80" s="1"/>
  <c r="B112" i="80"/>
  <c r="G111" i="80"/>
  <c r="M111" i="80" s="1"/>
  <c r="B111" i="80"/>
  <c r="G110" i="80"/>
  <c r="M110" i="80" s="1"/>
  <c r="B110" i="80"/>
  <c r="G109" i="80"/>
  <c r="M109" i="80" s="1"/>
  <c r="B109" i="80"/>
  <c r="G108" i="80"/>
  <c r="M108" i="80" s="1"/>
  <c r="N108" i="80" s="1"/>
  <c r="B108" i="80"/>
  <c r="G107" i="80"/>
  <c r="M107" i="80" s="1"/>
  <c r="B107" i="80"/>
  <c r="G106" i="80"/>
  <c r="M106" i="80" s="1"/>
  <c r="N106" i="80" s="1"/>
  <c r="B106" i="80"/>
  <c r="M105" i="80"/>
  <c r="N105" i="80" s="1"/>
  <c r="G105" i="80"/>
  <c r="B105" i="80"/>
  <c r="G104" i="80"/>
  <c r="M104" i="80" s="1"/>
  <c r="B104" i="80"/>
  <c r="G103" i="80"/>
  <c r="M103" i="80" s="1"/>
  <c r="B103" i="80"/>
  <c r="G102" i="80"/>
  <c r="M102" i="80" s="1"/>
  <c r="B102" i="80"/>
  <c r="G101" i="80"/>
  <c r="M101" i="80" s="1"/>
  <c r="B101" i="80"/>
  <c r="G100" i="80"/>
  <c r="M100" i="80" s="1"/>
  <c r="B100" i="80"/>
  <c r="G99" i="80"/>
  <c r="M99" i="80" s="1"/>
  <c r="B99" i="80"/>
  <c r="G98" i="80"/>
  <c r="M98" i="80" s="1"/>
  <c r="N98" i="80" s="1"/>
  <c r="O98" i="80" s="1"/>
  <c r="P98" i="80" s="1"/>
  <c r="B98" i="80"/>
  <c r="G97" i="80"/>
  <c r="M97" i="80" s="1"/>
  <c r="N97" i="80" s="1"/>
  <c r="B97" i="80"/>
  <c r="G96" i="80"/>
  <c r="M96" i="80" s="1"/>
  <c r="N96" i="80" s="1"/>
  <c r="B96" i="80"/>
  <c r="G95" i="80"/>
  <c r="M95" i="80" s="1"/>
  <c r="B95" i="80"/>
  <c r="G94" i="80"/>
  <c r="M94" i="80" s="1"/>
  <c r="B94" i="80"/>
  <c r="G93" i="80"/>
  <c r="M93" i="80" s="1"/>
  <c r="B93" i="80"/>
  <c r="G92" i="80"/>
  <c r="M92" i="80" s="1"/>
  <c r="N92" i="80" s="1"/>
  <c r="B92" i="80"/>
  <c r="G91" i="80"/>
  <c r="M91" i="80" s="1"/>
  <c r="B91" i="80"/>
  <c r="G90" i="80"/>
  <c r="M90" i="80" s="1"/>
  <c r="N90" i="80" s="1"/>
  <c r="B90" i="80"/>
  <c r="G89" i="80"/>
  <c r="M89" i="80" s="1"/>
  <c r="B89" i="80"/>
  <c r="G88" i="80"/>
  <c r="M88" i="80" s="1"/>
  <c r="N88" i="80" s="1"/>
  <c r="B88" i="80"/>
  <c r="G87" i="80"/>
  <c r="M87" i="80" s="1"/>
  <c r="B87" i="80"/>
  <c r="G86" i="80"/>
  <c r="M86" i="80" s="1"/>
  <c r="B86" i="80"/>
  <c r="G85" i="80"/>
  <c r="M85" i="80" s="1"/>
  <c r="B85" i="80"/>
  <c r="G84" i="80"/>
  <c r="M84" i="80" s="1"/>
  <c r="B84" i="80"/>
  <c r="G83" i="80"/>
  <c r="M83" i="80" s="1"/>
  <c r="B83" i="80"/>
  <c r="G82" i="80"/>
  <c r="M82" i="80" s="1"/>
  <c r="N82" i="80" s="1"/>
  <c r="O82" i="80" s="1"/>
  <c r="P82" i="80" s="1"/>
  <c r="B82" i="80"/>
  <c r="G81" i="80"/>
  <c r="M81" i="80" s="1"/>
  <c r="N81" i="80" s="1"/>
  <c r="B81" i="80"/>
  <c r="G80" i="80"/>
  <c r="M80" i="80" s="1"/>
  <c r="B80" i="80"/>
  <c r="G79" i="80"/>
  <c r="M79" i="80" s="1"/>
  <c r="N79" i="80" s="1"/>
  <c r="O79" i="80" s="1"/>
  <c r="P79" i="80" s="1"/>
  <c r="B79" i="80"/>
  <c r="G78" i="80"/>
  <c r="M78" i="80" s="1"/>
  <c r="B78" i="80"/>
  <c r="G77" i="80"/>
  <c r="M77" i="80" s="1"/>
  <c r="B77" i="80"/>
  <c r="G76" i="80"/>
  <c r="M76" i="80" s="1"/>
  <c r="B76" i="80"/>
  <c r="G75" i="80"/>
  <c r="M75" i="80" s="1"/>
  <c r="B75" i="80"/>
  <c r="G74" i="80"/>
  <c r="M74" i="80" s="1"/>
  <c r="B74" i="80"/>
  <c r="G73" i="80"/>
  <c r="M73" i="80" s="1"/>
  <c r="N73" i="80" s="1"/>
  <c r="B73" i="80"/>
  <c r="G72" i="80"/>
  <c r="M72" i="80" s="1"/>
  <c r="B72" i="80"/>
  <c r="G71" i="80"/>
  <c r="M71" i="80" s="1"/>
  <c r="B71" i="80"/>
  <c r="G70" i="80"/>
  <c r="M70" i="80" s="1"/>
  <c r="B70" i="80"/>
  <c r="M69" i="80"/>
  <c r="N69" i="80" s="1"/>
  <c r="G69" i="80"/>
  <c r="B69" i="80"/>
  <c r="G68" i="80"/>
  <c r="M68" i="80" s="1"/>
  <c r="N68" i="80" s="1"/>
  <c r="B68" i="80"/>
  <c r="G67" i="80"/>
  <c r="M67" i="80" s="1"/>
  <c r="B67" i="80"/>
  <c r="G66" i="80"/>
  <c r="M66" i="80" s="1"/>
  <c r="B66" i="80"/>
  <c r="G65" i="80"/>
  <c r="M65" i="80" s="1"/>
  <c r="N65" i="80" s="1"/>
  <c r="B65" i="80"/>
  <c r="G64" i="80"/>
  <c r="M64" i="80" s="1"/>
  <c r="B64" i="80"/>
  <c r="G63" i="80"/>
  <c r="M63" i="80" s="1"/>
  <c r="B63" i="80"/>
  <c r="G62" i="80"/>
  <c r="M62" i="80" s="1"/>
  <c r="N62" i="80" s="1"/>
  <c r="B62" i="80"/>
  <c r="G61" i="80"/>
  <c r="M61" i="80" s="1"/>
  <c r="B61" i="80"/>
  <c r="G60" i="80"/>
  <c r="M60" i="80" s="1"/>
  <c r="B60" i="80"/>
  <c r="N60" i="80" s="1"/>
  <c r="G59" i="80"/>
  <c r="M59" i="80" s="1"/>
  <c r="B59" i="80"/>
  <c r="G58" i="80"/>
  <c r="M58" i="80" s="1"/>
  <c r="B58" i="80"/>
  <c r="G57" i="80"/>
  <c r="M57" i="80" s="1"/>
  <c r="N57" i="80" s="1"/>
  <c r="B57" i="80"/>
  <c r="G56" i="80"/>
  <c r="M56" i="80" s="1"/>
  <c r="N56" i="80" s="1"/>
  <c r="B56" i="80"/>
  <c r="G55" i="80"/>
  <c r="M55" i="80" s="1"/>
  <c r="B55" i="80"/>
  <c r="G54" i="80"/>
  <c r="M54" i="80" s="1"/>
  <c r="B54" i="80"/>
  <c r="G53" i="80"/>
  <c r="M53" i="80" s="1"/>
  <c r="B53" i="80"/>
  <c r="G52" i="80"/>
  <c r="M52" i="80" s="1"/>
  <c r="B52" i="80"/>
  <c r="G51" i="80"/>
  <c r="M51" i="80" s="1"/>
  <c r="B51" i="80"/>
  <c r="G50" i="80"/>
  <c r="M50" i="80" s="1"/>
  <c r="N50" i="80" s="1"/>
  <c r="B50" i="80"/>
  <c r="G49" i="80"/>
  <c r="M49" i="80" s="1"/>
  <c r="N49" i="80" s="1"/>
  <c r="B49" i="80"/>
  <c r="G48" i="80"/>
  <c r="M48" i="80" s="1"/>
  <c r="N48" i="80" s="1"/>
  <c r="B48" i="80"/>
  <c r="G47" i="80"/>
  <c r="M47" i="80" s="1"/>
  <c r="B47" i="80"/>
  <c r="N47" i="80" s="1"/>
  <c r="G46" i="80"/>
  <c r="M46" i="80" s="1"/>
  <c r="N46" i="80" s="1"/>
  <c r="B46" i="80"/>
  <c r="G45" i="80"/>
  <c r="M45" i="80" s="1"/>
  <c r="B45" i="80"/>
  <c r="G44" i="80"/>
  <c r="M44" i="80" s="1"/>
  <c r="B44" i="80"/>
  <c r="G43" i="80"/>
  <c r="M43" i="80" s="1"/>
  <c r="B43" i="80"/>
  <c r="M42" i="80"/>
  <c r="N42" i="80" s="1"/>
  <c r="G42" i="80"/>
  <c r="B42" i="80"/>
  <c r="M41" i="80"/>
  <c r="N41" i="80" s="1"/>
  <c r="G41" i="80"/>
  <c r="B41" i="80"/>
  <c r="G40" i="80"/>
  <c r="M40" i="80" s="1"/>
  <c r="B40" i="80"/>
  <c r="G39" i="80"/>
  <c r="M39" i="80" s="1"/>
  <c r="B39" i="80"/>
  <c r="G38" i="80"/>
  <c r="M38" i="80" s="1"/>
  <c r="B38" i="80"/>
  <c r="G37" i="80"/>
  <c r="M37" i="80" s="1"/>
  <c r="N37" i="80" s="1"/>
  <c r="B37" i="80"/>
  <c r="G36" i="80"/>
  <c r="M36" i="80" s="1"/>
  <c r="B36" i="80"/>
  <c r="G35" i="80"/>
  <c r="M35" i="80" s="1"/>
  <c r="N35" i="80" s="1"/>
  <c r="B35" i="80"/>
  <c r="G34" i="80"/>
  <c r="M34" i="80" s="1"/>
  <c r="N34" i="80" s="1"/>
  <c r="B34" i="80"/>
  <c r="G33" i="80"/>
  <c r="M33" i="80" s="1"/>
  <c r="N33" i="80" s="1"/>
  <c r="B33" i="80"/>
  <c r="N32" i="80"/>
  <c r="G32" i="80"/>
  <c r="M32" i="80" s="1"/>
  <c r="B32" i="80"/>
  <c r="G31" i="80"/>
  <c r="M31" i="80" s="1"/>
  <c r="B31" i="80"/>
  <c r="G30" i="80"/>
  <c r="M30" i="80" s="1"/>
  <c r="N30" i="80" s="1"/>
  <c r="B30" i="80"/>
  <c r="G29" i="80"/>
  <c r="M29" i="80" s="1"/>
  <c r="N29" i="80" s="1"/>
  <c r="B29" i="80"/>
  <c r="G28" i="80"/>
  <c r="M28" i="80" s="1"/>
  <c r="N28" i="80" s="1"/>
  <c r="B28" i="80"/>
  <c r="G27" i="80"/>
  <c r="M27" i="80" s="1"/>
  <c r="B27" i="80"/>
  <c r="G26" i="80"/>
  <c r="M26" i="80" s="1"/>
  <c r="N26" i="80" s="1"/>
  <c r="B26" i="80"/>
  <c r="G25" i="80"/>
  <c r="M25" i="80" s="1"/>
  <c r="B25" i="80"/>
  <c r="G24" i="80"/>
  <c r="M24" i="80" s="1"/>
  <c r="B24" i="80"/>
  <c r="M23" i="80"/>
  <c r="G23" i="80"/>
  <c r="B23" i="80"/>
  <c r="M22" i="80"/>
  <c r="N22" i="80" s="1"/>
  <c r="G22" i="80"/>
  <c r="B22" i="80"/>
  <c r="G21" i="80"/>
  <c r="M21" i="80" s="1"/>
  <c r="B21" i="80"/>
  <c r="G20" i="80"/>
  <c r="M20" i="80" s="1"/>
  <c r="B20" i="80"/>
  <c r="G19" i="80"/>
  <c r="M19" i="80" s="1"/>
  <c r="N19" i="80" s="1"/>
  <c r="B19" i="80"/>
  <c r="G18" i="80"/>
  <c r="M18" i="80" s="1"/>
  <c r="N18" i="80" s="1"/>
  <c r="B18" i="80"/>
  <c r="G17" i="80"/>
  <c r="M17" i="80" s="1"/>
  <c r="N17" i="80" s="1"/>
  <c r="B17" i="80"/>
  <c r="G16" i="80"/>
  <c r="M16" i="80" s="1"/>
  <c r="N16" i="80" s="1"/>
  <c r="B16" i="80"/>
  <c r="G15" i="80"/>
  <c r="M15" i="80" s="1"/>
  <c r="N15" i="80" s="1"/>
  <c r="B15" i="80"/>
  <c r="M14" i="80"/>
  <c r="N14" i="80" s="1"/>
  <c r="G14" i="80"/>
  <c r="B14" i="80"/>
  <c r="G13" i="80"/>
  <c r="M13" i="80" s="1"/>
  <c r="N13" i="80" s="1"/>
  <c r="B13" i="80"/>
  <c r="G12" i="80"/>
  <c r="M12" i="80" s="1"/>
  <c r="B12" i="80"/>
  <c r="G11" i="80"/>
  <c r="M11" i="80" s="1"/>
  <c r="N11" i="80" s="1"/>
  <c r="B11" i="80"/>
  <c r="G10" i="80"/>
  <c r="M10" i="80" s="1"/>
  <c r="N10" i="80" s="1"/>
  <c r="B10" i="80"/>
  <c r="G9" i="80"/>
  <c r="M9" i="80" s="1"/>
  <c r="B9" i="80"/>
  <c r="G8" i="80"/>
  <c r="M8" i="80" s="1"/>
  <c r="N8" i="80" s="1"/>
  <c r="B8" i="80"/>
  <c r="G7" i="80"/>
  <c r="M7" i="80" s="1"/>
  <c r="B7" i="80"/>
  <c r="G6" i="80"/>
  <c r="M6" i="80" s="1"/>
  <c r="N6" i="80" s="1"/>
  <c r="B6" i="80"/>
  <c r="G5" i="80"/>
  <c r="M5" i="80" s="1"/>
  <c r="B5" i="80"/>
  <c r="B152" i="80" s="1"/>
  <c r="G4" i="80"/>
  <c r="M4" i="80" s="1"/>
  <c r="B4" i="80"/>
  <c r="N3" i="80"/>
  <c r="M3" i="80"/>
  <c r="G3" i="80"/>
  <c r="B3" i="80"/>
  <c r="E64" i="17" l="1"/>
  <c r="B59" i="17"/>
  <c r="B69" i="17"/>
  <c r="F61" i="17"/>
  <c r="C59" i="17"/>
  <c r="F56" i="17"/>
  <c r="F64" i="17" s="1"/>
  <c r="D54" i="17"/>
  <c r="D64" i="17" s="1"/>
  <c r="C73" i="17"/>
  <c r="F70" i="17"/>
  <c r="D68" i="17"/>
  <c r="B58" i="17"/>
  <c r="E61" i="17"/>
  <c r="G58" i="17"/>
  <c r="G64" i="17" s="1"/>
  <c r="C54" i="17"/>
  <c r="E70" i="17"/>
  <c r="C68" i="17"/>
  <c r="D61" i="17"/>
  <c r="G59" i="17"/>
  <c r="F72" i="17"/>
  <c r="D70" i="17"/>
  <c r="G67" i="17"/>
  <c r="G74" i="17"/>
  <c r="E72" i="17"/>
  <c r="C70" i="17"/>
  <c r="F67" i="17"/>
  <c r="F74" i="17"/>
  <c r="D72" i="17"/>
  <c r="G69" i="17"/>
  <c r="E67" i="17"/>
  <c r="B54" i="17"/>
  <c r="B64" i="17" s="1"/>
  <c r="E74" i="17"/>
  <c r="C72" i="17"/>
  <c r="F69" i="17"/>
  <c r="D67" i="17"/>
  <c r="D74" i="17"/>
  <c r="E69" i="17"/>
  <c r="C67" i="17"/>
  <c r="N129" i="80"/>
  <c r="O129" i="80" s="1"/>
  <c r="P129" i="80" s="1"/>
  <c r="B74" i="17"/>
  <c r="C74" i="17"/>
  <c r="F71" i="17"/>
  <c r="D69" i="17"/>
  <c r="G66" i="17"/>
  <c r="B73" i="17"/>
  <c r="G73" i="17"/>
  <c r="E71" i="17"/>
  <c r="C69" i="17"/>
  <c r="F66" i="17"/>
  <c r="B72" i="17"/>
  <c r="D71" i="17"/>
  <c r="G68" i="17"/>
  <c r="E66" i="17"/>
  <c r="N125" i="80"/>
  <c r="O125" i="80" s="1"/>
  <c r="P125" i="80" s="1"/>
  <c r="B159" i="80"/>
  <c r="N58" i="80"/>
  <c r="O58" i="80" s="1"/>
  <c r="P58" i="80" s="1"/>
  <c r="N38" i="80"/>
  <c r="N43" i="80"/>
  <c r="N53" i="80"/>
  <c r="O53" i="80" s="1"/>
  <c r="P53" i="80" s="1"/>
  <c r="N70" i="80"/>
  <c r="O70" i="80" s="1"/>
  <c r="P70" i="80" s="1"/>
  <c r="N76" i="80"/>
  <c r="N93" i="80"/>
  <c r="N104" i="80"/>
  <c r="O104" i="80" s="1"/>
  <c r="P104" i="80" s="1"/>
  <c r="N109" i="80"/>
  <c r="N126" i="80"/>
  <c r="O126" i="80" s="1"/>
  <c r="P126" i="80" s="1"/>
  <c r="N64" i="80"/>
  <c r="O64" i="80" s="1"/>
  <c r="P64" i="80" s="1"/>
  <c r="N44" i="80"/>
  <c r="O44" i="80" s="1"/>
  <c r="P44" i="80" s="1"/>
  <c r="N77" i="80"/>
  <c r="N94" i="80"/>
  <c r="N110" i="80"/>
  <c r="N127" i="80"/>
  <c r="O127" i="80" s="1"/>
  <c r="P127" i="80" s="1"/>
  <c r="N25" i="80"/>
  <c r="O25" i="80" s="1"/>
  <c r="P25" i="80" s="1"/>
  <c r="N20" i="80"/>
  <c r="O20" i="80" s="1"/>
  <c r="P20" i="80" s="1"/>
  <c r="N54" i="80"/>
  <c r="N66" i="80"/>
  <c r="N45" i="80"/>
  <c r="O45" i="80" s="1"/>
  <c r="P45" i="80" s="1"/>
  <c r="N78" i="80"/>
  <c r="O78" i="80" s="1"/>
  <c r="P78" i="80" s="1"/>
  <c r="N89" i="80"/>
  <c r="O89" i="80" s="1"/>
  <c r="P89" i="80" s="1"/>
  <c r="N95" i="80"/>
  <c r="O95" i="80" s="1"/>
  <c r="P95" i="80" s="1"/>
  <c r="N100" i="80"/>
  <c r="N111" i="80"/>
  <c r="O111" i="80" s="1"/>
  <c r="P111" i="80" s="1"/>
  <c r="N122" i="80"/>
  <c r="N128" i="80"/>
  <c r="N12" i="80"/>
  <c r="N61" i="80"/>
  <c r="N67" i="80"/>
  <c r="O67" i="80" s="1"/>
  <c r="P67" i="80" s="1"/>
  <c r="N84" i="80"/>
  <c r="O84" i="80" s="1"/>
  <c r="P84" i="80" s="1"/>
  <c r="N24" i="80"/>
  <c r="N21" i="80"/>
  <c r="N40" i="80"/>
  <c r="O40" i="80" s="1"/>
  <c r="P40" i="80" s="1"/>
  <c r="N72" i="80"/>
  <c r="B154" i="80"/>
  <c r="B156" i="80"/>
  <c r="B158" i="80"/>
  <c r="N36" i="80"/>
  <c r="N74" i="80"/>
  <c r="N80" i="80"/>
  <c r="N102" i="80"/>
  <c r="N124" i="80"/>
  <c r="N4" i="80"/>
  <c r="O4" i="80" s="1"/>
  <c r="P4" i="80" s="1"/>
  <c r="N9" i="80"/>
  <c r="O9" i="80" s="1"/>
  <c r="P9" i="80" s="1"/>
  <c r="N52" i="80"/>
  <c r="O52" i="80" s="1"/>
  <c r="P52" i="80" s="1"/>
  <c r="N63" i="80"/>
  <c r="N86" i="80"/>
  <c r="N130" i="80"/>
  <c r="O130" i="80" s="1"/>
  <c r="P130" i="80" s="1"/>
  <c r="N55" i="80"/>
  <c r="O55" i="80" s="1"/>
  <c r="P55" i="80" s="1"/>
  <c r="N31" i="80"/>
  <c r="O31" i="80" s="1"/>
  <c r="P31" i="80" s="1"/>
  <c r="O13" i="80"/>
  <c r="P13" i="80" s="1"/>
  <c r="O37" i="80"/>
  <c r="P37" i="80" s="1"/>
  <c r="O24" i="80"/>
  <c r="P24" i="80" s="1"/>
  <c r="O8" i="80"/>
  <c r="P8" i="80" s="1"/>
  <c r="O65" i="80"/>
  <c r="P65" i="80" s="1"/>
  <c r="O6" i="80"/>
  <c r="P6" i="80" s="1"/>
  <c r="O10" i="80"/>
  <c r="P10" i="80" s="1"/>
  <c r="O19" i="80"/>
  <c r="P19" i="80" s="1"/>
  <c r="O68" i="80"/>
  <c r="P68" i="80" s="1"/>
  <c r="O93" i="80"/>
  <c r="P93" i="80" s="1"/>
  <c r="N5" i="80"/>
  <c r="O26" i="80"/>
  <c r="P26" i="80" s="1"/>
  <c r="O36" i="80"/>
  <c r="P36" i="80" s="1"/>
  <c r="O113" i="80"/>
  <c r="P113" i="80" s="1"/>
  <c r="O118" i="80"/>
  <c r="P118" i="80" s="1"/>
  <c r="O60" i="80"/>
  <c r="P60" i="80" s="1"/>
  <c r="O73" i="80"/>
  <c r="P73" i="80" s="1"/>
  <c r="N23" i="80"/>
  <c r="O94" i="80"/>
  <c r="P94" i="80" s="1"/>
  <c r="O108" i="80"/>
  <c r="P108" i="80" s="1"/>
  <c r="O128" i="80"/>
  <c r="P128" i="80" s="1"/>
  <c r="O14" i="80"/>
  <c r="P14" i="80" s="1"/>
  <c r="O80" i="80"/>
  <c r="P80" i="80" s="1"/>
  <c r="O30" i="80"/>
  <c r="P30" i="80" s="1"/>
  <c r="O49" i="80"/>
  <c r="P49" i="80" s="1"/>
  <c r="O100" i="80"/>
  <c r="P100" i="80" s="1"/>
  <c r="O16" i="80"/>
  <c r="P16" i="80" s="1"/>
  <c r="O69" i="80"/>
  <c r="P69" i="80" s="1"/>
  <c r="M154" i="80"/>
  <c r="O41" i="80"/>
  <c r="P41" i="80" s="1"/>
  <c r="O61" i="80"/>
  <c r="P61" i="80" s="1"/>
  <c r="N85" i="80"/>
  <c r="O109" i="80"/>
  <c r="P109" i="80" s="1"/>
  <c r="B153" i="80"/>
  <c r="O34" i="80"/>
  <c r="P34" i="80" s="1"/>
  <c r="O38" i="80"/>
  <c r="P38" i="80" s="1"/>
  <c r="O57" i="80"/>
  <c r="P57" i="80" s="1"/>
  <c r="O86" i="80"/>
  <c r="P86" i="80" s="1"/>
  <c r="O96" i="80"/>
  <c r="P96" i="80" s="1"/>
  <c r="O105" i="80"/>
  <c r="P105" i="80" s="1"/>
  <c r="O110" i="80"/>
  <c r="P110" i="80" s="1"/>
  <c r="O124" i="80"/>
  <c r="P124" i="80" s="1"/>
  <c r="O3" i="80"/>
  <c r="P3" i="80" s="1"/>
  <c r="O21" i="80"/>
  <c r="P21" i="80" s="1"/>
  <c r="N39" i="80"/>
  <c r="B155" i="80"/>
  <c r="O42" i="80"/>
  <c r="P42" i="80" s="1"/>
  <c r="O46" i="80"/>
  <c r="P46" i="80" s="1"/>
  <c r="O62" i="80"/>
  <c r="P62" i="80" s="1"/>
  <c r="O81" i="80"/>
  <c r="P81" i="80" s="1"/>
  <c r="N101" i="80"/>
  <c r="O11" i="80"/>
  <c r="P11" i="80" s="1"/>
  <c r="O18" i="80"/>
  <c r="P18" i="80" s="1"/>
  <c r="O54" i="80"/>
  <c r="P54" i="80" s="1"/>
  <c r="O66" i="80"/>
  <c r="P66" i="80" s="1"/>
  <c r="O76" i="80"/>
  <c r="P76" i="80" s="1"/>
  <c r="O35" i="80"/>
  <c r="P35" i="80" s="1"/>
  <c r="O97" i="80"/>
  <c r="P97" i="80" s="1"/>
  <c r="O102" i="80"/>
  <c r="P102" i="80" s="1"/>
  <c r="O116" i="80"/>
  <c r="P116" i="80" s="1"/>
  <c r="O33" i="80"/>
  <c r="P33" i="80" s="1"/>
  <c r="O74" i="80"/>
  <c r="P74" i="80" s="1"/>
  <c r="O17" i="80"/>
  <c r="P17" i="80" s="1"/>
  <c r="O12" i="80"/>
  <c r="P12" i="80" s="1"/>
  <c r="O15" i="80"/>
  <c r="P15" i="80" s="1"/>
  <c r="O28" i="80"/>
  <c r="P28" i="80" s="1"/>
  <c r="M155" i="80"/>
  <c r="O47" i="80"/>
  <c r="P47" i="80" s="1"/>
  <c r="O50" i="80"/>
  <c r="P50" i="80" s="1"/>
  <c r="O43" i="80"/>
  <c r="P43" i="80" s="1"/>
  <c r="O72" i="80"/>
  <c r="P72" i="80" s="1"/>
  <c r="O77" i="80"/>
  <c r="P77" i="80" s="1"/>
  <c r="O92" i="80"/>
  <c r="P92" i="80" s="1"/>
  <c r="O112" i="80"/>
  <c r="P112" i="80" s="1"/>
  <c r="B161" i="80"/>
  <c r="O121" i="80"/>
  <c r="P121" i="80" s="1"/>
  <c r="N7" i="80"/>
  <c r="O22" i="80"/>
  <c r="P22" i="80" s="1"/>
  <c r="N59" i="80"/>
  <c r="N117" i="80"/>
  <c r="N27" i="80"/>
  <c r="N91" i="80"/>
  <c r="N107" i="80"/>
  <c r="N123" i="80"/>
  <c r="M153" i="80"/>
  <c r="M152" i="80"/>
  <c r="N103" i="80"/>
  <c r="M156" i="80"/>
  <c r="N119" i="80"/>
  <c r="N51" i="80"/>
  <c r="B157" i="80"/>
  <c r="B160" i="80"/>
  <c r="N87" i="80"/>
  <c r="M159" i="80"/>
  <c r="M157" i="80"/>
  <c r="N83" i="80"/>
  <c r="N99" i="80"/>
  <c r="N115" i="80"/>
  <c r="N131" i="80"/>
  <c r="O29" i="80"/>
  <c r="P29" i="80" s="1"/>
  <c r="O32" i="80"/>
  <c r="P32" i="80" s="1"/>
  <c r="O48" i="80"/>
  <c r="P48" i="80" s="1"/>
  <c r="O56" i="80"/>
  <c r="P56" i="80" s="1"/>
  <c r="O63" i="80"/>
  <c r="P63" i="80" s="1"/>
  <c r="O90" i="80"/>
  <c r="P90" i="80" s="1"/>
  <c r="O106" i="80"/>
  <c r="P106" i="80" s="1"/>
  <c r="O122" i="80"/>
  <c r="P122" i="80" s="1"/>
  <c r="M160" i="80"/>
  <c r="N71" i="80"/>
  <c r="O88" i="80"/>
  <c r="P88" i="80" s="1"/>
  <c r="O120" i="80"/>
  <c r="P120" i="80" s="1"/>
  <c r="M161" i="80"/>
  <c r="N75" i="80"/>
  <c r="M158" i="80"/>
  <c r="C64" i="17" l="1"/>
  <c r="C75" i="17" s="1"/>
  <c r="E75" i="17"/>
  <c r="E76" i="17" s="1"/>
  <c r="E77" i="17" s="1"/>
  <c r="F75" i="17"/>
  <c r="F76" i="17" s="1"/>
  <c r="F77" i="17" s="1"/>
  <c r="E79" i="17"/>
  <c r="E21" i="17" s="1"/>
  <c r="D75" i="17"/>
  <c r="D76" i="17" s="1"/>
  <c r="D77" i="17" s="1"/>
  <c r="G75" i="17"/>
  <c r="G76" i="17" s="1"/>
  <c r="G77" i="17" s="1"/>
  <c r="B75" i="17"/>
  <c r="B76" i="17" s="1"/>
  <c r="B77" i="17" s="1"/>
  <c r="O87" i="80"/>
  <c r="P87" i="80" s="1"/>
  <c r="O27" i="80"/>
  <c r="P27" i="80" s="1"/>
  <c r="O7" i="80"/>
  <c r="P7" i="80" s="1"/>
  <c r="O101" i="80"/>
  <c r="P101" i="80" s="1"/>
  <c r="O39" i="80"/>
  <c r="P39" i="80" s="1"/>
  <c r="O117" i="80"/>
  <c r="P117" i="80" s="1"/>
  <c r="O59" i="80"/>
  <c r="P59" i="80" s="1"/>
  <c r="O51" i="80"/>
  <c r="P51" i="80" s="1"/>
  <c r="O85" i="80"/>
  <c r="P85" i="80" s="1"/>
  <c r="O119" i="80"/>
  <c r="P119" i="80" s="1"/>
  <c r="O115" i="80"/>
  <c r="P115" i="80" s="1"/>
  <c r="O99" i="80"/>
  <c r="P99" i="80" s="1"/>
  <c r="O107" i="80"/>
  <c r="P107" i="80" s="1"/>
  <c r="O5" i="80"/>
  <c r="P5" i="80" s="1"/>
  <c r="O71" i="80"/>
  <c r="P71" i="80" s="1"/>
  <c r="O103" i="80"/>
  <c r="P103" i="80" s="1"/>
  <c r="O23" i="80"/>
  <c r="P23" i="80" s="1"/>
  <c r="O75" i="80"/>
  <c r="P75" i="80" s="1"/>
  <c r="O131" i="80"/>
  <c r="P131" i="80" s="1"/>
  <c r="O123" i="80"/>
  <c r="P123" i="80" s="1"/>
  <c r="O83" i="80"/>
  <c r="P83" i="80" s="1"/>
  <c r="O91" i="80"/>
  <c r="P91" i="80" s="1"/>
  <c r="C76" i="17" l="1"/>
  <c r="C77" i="17" s="1"/>
  <c r="C79" i="17"/>
  <c r="C21" i="17" s="1"/>
  <c r="G79" i="17"/>
  <c r="G21" i="17" s="1"/>
  <c r="G22" i="17" s="1"/>
  <c r="D79" i="17"/>
  <c r="D21" i="17" s="1"/>
  <c r="F79" i="17"/>
  <c r="F21" i="17" s="1"/>
  <c r="B79" i="17"/>
  <c r="B21" i="17" s="1"/>
  <c r="P132" i="80"/>
  <c r="D132" i="72"/>
  <c r="D133" i="72"/>
  <c r="D134" i="72"/>
  <c r="D135" i="72"/>
  <c r="D136" i="72"/>
  <c r="D137" i="72"/>
  <c r="D138" i="72"/>
  <c r="D139" i="72"/>
  <c r="D140" i="72"/>
  <c r="D141" i="72"/>
  <c r="D142" i="72"/>
  <c r="D143" i="72"/>
  <c r="D144" i="72"/>
  <c r="D145" i="72"/>
  <c r="D146" i="72"/>
  <c r="C145" i="72"/>
  <c r="C146" i="72"/>
  <c r="C144" i="72"/>
  <c r="C143" i="72"/>
  <c r="C136" i="72"/>
  <c r="C137" i="72"/>
  <c r="C138" i="72"/>
  <c r="C139" i="72"/>
  <c r="C140" i="72"/>
  <c r="C141" i="72"/>
  <c r="C142" i="72"/>
  <c r="C135" i="72"/>
  <c r="C134" i="72"/>
  <c r="C133" i="72"/>
  <c r="C132" i="72"/>
  <c r="G123" i="72" l="1"/>
  <c r="H123" i="72" s="1"/>
  <c r="G124" i="72"/>
  <c r="G125" i="72"/>
  <c r="G126" i="72"/>
  <c r="G127" i="72"/>
  <c r="G128" i="72"/>
  <c r="G129" i="72"/>
  <c r="G130" i="72"/>
  <c r="G131" i="72"/>
  <c r="B124" i="72" l="1"/>
  <c r="B125" i="72"/>
  <c r="B126" i="72"/>
  <c r="B127" i="72"/>
  <c r="B128" i="72"/>
  <c r="B129" i="72"/>
  <c r="B130" i="72"/>
  <c r="B131" i="72"/>
  <c r="B123" i="72"/>
  <c r="I123" i="72" s="1"/>
  <c r="L123" i="72" l="1"/>
  <c r="J123" i="72"/>
  <c r="K123" i="72" s="1"/>
  <c r="H15" i="73"/>
  <c r="G15" i="73"/>
  <c r="F15" i="73"/>
  <c r="E15" i="73"/>
  <c r="D15" i="73"/>
  <c r="C15" i="73"/>
  <c r="B15" i="73"/>
  <c r="D7" i="18" l="1"/>
  <c r="H6" i="73"/>
  <c r="G3" i="72" l="1"/>
  <c r="H3" i="72" s="1"/>
  <c r="B5" i="73" l="1"/>
  <c r="H12" i="9"/>
  <c r="B14" i="73" l="1"/>
  <c r="H35" i="9" l="1"/>
  <c r="I35" i="9" s="1"/>
  <c r="M41" i="11" l="1"/>
  <c r="L41" i="11"/>
  <c r="K15" i="11" l="1"/>
  <c r="N22" i="17" l="1"/>
  <c r="N21" i="17"/>
  <c r="P11" i="17" s="1"/>
  <c r="P12" i="17" l="1"/>
  <c r="P13" i="17" l="1"/>
  <c r="P14" i="17" l="1"/>
  <c r="P15" i="17" l="1"/>
  <c r="P16" i="17" l="1"/>
  <c r="P17" i="17" l="1"/>
  <c r="P18" i="17" l="1"/>
  <c r="H127" i="72" l="1"/>
  <c r="I127" i="72" s="1"/>
  <c r="H125" i="72"/>
  <c r="I125" i="72" s="1"/>
  <c r="H124" i="72"/>
  <c r="I124" i="72" s="1"/>
  <c r="H126" i="72"/>
  <c r="I126" i="72" s="1"/>
  <c r="H129" i="72"/>
  <c r="I129" i="72" s="1"/>
  <c r="H128" i="72"/>
  <c r="I128" i="72" s="1"/>
  <c r="P19" i="17"/>
  <c r="H130" i="72"/>
  <c r="I130" i="72" s="1"/>
  <c r="M129" i="72" l="1"/>
  <c r="N129" i="72" s="1"/>
  <c r="J128" i="72"/>
  <c r="K128" i="72" s="1"/>
  <c r="L128" i="72"/>
  <c r="M128" i="72"/>
  <c r="N128" i="72" s="1"/>
  <c r="L129" i="72"/>
  <c r="J129" i="72"/>
  <c r="K129" i="72" s="1"/>
  <c r="J130" i="72"/>
  <c r="K130" i="72" s="1"/>
  <c r="M130" i="72"/>
  <c r="N130" i="72" s="1"/>
  <c r="L130" i="72"/>
  <c r="L126" i="72"/>
  <c r="J126" i="72"/>
  <c r="K126" i="72" s="1"/>
  <c r="M126" i="72"/>
  <c r="N126" i="72" s="1"/>
  <c r="L124" i="72"/>
  <c r="J124" i="72"/>
  <c r="K124" i="72" s="1"/>
  <c r="M124" i="72"/>
  <c r="N124" i="72" s="1"/>
  <c r="L125" i="72"/>
  <c r="J125" i="72"/>
  <c r="K125" i="72" s="1"/>
  <c r="M125" i="72"/>
  <c r="N125" i="72" s="1"/>
  <c r="L127" i="72"/>
  <c r="J127" i="72"/>
  <c r="K127" i="72" s="1"/>
  <c r="M127" i="72"/>
  <c r="N127" i="72" s="1"/>
  <c r="P20" i="17"/>
  <c r="G132" i="80" s="1"/>
  <c r="M132" i="80" s="1"/>
  <c r="H131" i="72"/>
  <c r="I131" i="72" s="1"/>
  <c r="M131" i="72" s="1"/>
  <c r="N131" i="72" s="1"/>
  <c r="L131" i="72" l="1"/>
  <c r="J131" i="72"/>
  <c r="K131" i="72" s="1"/>
  <c r="P21" i="17"/>
  <c r="G133" i="80" s="1"/>
  <c r="M133" i="80" s="1"/>
  <c r="G132" i="72"/>
  <c r="H132" i="72" s="1"/>
  <c r="P22" i="17" l="1"/>
  <c r="G134" i="80" s="1"/>
  <c r="M134" i="80" s="1"/>
  <c r="G133" i="72"/>
  <c r="H133" i="72" s="1"/>
  <c r="G4" i="72"/>
  <c r="H4" i="72" s="1"/>
  <c r="G5" i="72"/>
  <c r="H5" i="72" s="1"/>
  <c r="G6" i="72"/>
  <c r="H6" i="72" s="1"/>
  <c r="G7" i="72"/>
  <c r="H7" i="72" s="1"/>
  <c r="G8" i="72"/>
  <c r="H8" i="72" s="1"/>
  <c r="G9" i="72"/>
  <c r="H9" i="72" s="1"/>
  <c r="G10" i="72"/>
  <c r="H10" i="72" s="1"/>
  <c r="G11" i="72"/>
  <c r="H11" i="72" s="1"/>
  <c r="G12" i="72"/>
  <c r="H12" i="72" s="1"/>
  <c r="G13" i="72"/>
  <c r="H13" i="72" s="1"/>
  <c r="G14" i="72"/>
  <c r="H14" i="72" s="1"/>
  <c r="G15" i="72"/>
  <c r="H15" i="72" s="1"/>
  <c r="G16" i="72"/>
  <c r="H16" i="72" s="1"/>
  <c r="G17" i="72"/>
  <c r="H17" i="72" s="1"/>
  <c r="G18" i="72"/>
  <c r="H18" i="72" s="1"/>
  <c r="G19" i="72"/>
  <c r="H19" i="72" s="1"/>
  <c r="G20" i="72"/>
  <c r="H20" i="72" s="1"/>
  <c r="G21" i="72"/>
  <c r="H21" i="72" s="1"/>
  <c r="G22" i="72"/>
  <c r="H22" i="72" s="1"/>
  <c r="G23" i="72"/>
  <c r="H23" i="72" s="1"/>
  <c r="G24" i="72"/>
  <c r="H24" i="72" s="1"/>
  <c r="G25" i="72"/>
  <c r="H25" i="72" s="1"/>
  <c r="G26" i="72"/>
  <c r="H26" i="72" s="1"/>
  <c r="G27" i="72"/>
  <c r="H27" i="72" s="1"/>
  <c r="G28" i="72"/>
  <c r="H28" i="72" s="1"/>
  <c r="G29" i="72"/>
  <c r="H29" i="72" s="1"/>
  <c r="G30" i="72"/>
  <c r="H30" i="72" s="1"/>
  <c r="G31" i="72"/>
  <c r="H31" i="72" s="1"/>
  <c r="G32" i="72"/>
  <c r="H32" i="72" s="1"/>
  <c r="G33" i="72"/>
  <c r="H33" i="72" s="1"/>
  <c r="G34" i="72"/>
  <c r="H34" i="72" s="1"/>
  <c r="G35" i="72"/>
  <c r="H35" i="72" s="1"/>
  <c r="G36" i="72"/>
  <c r="H36" i="72" s="1"/>
  <c r="G37" i="72"/>
  <c r="H37" i="72" s="1"/>
  <c r="G38" i="72"/>
  <c r="H38" i="72" s="1"/>
  <c r="G39" i="72"/>
  <c r="H39" i="72" s="1"/>
  <c r="G40" i="72"/>
  <c r="H40" i="72" s="1"/>
  <c r="G41" i="72"/>
  <c r="H41" i="72" s="1"/>
  <c r="G42" i="72"/>
  <c r="H42" i="72" s="1"/>
  <c r="G43" i="72"/>
  <c r="H43" i="72" s="1"/>
  <c r="G44" i="72"/>
  <c r="H44" i="72" s="1"/>
  <c r="G45" i="72"/>
  <c r="H45" i="72" s="1"/>
  <c r="G46" i="72"/>
  <c r="H46" i="72" s="1"/>
  <c r="G47" i="72"/>
  <c r="H47" i="72" s="1"/>
  <c r="G48" i="72"/>
  <c r="H48" i="72" s="1"/>
  <c r="G49" i="72"/>
  <c r="H49" i="72" s="1"/>
  <c r="G50" i="72"/>
  <c r="H50" i="72" s="1"/>
  <c r="G51" i="72"/>
  <c r="H51" i="72" s="1"/>
  <c r="G52" i="72"/>
  <c r="H52" i="72" s="1"/>
  <c r="G53" i="72"/>
  <c r="H53" i="72" s="1"/>
  <c r="G54" i="72"/>
  <c r="H54" i="72" s="1"/>
  <c r="G55" i="72"/>
  <c r="H55" i="72" s="1"/>
  <c r="G56" i="72"/>
  <c r="H56" i="72" s="1"/>
  <c r="G57" i="72"/>
  <c r="H57" i="72" s="1"/>
  <c r="G58" i="72"/>
  <c r="H58" i="72" s="1"/>
  <c r="G59" i="72"/>
  <c r="H59" i="72" s="1"/>
  <c r="G60" i="72"/>
  <c r="H60" i="72" s="1"/>
  <c r="G61" i="72"/>
  <c r="H61" i="72" s="1"/>
  <c r="G62" i="72"/>
  <c r="H62" i="72" s="1"/>
  <c r="G63" i="72"/>
  <c r="H63" i="72" s="1"/>
  <c r="G64" i="72"/>
  <c r="H64" i="72" s="1"/>
  <c r="G65" i="72"/>
  <c r="H65" i="72" s="1"/>
  <c r="G66" i="72"/>
  <c r="H66" i="72" s="1"/>
  <c r="G67" i="72"/>
  <c r="H67" i="72" s="1"/>
  <c r="G68" i="72"/>
  <c r="H68" i="72" s="1"/>
  <c r="G69" i="72"/>
  <c r="H69" i="72" s="1"/>
  <c r="G70" i="72"/>
  <c r="H70" i="72" s="1"/>
  <c r="G71" i="72"/>
  <c r="H71" i="72" s="1"/>
  <c r="G72" i="72"/>
  <c r="H72" i="72" s="1"/>
  <c r="G73" i="72"/>
  <c r="H73" i="72" s="1"/>
  <c r="G74" i="72"/>
  <c r="H74" i="72" s="1"/>
  <c r="G75" i="72"/>
  <c r="H75" i="72" s="1"/>
  <c r="G76" i="72"/>
  <c r="H76" i="72" s="1"/>
  <c r="G77" i="72"/>
  <c r="H77" i="72" s="1"/>
  <c r="G78" i="72"/>
  <c r="H78" i="72" s="1"/>
  <c r="G79" i="72"/>
  <c r="H79" i="72" s="1"/>
  <c r="G80" i="72"/>
  <c r="H80" i="72" s="1"/>
  <c r="G81" i="72"/>
  <c r="H81" i="72" s="1"/>
  <c r="G82" i="72"/>
  <c r="H82" i="72" s="1"/>
  <c r="G83" i="72"/>
  <c r="H83" i="72" s="1"/>
  <c r="G84" i="72"/>
  <c r="H84" i="72" s="1"/>
  <c r="G85" i="72"/>
  <c r="H85" i="72" s="1"/>
  <c r="G86" i="72"/>
  <c r="H86" i="72" s="1"/>
  <c r="G87" i="72"/>
  <c r="H87" i="72" s="1"/>
  <c r="G88" i="72"/>
  <c r="H88" i="72" s="1"/>
  <c r="G89" i="72"/>
  <c r="H89" i="72" s="1"/>
  <c r="G90" i="72"/>
  <c r="H90" i="72" s="1"/>
  <c r="G91" i="72"/>
  <c r="H91" i="72" s="1"/>
  <c r="G92" i="72"/>
  <c r="H92" i="72" s="1"/>
  <c r="G93" i="72"/>
  <c r="H93" i="72" s="1"/>
  <c r="G94" i="72"/>
  <c r="H94" i="72" s="1"/>
  <c r="G95" i="72"/>
  <c r="H95" i="72" s="1"/>
  <c r="G96" i="72"/>
  <c r="H96" i="72" s="1"/>
  <c r="G97" i="72"/>
  <c r="H97" i="72" s="1"/>
  <c r="G98" i="72"/>
  <c r="H98" i="72" s="1"/>
  <c r="G99" i="72"/>
  <c r="H99" i="72" s="1"/>
  <c r="G100" i="72"/>
  <c r="H100" i="72" s="1"/>
  <c r="G101" i="72"/>
  <c r="H101" i="72" s="1"/>
  <c r="G102" i="72"/>
  <c r="H102" i="72" s="1"/>
  <c r="G103" i="72"/>
  <c r="H103" i="72" s="1"/>
  <c r="G104" i="72"/>
  <c r="H104" i="72" s="1"/>
  <c r="G105" i="72"/>
  <c r="H105" i="72" s="1"/>
  <c r="G106" i="72"/>
  <c r="H106" i="72" s="1"/>
  <c r="G107" i="72"/>
  <c r="H107" i="72" s="1"/>
  <c r="G108" i="72"/>
  <c r="H108" i="72" s="1"/>
  <c r="G109" i="72"/>
  <c r="H109" i="72" s="1"/>
  <c r="G110" i="72"/>
  <c r="H110" i="72" s="1"/>
  <c r="G111" i="72"/>
  <c r="H111" i="72" s="1"/>
  <c r="G112" i="72"/>
  <c r="H112" i="72" s="1"/>
  <c r="G113" i="72"/>
  <c r="H113" i="72" s="1"/>
  <c r="G114" i="72"/>
  <c r="H114" i="72" s="1"/>
  <c r="G115" i="72"/>
  <c r="H115" i="72" s="1"/>
  <c r="G116" i="72"/>
  <c r="H116" i="72" s="1"/>
  <c r="G117" i="72"/>
  <c r="H117" i="72" s="1"/>
  <c r="G118" i="72"/>
  <c r="H118" i="72" s="1"/>
  <c r="G119" i="72"/>
  <c r="H119" i="72" s="1"/>
  <c r="G120" i="72"/>
  <c r="H120" i="72" s="1"/>
  <c r="G121" i="72"/>
  <c r="H121" i="72" s="1"/>
  <c r="G122" i="72"/>
  <c r="H122" i="72" s="1"/>
  <c r="B162" i="80" l="1"/>
  <c r="B165" i="80" s="1"/>
  <c r="M162" i="80"/>
  <c r="H158" i="72"/>
  <c r="N158" i="80" s="1"/>
  <c r="O158" i="80" s="1"/>
  <c r="G134" i="72"/>
  <c r="H134" i="72" s="1"/>
  <c r="H162" i="72" s="1"/>
  <c r="N162" i="80" s="1"/>
  <c r="Q11" i="17"/>
  <c r="G135" i="80" s="1"/>
  <c r="M135" i="80" s="1"/>
  <c r="P23" i="17"/>
  <c r="D5" i="73"/>
  <c r="C5" i="73"/>
  <c r="M165" i="80" l="1"/>
  <c r="N165" i="80" s="1"/>
  <c r="O162" i="80"/>
  <c r="B162" i="72"/>
  <c r="Q12" i="17"/>
  <c r="G136" i="80" s="1"/>
  <c r="M136" i="80" s="1"/>
  <c r="G135" i="72"/>
  <c r="H135" i="72" l="1"/>
  <c r="Q13" i="17"/>
  <c r="G137" i="80" s="1"/>
  <c r="M137" i="80" s="1"/>
  <c r="G136" i="72"/>
  <c r="L4" i="9"/>
  <c r="L5" i="9"/>
  <c r="L6" i="9"/>
  <c r="L7" i="9"/>
  <c r="L8" i="9"/>
  <c r="L9" i="9"/>
  <c r="L10" i="9"/>
  <c r="L11" i="9"/>
  <c r="L12" i="9"/>
  <c r="K33" i="11" s="1"/>
  <c r="L3" i="9"/>
  <c r="K4" i="9"/>
  <c r="K5" i="9"/>
  <c r="K6" i="9"/>
  <c r="K7" i="9"/>
  <c r="K8" i="9"/>
  <c r="K9" i="9"/>
  <c r="K10" i="9"/>
  <c r="K11" i="9"/>
  <c r="K12" i="9"/>
  <c r="K3" i="9"/>
  <c r="H3" i="9"/>
  <c r="H11" i="9"/>
  <c r="I12" i="9"/>
  <c r="J12" i="9"/>
  <c r="K23" i="11" s="1"/>
  <c r="M12" i="9"/>
  <c r="N12" i="9"/>
  <c r="K42" i="11" s="1"/>
  <c r="J4" i="9"/>
  <c r="J5" i="9"/>
  <c r="J6" i="9"/>
  <c r="J7" i="9"/>
  <c r="J8" i="9"/>
  <c r="J9" i="9"/>
  <c r="J10" i="9"/>
  <c r="J11" i="9"/>
  <c r="J3" i="9"/>
  <c r="K28" i="11" l="1"/>
  <c r="K38" i="11"/>
  <c r="H136" i="72"/>
  <c r="K19" i="11"/>
  <c r="Q14" i="17"/>
  <c r="G138" i="80" s="1"/>
  <c r="M138" i="80" s="1"/>
  <c r="G137" i="72"/>
  <c r="G12" i="9"/>
  <c r="H137" i="72" l="1"/>
  <c r="K10" i="11"/>
  <c r="K51" i="11"/>
  <c r="Q15" i="17"/>
  <c r="G139" i="80" s="1"/>
  <c r="M139" i="80" s="1"/>
  <c r="G138" i="72"/>
  <c r="B111" i="72"/>
  <c r="B112" i="72"/>
  <c r="B113" i="72"/>
  <c r="B114" i="72"/>
  <c r="B115" i="72"/>
  <c r="B116" i="72"/>
  <c r="B117" i="72"/>
  <c r="B118" i="72"/>
  <c r="B119" i="72"/>
  <c r="B120" i="72"/>
  <c r="B121" i="72"/>
  <c r="B122" i="72"/>
  <c r="G8" i="73"/>
  <c r="D14" i="73"/>
  <c r="D20" i="17" s="1"/>
  <c r="D13" i="73"/>
  <c r="D12" i="73"/>
  <c r="D11" i="73"/>
  <c r="D10" i="73"/>
  <c r="D9" i="73"/>
  <c r="D8" i="73"/>
  <c r="D7" i="73"/>
  <c r="D6" i="73"/>
  <c r="C14" i="73"/>
  <c r="C20" i="17" s="1"/>
  <c r="H14" i="73"/>
  <c r="H20" i="17" s="1"/>
  <c r="K41" i="11" s="1"/>
  <c r="H13" i="73"/>
  <c r="H12" i="73"/>
  <c r="H11" i="73"/>
  <c r="H10" i="73"/>
  <c r="H9" i="73"/>
  <c r="H8" i="73"/>
  <c r="H7" i="73"/>
  <c r="H5" i="73"/>
  <c r="G14" i="73"/>
  <c r="G20" i="17" s="1"/>
  <c r="G13" i="73"/>
  <c r="G12" i="73"/>
  <c r="G11" i="73"/>
  <c r="G10" i="73"/>
  <c r="G9" i="73"/>
  <c r="G7" i="73"/>
  <c r="G6" i="73"/>
  <c r="G5" i="73"/>
  <c r="F14" i="73"/>
  <c r="F20" i="17" s="1"/>
  <c r="F13" i="73"/>
  <c r="F12" i="73"/>
  <c r="F11" i="73"/>
  <c r="F10" i="73"/>
  <c r="F9" i="73"/>
  <c r="F8" i="73"/>
  <c r="F7" i="73"/>
  <c r="F6" i="73"/>
  <c r="F5" i="73"/>
  <c r="E14" i="73"/>
  <c r="E20" i="17" s="1"/>
  <c r="E13" i="73"/>
  <c r="E12" i="73"/>
  <c r="E11" i="73"/>
  <c r="E10" i="73"/>
  <c r="E9" i="73"/>
  <c r="E8" i="73"/>
  <c r="E7" i="73"/>
  <c r="E6" i="73"/>
  <c r="E5" i="73"/>
  <c r="C11" i="73"/>
  <c r="C13" i="73"/>
  <c r="C12" i="73"/>
  <c r="C10" i="73"/>
  <c r="C9" i="73"/>
  <c r="C8" i="73"/>
  <c r="C7" i="73"/>
  <c r="C6" i="73"/>
  <c r="B20" i="17"/>
  <c r="B13" i="73"/>
  <c r="B12" i="73"/>
  <c r="B11" i="73"/>
  <c r="B10" i="73"/>
  <c r="B9" i="73"/>
  <c r="B8" i="73"/>
  <c r="B7" i="73"/>
  <c r="B6" i="73"/>
  <c r="K18" i="11" l="1"/>
  <c r="I22" i="9"/>
  <c r="K32" i="11"/>
  <c r="K37" i="11"/>
  <c r="M22" i="9"/>
  <c r="K22" i="9"/>
  <c r="K24" i="9" s="1"/>
  <c r="I120" i="72"/>
  <c r="I122" i="72"/>
  <c r="M123" i="72" s="1"/>
  <c r="N123" i="72" s="1"/>
  <c r="I119" i="72"/>
  <c r="I121" i="72"/>
  <c r="I118" i="72"/>
  <c r="I117" i="72"/>
  <c r="I116" i="72"/>
  <c r="I112" i="72"/>
  <c r="I115" i="72"/>
  <c r="I114" i="72"/>
  <c r="I113" i="72"/>
  <c r="I111" i="72"/>
  <c r="H22" i="9"/>
  <c r="H23" i="9" s="1"/>
  <c r="H138" i="72"/>
  <c r="K22" i="11"/>
  <c r="J22" i="9"/>
  <c r="Q16" i="17"/>
  <c r="G140" i="80" s="1"/>
  <c r="M140" i="80" s="1"/>
  <c r="G139" i="72"/>
  <c r="K14" i="11"/>
  <c r="K27" i="11"/>
  <c r="L22" i="9"/>
  <c r="B161" i="72"/>
  <c r="B12" i="9" s="1"/>
  <c r="F12" i="9" s="1"/>
  <c r="A28" i="9"/>
  <c r="A32" i="9" s="1"/>
  <c r="L111" i="72" l="1"/>
  <c r="J111" i="72"/>
  <c r="K111" i="72" s="1"/>
  <c r="J113" i="72"/>
  <c r="K113" i="72" s="1"/>
  <c r="M113" i="72"/>
  <c r="N113" i="72" s="1"/>
  <c r="L113" i="72"/>
  <c r="L119" i="72"/>
  <c r="M119" i="72"/>
  <c r="N119" i="72" s="1"/>
  <c r="J119" i="72"/>
  <c r="K119" i="72" s="1"/>
  <c r="J117" i="72"/>
  <c r="K117" i="72" s="1"/>
  <c r="M117" i="72"/>
  <c r="N117" i="72" s="1"/>
  <c r="L117" i="72"/>
  <c r="J118" i="72"/>
  <c r="K118" i="72" s="1"/>
  <c r="L118" i="72"/>
  <c r="M118" i="72"/>
  <c r="N118" i="72" s="1"/>
  <c r="J112" i="72"/>
  <c r="K112" i="72" s="1"/>
  <c r="L112" i="72"/>
  <c r="M112" i="72"/>
  <c r="N112" i="72" s="1"/>
  <c r="L121" i="72"/>
  <c r="M121" i="72"/>
  <c r="N121" i="72" s="1"/>
  <c r="J121" i="72"/>
  <c r="K121" i="72" s="1"/>
  <c r="M122" i="72"/>
  <c r="N122" i="72" s="1"/>
  <c r="J122" i="72"/>
  <c r="K122" i="72" s="1"/>
  <c r="L122" i="72"/>
  <c r="M114" i="72"/>
  <c r="N114" i="72" s="1"/>
  <c r="J114" i="72"/>
  <c r="K114" i="72" s="1"/>
  <c r="L114" i="72"/>
  <c r="J115" i="72"/>
  <c r="K115" i="72" s="1"/>
  <c r="L115" i="72"/>
  <c r="M115" i="72"/>
  <c r="N115" i="72" s="1"/>
  <c r="L116" i="72"/>
  <c r="M116" i="72"/>
  <c r="N116" i="72" s="1"/>
  <c r="J116" i="72"/>
  <c r="K116" i="72" s="1"/>
  <c r="L120" i="72"/>
  <c r="M120" i="72"/>
  <c r="N120" i="72" s="1"/>
  <c r="J120" i="72"/>
  <c r="K120" i="72" s="1"/>
  <c r="H139" i="72"/>
  <c r="Q17" i="17"/>
  <c r="G141" i="80" s="1"/>
  <c r="M141" i="80" s="1"/>
  <c r="G140" i="72"/>
  <c r="B12" i="17"/>
  <c r="C12" i="17"/>
  <c r="D12" i="17"/>
  <c r="E12" i="17"/>
  <c r="F12" i="17"/>
  <c r="G12" i="17"/>
  <c r="H12" i="17"/>
  <c r="C41" i="11" s="1"/>
  <c r="B13" i="17"/>
  <c r="C13" i="17"/>
  <c r="D13" i="17"/>
  <c r="E13" i="17"/>
  <c r="F13" i="17"/>
  <c r="G13" i="17"/>
  <c r="H13" i="17"/>
  <c r="D41" i="11" s="1"/>
  <c r="B14" i="17"/>
  <c r="C14" i="17"/>
  <c r="D14" i="17"/>
  <c r="E14" i="17"/>
  <c r="F14" i="17"/>
  <c r="G14" i="17"/>
  <c r="H14" i="17"/>
  <c r="E41" i="11" s="1"/>
  <c r="B15" i="17"/>
  <c r="C15" i="17"/>
  <c r="D15" i="17"/>
  <c r="E15" i="17"/>
  <c r="F15" i="17"/>
  <c r="G15" i="17"/>
  <c r="H15" i="17"/>
  <c r="F41" i="11" s="1"/>
  <c r="B16" i="17"/>
  <c r="C16" i="17"/>
  <c r="D16" i="17"/>
  <c r="E16" i="17"/>
  <c r="F16" i="17"/>
  <c r="G16" i="17"/>
  <c r="H16" i="17"/>
  <c r="G41" i="11" s="1"/>
  <c r="B17" i="17"/>
  <c r="C17" i="17"/>
  <c r="D17" i="17"/>
  <c r="E17" i="17"/>
  <c r="F17" i="17"/>
  <c r="G17" i="17"/>
  <c r="H17" i="17"/>
  <c r="H41" i="11" s="1"/>
  <c r="B18" i="17"/>
  <c r="C18" i="17"/>
  <c r="D18" i="17"/>
  <c r="E18" i="17"/>
  <c r="F18" i="17"/>
  <c r="G18" i="17"/>
  <c r="H18" i="17"/>
  <c r="I41" i="11" s="1"/>
  <c r="B19" i="17"/>
  <c r="C19" i="17"/>
  <c r="D19" i="17"/>
  <c r="E19" i="17"/>
  <c r="F19" i="17"/>
  <c r="G19" i="17"/>
  <c r="H19" i="17"/>
  <c r="J41" i="11" s="1"/>
  <c r="C11" i="17"/>
  <c r="D11" i="17"/>
  <c r="E11" i="17"/>
  <c r="F11" i="17"/>
  <c r="G11" i="17"/>
  <c r="H11" i="17"/>
  <c r="B11" i="17"/>
  <c r="C2" i="17"/>
  <c r="D2" i="17"/>
  <c r="E2" i="17"/>
  <c r="F2" i="17"/>
  <c r="G2" i="17"/>
  <c r="H2" i="17"/>
  <c r="B2" i="17"/>
  <c r="I2" i="9"/>
  <c r="J2" i="9"/>
  <c r="K2" i="9"/>
  <c r="L2" i="9"/>
  <c r="M2" i="9"/>
  <c r="N2" i="9"/>
  <c r="H2" i="9"/>
  <c r="I12" i="17" l="1"/>
  <c r="G26" i="17"/>
  <c r="H140" i="72"/>
  <c r="B31" i="17"/>
  <c r="E32" i="17"/>
  <c r="G30" i="17"/>
  <c r="B29" i="17"/>
  <c r="D27" i="17"/>
  <c r="G141" i="72"/>
  <c r="Q18" i="17"/>
  <c r="G142" i="80" s="1"/>
  <c r="M142" i="80" s="1"/>
  <c r="G32" i="17"/>
  <c r="F27" i="17"/>
  <c r="F32" i="17"/>
  <c r="C29" i="17"/>
  <c r="D32" i="17"/>
  <c r="C27" i="17"/>
  <c r="F30" i="17"/>
  <c r="C32" i="17"/>
  <c r="E30" i="17"/>
  <c r="G28" i="17"/>
  <c r="B27" i="17"/>
  <c r="D29" i="17"/>
  <c r="E27" i="17"/>
  <c r="B32" i="17"/>
  <c r="F28" i="17"/>
  <c r="F26" i="17"/>
  <c r="B30" i="17"/>
  <c r="D33" i="17"/>
  <c r="D34" i="17"/>
  <c r="C28" i="17"/>
  <c r="E26" i="17"/>
  <c r="E28" i="17"/>
  <c r="E33" i="17"/>
  <c r="E34" i="17"/>
  <c r="D28" i="17"/>
  <c r="F31" i="17"/>
  <c r="E31" i="17"/>
  <c r="G29" i="17"/>
  <c r="B28" i="17"/>
  <c r="D26" i="17"/>
  <c r="G33" i="17"/>
  <c r="G34" i="17"/>
  <c r="F33" i="17"/>
  <c r="F34" i="17"/>
  <c r="C30" i="17"/>
  <c r="G31" i="17"/>
  <c r="B33" i="17"/>
  <c r="B34" i="17"/>
  <c r="D31" i="17"/>
  <c r="F29" i="17"/>
  <c r="C26" i="17"/>
  <c r="D30" i="17"/>
  <c r="K11" i="17"/>
  <c r="C33" i="17"/>
  <c r="C34" i="17"/>
  <c r="C31" i="17"/>
  <c r="E29" i="17"/>
  <c r="G27" i="17"/>
  <c r="B26" i="17"/>
  <c r="E1" i="18"/>
  <c r="A40" i="11"/>
  <c r="G41" i="17" l="1"/>
  <c r="B41" i="17"/>
  <c r="H141" i="72"/>
  <c r="D41" i="17"/>
  <c r="Q19" i="17"/>
  <c r="G143" i="80" s="1"/>
  <c r="M143" i="80" s="1"/>
  <c r="G142" i="72"/>
  <c r="E41" i="17"/>
  <c r="F41" i="17"/>
  <c r="C41" i="17"/>
  <c r="B39" i="17" l="1"/>
  <c r="D39" i="17"/>
  <c r="D22" i="17" s="1"/>
  <c r="H142" i="72"/>
  <c r="Q20" i="17"/>
  <c r="G144" i="80" s="1"/>
  <c r="M144" i="80" s="1"/>
  <c r="G143" i="72"/>
  <c r="B22" i="17" l="1"/>
  <c r="H28" i="9"/>
  <c r="H143" i="72"/>
  <c r="G144" i="72"/>
  <c r="Q21" i="17"/>
  <c r="G145" i="80" s="1"/>
  <c r="M145" i="80" s="1"/>
  <c r="H144" i="72" l="1"/>
  <c r="G145" i="72"/>
  <c r="Q22" i="17"/>
  <c r="G146" i="80" s="1"/>
  <c r="M146" i="80" s="1"/>
  <c r="M150" i="80" l="1"/>
  <c r="M163" i="80"/>
  <c r="H145" i="72"/>
  <c r="G146" i="72"/>
  <c r="Q23" i="17"/>
  <c r="M167" i="80" l="1"/>
  <c r="H146" i="72"/>
  <c r="H150" i="72" s="1"/>
  <c r="A13" i="18" l="1"/>
  <c r="A12" i="18"/>
  <c r="A11" i="18"/>
  <c r="A10" i="18"/>
  <c r="A9" i="18"/>
  <c r="A8" i="18"/>
  <c r="A7" i="18"/>
  <c r="A6" i="18"/>
  <c r="A5" i="18"/>
  <c r="A4" i="18"/>
  <c r="A3" i="18"/>
  <c r="A2" i="18"/>
  <c r="B2" i="18" s="1"/>
  <c r="A33" i="17"/>
  <c r="A32" i="17"/>
  <c r="A31" i="17"/>
  <c r="A30" i="17"/>
  <c r="A29" i="17"/>
  <c r="A28" i="17"/>
  <c r="A27" i="17"/>
  <c r="H26" i="17"/>
  <c r="A26" i="17"/>
  <c r="E27" i="11"/>
  <c r="D18" i="11"/>
  <c r="C14" i="11"/>
  <c r="B14" i="11"/>
  <c r="F10" i="17"/>
  <c r="D10" i="17"/>
  <c r="C10" i="17"/>
  <c r="B10" i="17"/>
  <c r="F9" i="17"/>
  <c r="E9" i="17"/>
  <c r="D9" i="17"/>
  <c r="C9" i="17"/>
  <c r="B9" i="17"/>
  <c r="F8" i="17"/>
  <c r="E8" i="17"/>
  <c r="D8" i="17"/>
  <c r="C8" i="17"/>
  <c r="B8" i="17"/>
  <c r="F7" i="17"/>
  <c r="E7" i="17"/>
  <c r="D7" i="17"/>
  <c r="C7" i="17"/>
  <c r="B7" i="17"/>
  <c r="E6" i="17"/>
  <c r="D6" i="17"/>
  <c r="C6" i="17"/>
  <c r="B6" i="17"/>
  <c r="F5" i="17"/>
  <c r="E5" i="17"/>
  <c r="D5" i="17"/>
  <c r="C5" i="17"/>
  <c r="B5" i="17"/>
  <c r="D1" i="18"/>
  <c r="C1" i="18"/>
  <c r="B1" i="18"/>
  <c r="N11" i="9"/>
  <c r="N22" i="9" s="1"/>
  <c r="M11" i="9"/>
  <c r="I11" i="9"/>
  <c r="N10" i="9"/>
  <c r="M10" i="9"/>
  <c r="I38" i="11" s="1"/>
  <c r="I33" i="11"/>
  <c r="I28" i="11"/>
  <c r="I10" i="9"/>
  <c r="I19" i="11" s="1"/>
  <c r="H10" i="9"/>
  <c r="I15" i="11" s="1"/>
  <c r="N9" i="9"/>
  <c r="H42" i="11" s="1"/>
  <c r="M9" i="9"/>
  <c r="H38" i="11" s="1"/>
  <c r="H33" i="11"/>
  <c r="H28" i="11"/>
  <c r="I9" i="9"/>
  <c r="H19" i="11" s="1"/>
  <c r="H9" i="9"/>
  <c r="H15" i="11" s="1"/>
  <c r="N8" i="9"/>
  <c r="G23" i="11" s="1"/>
  <c r="M8" i="9"/>
  <c r="G38" i="11" s="1"/>
  <c r="G33" i="11"/>
  <c r="G28" i="11"/>
  <c r="I8" i="9"/>
  <c r="G19" i="11" s="1"/>
  <c r="H8" i="9"/>
  <c r="G15" i="11" s="1"/>
  <c r="N7" i="9"/>
  <c r="F23" i="11" s="1"/>
  <c r="M7" i="9"/>
  <c r="F38" i="11" s="1"/>
  <c r="F33" i="11"/>
  <c r="F28" i="11"/>
  <c r="I7" i="9"/>
  <c r="F19" i="11" s="1"/>
  <c r="H7" i="9"/>
  <c r="F15" i="11" s="1"/>
  <c r="N6" i="9"/>
  <c r="M6" i="9"/>
  <c r="E38" i="11" s="1"/>
  <c r="E33" i="11"/>
  <c r="E28" i="11"/>
  <c r="I6" i="9"/>
  <c r="E19" i="11" s="1"/>
  <c r="H6" i="9"/>
  <c r="E15" i="11" s="1"/>
  <c r="N5" i="9"/>
  <c r="D42" i="11" s="1"/>
  <c r="M5" i="9"/>
  <c r="D38" i="11" s="1"/>
  <c r="D33" i="11"/>
  <c r="D28" i="11"/>
  <c r="I5" i="9"/>
  <c r="D19" i="11" s="1"/>
  <c r="H5" i="9"/>
  <c r="D15" i="11" s="1"/>
  <c r="N4" i="9"/>
  <c r="C23" i="11" s="1"/>
  <c r="M4" i="9"/>
  <c r="C38" i="11" s="1"/>
  <c r="C33" i="11"/>
  <c r="C28" i="11"/>
  <c r="I4" i="9"/>
  <c r="C19" i="11" s="1"/>
  <c r="H4" i="9"/>
  <c r="N3" i="9"/>
  <c r="B23" i="11" s="1"/>
  <c r="M3" i="9"/>
  <c r="B38" i="11" s="1"/>
  <c r="B33" i="11"/>
  <c r="B28" i="11"/>
  <c r="I3" i="9"/>
  <c r="B110" i="72"/>
  <c r="B109" i="72"/>
  <c r="B108" i="72"/>
  <c r="B107" i="72"/>
  <c r="B106" i="72"/>
  <c r="B105" i="72"/>
  <c r="B104" i="72"/>
  <c r="B103" i="72"/>
  <c r="B102" i="72"/>
  <c r="B101" i="72"/>
  <c r="B100" i="72"/>
  <c r="B99" i="72"/>
  <c r="B98" i="72"/>
  <c r="B97" i="72"/>
  <c r="B96" i="72"/>
  <c r="B95" i="72"/>
  <c r="B94" i="72"/>
  <c r="B93" i="72"/>
  <c r="B92" i="72"/>
  <c r="B91" i="72"/>
  <c r="B90" i="72"/>
  <c r="B89" i="72"/>
  <c r="B88" i="72"/>
  <c r="B87" i="72"/>
  <c r="B86" i="72"/>
  <c r="B85" i="72"/>
  <c r="B84" i="72"/>
  <c r="B83" i="72"/>
  <c r="B82" i="72"/>
  <c r="B81" i="72"/>
  <c r="B80" i="72"/>
  <c r="B79" i="72"/>
  <c r="B78" i="72"/>
  <c r="B77" i="72"/>
  <c r="B76" i="72"/>
  <c r="B75" i="72"/>
  <c r="B74" i="72"/>
  <c r="B73" i="72"/>
  <c r="B72" i="72"/>
  <c r="B71" i="72"/>
  <c r="B70" i="72"/>
  <c r="B69" i="72"/>
  <c r="B68" i="72"/>
  <c r="B67" i="72"/>
  <c r="B66" i="72"/>
  <c r="B65" i="72"/>
  <c r="B64" i="72"/>
  <c r="B63" i="72"/>
  <c r="B62" i="72"/>
  <c r="B61" i="72"/>
  <c r="B60" i="72"/>
  <c r="B59" i="72"/>
  <c r="B58" i="72"/>
  <c r="B57" i="72"/>
  <c r="B56" i="72"/>
  <c r="B55" i="72"/>
  <c r="B54" i="72"/>
  <c r="B53" i="72"/>
  <c r="B52" i="72"/>
  <c r="B51" i="72"/>
  <c r="B50" i="72"/>
  <c r="B49" i="72"/>
  <c r="B48" i="72"/>
  <c r="B47" i="72"/>
  <c r="B46" i="72"/>
  <c r="B45" i="72"/>
  <c r="B44" i="72"/>
  <c r="B43" i="72"/>
  <c r="B42" i="72"/>
  <c r="B41" i="72"/>
  <c r="B40" i="72"/>
  <c r="B39" i="72"/>
  <c r="B38" i="72"/>
  <c r="B37" i="72"/>
  <c r="B36" i="72"/>
  <c r="B35" i="72"/>
  <c r="B34" i="72"/>
  <c r="B33" i="72"/>
  <c r="B32" i="72"/>
  <c r="B31" i="72"/>
  <c r="B30" i="72"/>
  <c r="B29" i="72"/>
  <c r="B28" i="72"/>
  <c r="B27" i="72"/>
  <c r="B26" i="72"/>
  <c r="B25" i="72"/>
  <c r="B24" i="72"/>
  <c r="B23" i="72"/>
  <c r="B22" i="72"/>
  <c r="B21" i="72"/>
  <c r="B20" i="72"/>
  <c r="B19" i="72"/>
  <c r="B18" i="72"/>
  <c r="B17" i="72"/>
  <c r="B16" i="72"/>
  <c r="B15" i="72"/>
  <c r="B14" i="72"/>
  <c r="B13" i="72"/>
  <c r="B12" i="72"/>
  <c r="B11" i="72"/>
  <c r="B10" i="72"/>
  <c r="B9" i="72"/>
  <c r="B8" i="72"/>
  <c r="B7" i="72"/>
  <c r="B6" i="72"/>
  <c r="B5" i="72"/>
  <c r="B4" i="72"/>
  <c r="B3" i="72"/>
  <c r="H61" i="11"/>
  <c r="H60" i="11"/>
  <c r="H59" i="11"/>
  <c r="H58" i="11"/>
  <c r="H57" i="11"/>
  <c r="M56" i="11"/>
  <c r="M60" i="11" s="1"/>
  <c r="L56" i="11"/>
  <c r="L60" i="11" s="1"/>
  <c r="I56" i="11"/>
  <c r="I60" i="11" s="1"/>
  <c r="H56" i="11"/>
  <c r="M55" i="11"/>
  <c r="M59" i="11" s="1"/>
  <c r="L55" i="11"/>
  <c r="L59" i="11" s="1"/>
  <c r="I55" i="11"/>
  <c r="I59" i="11" s="1"/>
  <c r="M54" i="11"/>
  <c r="M58" i="11" s="1"/>
  <c r="L54" i="11"/>
  <c r="L58" i="11" s="1"/>
  <c r="I54" i="11"/>
  <c r="I58" i="11" s="1"/>
  <c r="H37" i="11"/>
  <c r="E37" i="11"/>
  <c r="D37" i="11"/>
  <c r="C37" i="11"/>
  <c r="A36" i="11"/>
  <c r="G32" i="11"/>
  <c r="C32" i="11"/>
  <c r="A31" i="11"/>
  <c r="H27" i="11"/>
  <c r="G27" i="11"/>
  <c r="D27" i="11"/>
  <c r="C27" i="11"/>
  <c r="A26" i="11"/>
  <c r="J22" i="11"/>
  <c r="A21" i="11"/>
  <c r="J18" i="11"/>
  <c r="F18" i="11"/>
  <c r="C18" i="11"/>
  <c r="B18" i="11"/>
  <c r="A17" i="11"/>
  <c r="I14" i="11"/>
  <c r="H14" i="11"/>
  <c r="G14" i="11"/>
  <c r="F14" i="11"/>
  <c r="E14" i="11"/>
  <c r="A13" i="11"/>
  <c r="J21" i="73"/>
  <c r="H21" i="73"/>
  <c r="F21" i="73"/>
  <c r="G3" i="9" l="1"/>
  <c r="B16" i="18"/>
  <c r="I8" i="72"/>
  <c r="I9" i="72"/>
  <c r="I21" i="72"/>
  <c r="I33" i="72"/>
  <c r="I45" i="72"/>
  <c r="I57" i="72"/>
  <c r="I69" i="72"/>
  <c r="I81" i="72"/>
  <c r="I93" i="72"/>
  <c r="I105" i="72"/>
  <c r="I20" i="72"/>
  <c r="I82" i="72"/>
  <c r="I60" i="72"/>
  <c r="I44" i="72"/>
  <c r="I58" i="72"/>
  <c r="I95" i="72"/>
  <c r="I109" i="72"/>
  <c r="I92" i="72"/>
  <c r="I46" i="72"/>
  <c r="I71" i="72"/>
  <c r="I12" i="72"/>
  <c r="I96" i="72"/>
  <c r="I26" i="72"/>
  <c r="I74" i="72"/>
  <c r="I86" i="72"/>
  <c r="I98" i="72"/>
  <c r="I110" i="72"/>
  <c r="I68" i="72"/>
  <c r="I94" i="72"/>
  <c r="I11" i="72"/>
  <c r="I107" i="72"/>
  <c r="I84" i="72"/>
  <c r="I25" i="72"/>
  <c r="I97" i="72"/>
  <c r="I3" i="72"/>
  <c r="L3" i="72" s="1"/>
  <c r="I51" i="72"/>
  <c r="I63" i="72"/>
  <c r="I75" i="72"/>
  <c r="I87" i="72"/>
  <c r="I99" i="72"/>
  <c r="I104" i="72"/>
  <c r="I22" i="72"/>
  <c r="I47" i="72"/>
  <c r="I48" i="72"/>
  <c r="I108" i="72"/>
  <c r="I85" i="72"/>
  <c r="I14" i="72"/>
  <c r="I40" i="72"/>
  <c r="I52" i="72"/>
  <c r="I64" i="72"/>
  <c r="I76" i="72"/>
  <c r="I88" i="72"/>
  <c r="I100" i="72"/>
  <c r="I56" i="72"/>
  <c r="I10" i="72"/>
  <c r="I106" i="72"/>
  <c r="I59" i="72"/>
  <c r="I36" i="72"/>
  <c r="I13" i="72"/>
  <c r="I61" i="72"/>
  <c r="I38" i="72"/>
  <c r="I27" i="72"/>
  <c r="I28" i="72"/>
  <c r="I5" i="72"/>
  <c r="I17" i="72"/>
  <c r="I29" i="72"/>
  <c r="I41" i="72"/>
  <c r="I53" i="72"/>
  <c r="I65" i="72"/>
  <c r="I77" i="72"/>
  <c r="I89" i="72"/>
  <c r="I101" i="72"/>
  <c r="I32" i="72"/>
  <c r="I34" i="72"/>
  <c r="I23" i="72"/>
  <c r="I83" i="72"/>
  <c r="I24" i="72"/>
  <c r="I37" i="72"/>
  <c r="I49" i="72"/>
  <c r="I62" i="72"/>
  <c r="I39" i="72"/>
  <c r="I16" i="72"/>
  <c r="I6" i="72"/>
  <c r="I18" i="72"/>
  <c r="I30" i="72"/>
  <c r="I42" i="72"/>
  <c r="I54" i="72"/>
  <c r="I66" i="72"/>
  <c r="I78" i="72"/>
  <c r="I90" i="72"/>
  <c r="I102" i="72"/>
  <c r="I80" i="72"/>
  <c r="I70" i="72"/>
  <c r="I35" i="72"/>
  <c r="I72" i="72"/>
  <c r="I73" i="72"/>
  <c r="I50" i="72"/>
  <c r="I15" i="72"/>
  <c r="I4" i="72"/>
  <c r="I7" i="72"/>
  <c r="I19" i="72"/>
  <c r="I31" i="72"/>
  <c r="I43" i="72"/>
  <c r="I55" i="72"/>
  <c r="I67" i="72"/>
  <c r="I79" i="72"/>
  <c r="I91" i="72"/>
  <c r="I103" i="72"/>
  <c r="H153" i="72"/>
  <c r="N153" i="80" s="1"/>
  <c r="O153" i="80" s="1"/>
  <c r="B159" i="72"/>
  <c r="I4" i="11" s="1"/>
  <c r="B160" i="72"/>
  <c r="B11" i="9" s="1"/>
  <c r="B154" i="72"/>
  <c r="B5" i="9" s="1"/>
  <c r="B158" i="72"/>
  <c r="B9" i="9" s="1"/>
  <c r="B152" i="72"/>
  <c r="G6" i="9"/>
  <c r="G11" i="9"/>
  <c r="B19" i="11"/>
  <c r="B10" i="11"/>
  <c r="A20" i="18"/>
  <c r="E6" i="18"/>
  <c r="B6" i="18"/>
  <c r="C6" i="18"/>
  <c r="D6" i="18"/>
  <c r="B8" i="18"/>
  <c r="E8" i="18"/>
  <c r="C8" i="18"/>
  <c r="D8" i="18"/>
  <c r="C7" i="18"/>
  <c r="B7" i="18"/>
  <c r="E7" i="18"/>
  <c r="E10" i="18"/>
  <c r="B10" i="18"/>
  <c r="D10" i="18"/>
  <c r="C10" i="18"/>
  <c r="C11" i="18"/>
  <c r="D11" i="18"/>
  <c r="E11" i="18"/>
  <c r="B11" i="18"/>
  <c r="C2" i="18"/>
  <c r="E2" i="18"/>
  <c r="D2" i="18"/>
  <c r="A23" i="18"/>
  <c r="B9" i="18"/>
  <c r="C9" i="18"/>
  <c r="D9" i="18"/>
  <c r="E9" i="18"/>
  <c r="A17" i="18"/>
  <c r="C3" i="18"/>
  <c r="D3" i="18"/>
  <c r="E3" i="18"/>
  <c r="B3" i="18"/>
  <c r="A18" i="18"/>
  <c r="D4" i="18"/>
  <c r="E4" i="18"/>
  <c r="B4" i="18"/>
  <c r="C4" i="18"/>
  <c r="E5" i="18"/>
  <c r="B5" i="18"/>
  <c r="C5" i="18"/>
  <c r="D5" i="18"/>
  <c r="J15" i="11"/>
  <c r="B157" i="72"/>
  <c r="G4" i="11" s="1"/>
  <c r="B156" i="72"/>
  <c r="F4" i="11" s="1"/>
  <c r="B155" i="72"/>
  <c r="E4" i="11" s="1"/>
  <c r="B153" i="72"/>
  <c r="B4" i="9" s="1"/>
  <c r="J19" i="11"/>
  <c r="J28" i="11"/>
  <c r="J33" i="11"/>
  <c r="J42" i="11"/>
  <c r="J38" i="11"/>
  <c r="F42" i="11"/>
  <c r="I42" i="11"/>
  <c r="A29" i="9"/>
  <c r="G42" i="11"/>
  <c r="E42" i="11"/>
  <c r="B42" i="11"/>
  <c r="C42" i="11"/>
  <c r="G4" i="9"/>
  <c r="C51" i="11" s="1"/>
  <c r="B15" i="11"/>
  <c r="G7" i="9"/>
  <c r="F51" i="11" s="1"/>
  <c r="G8" i="9"/>
  <c r="I23" i="11"/>
  <c r="G10" i="9"/>
  <c r="E23" i="11"/>
  <c r="C15" i="11"/>
  <c r="D23" i="11"/>
  <c r="D47" i="11" s="1"/>
  <c r="H23" i="11"/>
  <c r="D32" i="11"/>
  <c r="J14" i="11"/>
  <c r="E32" i="11"/>
  <c r="A16" i="18"/>
  <c r="A24" i="18"/>
  <c r="H32" i="11"/>
  <c r="F37" i="11"/>
  <c r="B37" i="11"/>
  <c r="B27" i="11"/>
  <c r="E18" i="11"/>
  <c r="G37" i="11"/>
  <c r="J27" i="11"/>
  <c r="I18" i="11"/>
  <c r="B32" i="11"/>
  <c r="D14" i="11"/>
  <c r="F32" i="11"/>
  <c r="J32" i="11"/>
  <c r="I27" i="11"/>
  <c r="F27" i="11"/>
  <c r="H18" i="11"/>
  <c r="J37" i="11"/>
  <c r="A22" i="18"/>
  <c r="A19" i="18"/>
  <c r="G18" i="11"/>
  <c r="I32" i="11"/>
  <c r="A21" i="18"/>
  <c r="I37" i="11"/>
  <c r="H160" i="72"/>
  <c r="N160" i="80" s="1"/>
  <c r="O160" i="80" s="1"/>
  <c r="H156" i="72"/>
  <c r="N156" i="80" s="1"/>
  <c r="O156" i="80" s="1"/>
  <c r="H155" i="72"/>
  <c r="N155" i="80" s="1"/>
  <c r="O155" i="80" s="1"/>
  <c r="I13" i="17"/>
  <c r="D50" i="11" s="1"/>
  <c r="H154" i="72"/>
  <c r="N154" i="80" s="1"/>
  <c r="O154" i="80" s="1"/>
  <c r="D22" i="11"/>
  <c r="H157" i="72"/>
  <c r="N157" i="80" s="1"/>
  <c r="O157" i="80" s="1"/>
  <c r="H159" i="72"/>
  <c r="N159" i="80" s="1"/>
  <c r="O159" i="80" s="1"/>
  <c r="H161" i="72"/>
  <c r="N161" i="80" s="1"/>
  <c r="O161" i="80" s="1"/>
  <c r="H22" i="11"/>
  <c r="H152" i="72"/>
  <c r="N152" i="80" s="1"/>
  <c r="O152" i="80" s="1"/>
  <c r="I17" i="17"/>
  <c r="H50" i="11" s="1"/>
  <c r="B22" i="11"/>
  <c r="I11" i="17"/>
  <c r="B50" i="11" s="1"/>
  <c r="F22" i="11"/>
  <c r="G22" i="11"/>
  <c r="I16" i="17"/>
  <c r="G50" i="11" s="1"/>
  <c r="I14" i="17"/>
  <c r="E50" i="11" s="1"/>
  <c r="I18" i="17"/>
  <c r="I22" i="11"/>
  <c r="K14" i="17"/>
  <c r="K18" i="17"/>
  <c r="I15" i="17"/>
  <c r="F50" i="11" s="1"/>
  <c r="I19" i="17"/>
  <c r="J50" i="11" s="1"/>
  <c r="C22" i="11"/>
  <c r="C46" i="11" s="1"/>
  <c r="K15" i="17"/>
  <c r="K19" i="17"/>
  <c r="C50" i="11"/>
  <c r="E22" i="11"/>
  <c r="K12" i="17"/>
  <c r="K26" i="17" s="1"/>
  <c r="K16" i="17"/>
  <c r="K13" i="17"/>
  <c r="K17" i="17"/>
  <c r="B3" i="9" l="1"/>
  <c r="B165" i="72"/>
  <c r="H165" i="72"/>
  <c r="I165" i="72" s="1"/>
  <c r="K5" i="11"/>
  <c r="K33" i="17"/>
  <c r="H43" i="11"/>
  <c r="G43" i="11"/>
  <c r="M18" i="72"/>
  <c r="N18" i="72" s="1"/>
  <c r="J18" i="72"/>
  <c r="K18" i="72" s="1"/>
  <c r="L18" i="72"/>
  <c r="L57" i="72"/>
  <c r="M57" i="72"/>
  <c r="N57" i="72" s="1"/>
  <c r="J57" i="72"/>
  <c r="K57" i="72" s="1"/>
  <c r="M90" i="72"/>
  <c r="N90" i="72" s="1"/>
  <c r="J90" i="72"/>
  <c r="K90" i="72" s="1"/>
  <c r="L90" i="72"/>
  <c r="L82" i="72"/>
  <c r="M82" i="72"/>
  <c r="N82" i="72" s="1"/>
  <c r="J82" i="72"/>
  <c r="K82" i="72" s="1"/>
  <c r="L72" i="72"/>
  <c r="M72" i="72"/>
  <c r="N72" i="72" s="1"/>
  <c r="J72" i="72"/>
  <c r="K72" i="72" s="1"/>
  <c r="L24" i="72"/>
  <c r="M24" i="72"/>
  <c r="N24" i="72" s="1"/>
  <c r="J24" i="72"/>
  <c r="K24" i="72" s="1"/>
  <c r="L100" i="72"/>
  <c r="J100" i="72"/>
  <c r="K100" i="72" s="1"/>
  <c r="M100" i="72"/>
  <c r="N100" i="72" s="1"/>
  <c r="J3" i="72"/>
  <c r="K3" i="72" s="1"/>
  <c r="J79" i="72"/>
  <c r="K79" i="72" s="1"/>
  <c r="L79" i="72"/>
  <c r="M79" i="72"/>
  <c r="N79" i="72" s="1"/>
  <c r="J7" i="72"/>
  <c r="K7" i="72" s="1"/>
  <c r="M7" i="72"/>
  <c r="N7" i="72" s="1"/>
  <c r="L7" i="72"/>
  <c r="L35" i="72"/>
  <c r="J35" i="72"/>
  <c r="K35" i="72" s="1"/>
  <c r="M35" i="72"/>
  <c r="N35" i="72" s="1"/>
  <c r="M66" i="72"/>
  <c r="N66" i="72" s="1"/>
  <c r="J66" i="72"/>
  <c r="K66" i="72" s="1"/>
  <c r="L66" i="72"/>
  <c r="J16" i="72"/>
  <c r="K16" i="72" s="1"/>
  <c r="L16" i="72"/>
  <c r="M16" i="72"/>
  <c r="N16" i="72" s="1"/>
  <c r="L83" i="72"/>
  <c r="J83" i="72"/>
  <c r="K83" i="72" s="1"/>
  <c r="M83" i="72"/>
  <c r="N83" i="72" s="1"/>
  <c r="J77" i="72"/>
  <c r="K77" i="72" s="1"/>
  <c r="L77" i="72"/>
  <c r="M77" i="72"/>
  <c r="N77" i="72" s="1"/>
  <c r="J5" i="72"/>
  <c r="K5" i="72" s="1"/>
  <c r="L5" i="72"/>
  <c r="M5" i="72"/>
  <c r="N5" i="72" s="1"/>
  <c r="L36" i="72"/>
  <c r="J36" i="72"/>
  <c r="K36" i="72" s="1"/>
  <c r="M36" i="72"/>
  <c r="N36" i="72" s="1"/>
  <c r="J88" i="72"/>
  <c r="K88" i="72" s="1"/>
  <c r="L88" i="72"/>
  <c r="M88" i="72"/>
  <c r="N88" i="72" s="1"/>
  <c r="M85" i="72"/>
  <c r="N85" i="72" s="1"/>
  <c r="J85" i="72"/>
  <c r="K85" i="72" s="1"/>
  <c r="L85" i="72"/>
  <c r="L99" i="72"/>
  <c r="M99" i="72"/>
  <c r="N99" i="72" s="1"/>
  <c r="J99" i="72"/>
  <c r="K99" i="72" s="1"/>
  <c r="L97" i="72"/>
  <c r="M97" i="72"/>
  <c r="N97" i="72" s="1"/>
  <c r="J97" i="72"/>
  <c r="K97" i="72" s="1"/>
  <c r="L68" i="72"/>
  <c r="M68" i="72"/>
  <c r="N68" i="72" s="1"/>
  <c r="J68" i="72"/>
  <c r="K68" i="72" s="1"/>
  <c r="M96" i="72"/>
  <c r="N96" i="72" s="1"/>
  <c r="L96" i="72"/>
  <c r="J96" i="72"/>
  <c r="K96" i="72" s="1"/>
  <c r="L95" i="72"/>
  <c r="M95" i="72"/>
  <c r="N95" i="72" s="1"/>
  <c r="J95" i="72"/>
  <c r="K95" i="72" s="1"/>
  <c r="L105" i="72"/>
  <c r="M105" i="72"/>
  <c r="N105" i="72" s="1"/>
  <c r="J105" i="72"/>
  <c r="K105" i="72" s="1"/>
  <c r="L33" i="72"/>
  <c r="M33" i="72"/>
  <c r="N33" i="72" s="1"/>
  <c r="J33" i="72"/>
  <c r="K33" i="72" s="1"/>
  <c r="J31" i="72"/>
  <c r="K31" i="72" s="1"/>
  <c r="L31" i="72"/>
  <c r="M31" i="72"/>
  <c r="N31" i="72" s="1"/>
  <c r="L56" i="72"/>
  <c r="M56" i="72"/>
  <c r="N56" i="72" s="1"/>
  <c r="J56" i="72"/>
  <c r="K56" i="72" s="1"/>
  <c r="M74" i="72"/>
  <c r="N74" i="72" s="1"/>
  <c r="J74" i="72"/>
  <c r="K74" i="72" s="1"/>
  <c r="L74" i="72"/>
  <c r="L104" i="72"/>
  <c r="M104" i="72"/>
  <c r="N104" i="72" s="1"/>
  <c r="J104" i="72"/>
  <c r="K104" i="72" s="1"/>
  <c r="J29" i="72"/>
  <c r="K29" i="72" s="1"/>
  <c r="L29" i="72"/>
  <c r="M29" i="72"/>
  <c r="N29" i="72" s="1"/>
  <c r="L92" i="72"/>
  <c r="M92" i="72"/>
  <c r="N92" i="72" s="1"/>
  <c r="J92" i="72"/>
  <c r="K92" i="72" s="1"/>
  <c r="M13" i="72"/>
  <c r="N13" i="72" s="1"/>
  <c r="J13" i="72"/>
  <c r="K13" i="72" s="1"/>
  <c r="L13" i="72"/>
  <c r="J67" i="72"/>
  <c r="K67" i="72" s="1"/>
  <c r="L67" i="72"/>
  <c r="M67" i="72"/>
  <c r="N67" i="72" s="1"/>
  <c r="J4" i="72"/>
  <c r="K4" i="72" s="1"/>
  <c r="M4" i="72"/>
  <c r="N4" i="72" s="1"/>
  <c r="L4" i="72"/>
  <c r="J70" i="72"/>
  <c r="K70" i="72" s="1"/>
  <c r="M70" i="72"/>
  <c r="N70" i="72" s="1"/>
  <c r="L70" i="72"/>
  <c r="J54" i="72"/>
  <c r="K54" i="72" s="1"/>
  <c r="L54" i="72"/>
  <c r="M54" i="72"/>
  <c r="N54" i="72" s="1"/>
  <c r="L39" i="72"/>
  <c r="M39" i="72"/>
  <c r="N39" i="72" s="1"/>
  <c r="J39" i="72"/>
  <c r="K39" i="72" s="1"/>
  <c r="L23" i="72"/>
  <c r="M23" i="72"/>
  <c r="N23" i="72" s="1"/>
  <c r="J23" i="72"/>
  <c r="K23" i="72" s="1"/>
  <c r="J65" i="72"/>
  <c r="K65" i="72" s="1"/>
  <c r="L65" i="72"/>
  <c r="M65" i="72"/>
  <c r="N65" i="72" s="1"/>
  <c r="L28" i="72"/>
  <c r="J28" i="72"/>
  <c r="K28" i="72" s="1"/>
  <c r="M28" i="72"/>
  <c r="N28" i="72" s="1"/>
  <c r="L59" i="72"/>
  <c r="M59" i="72"/>
  <c r="N59" i="72" s="1"/>
  <c r="J59" i="72"/>
  <c r="K59" i="72" s="1"/>
  <c r="L76" i="72"/>
  <c r="J76" i="72"/>
  <c r="K76" i="72" s="1"/>
  <c r="M76" i="72"/>
  <c r="N76" i="72" s="1"/>
  <c r="L108" i="72"/>
  <c r="J108" i="72"/>
  <c r="K108" i="72" s="1"/>
  <c r="M108" i="72"/>
  <c r="N108" i="72" s="1"/>
  <c r="L87" i="72"/>
  <c r="M87" i="72"/>
  <c r="N87" i="72" s="1"/>
  <c r="J87" i="72"/>
  <c r="K87" i="72" s="1"/>
  <c r="L25" i="72"/>
  <c r="M25" i="72"/>
  <c r="N25" i="72" s="1"/>
  <c r="J25" i="72"/>
  <c r="K25" i="72" s="1"/>
  <c r="L110" i="72"/>
  <c r="M110" i="72"/>
  <c r="N110" i="72" s="1"/>
  <c r="J110" i="72"/>
  <c r="K110" i="72" s="1"/>
  <c r="M111" i="72"/>
  <c r="N111" i="72" s="1"/>
  <c r="L12" i="72"/>
  <c r="J12" i="72"/>
  <c r="K12" i="72" s="1"/>
  <c r="M12" i="72"/>
  <c r="N12" i="72" s="1"/>
  <c r="L58" i="72"/>
  <c r="M58" i="72"/>
  <c r="N58" i="72" s="1"/>
  <c r="J58" i="72"/>
  <c r="K58" i="72" s="1"/>
  <c r="J93" i="72"/>
  <c r="K93" i="72" s="1"/>
  <c r="M93" i="72"/>
  <c r="N93" i="72" s="1"/>
  <c r="L93" i="72"/>
  <c r="J21" i="72"/>
  <c r="K21" i="72" s="1"/>
  <c r="M21" i="72"/>
  <c r="N21" i="72" s="1"/>
  <c r="L21" i="72"/>
  <c r="J78" i="72"/>
  <c r="K78" i="72" s="1"/>
  <c r="L78" i="72"/>
  <c r="M78" i="72"/>
  <c r="N78" i="72" s="1"/>
  <c r="J17" i="72"/>
  <c r="K17" i="72" s="1"/>
  <c r="M17" i="72"/>
  <c r="N17" i="72" s="1"/>
  <c r="L17" i="72"/>
  <c r="L14" i="72"/>
  <c r="M14" i="72"/>
  <c r="N14" i="72" s="1"/>
  <c r="J14" i="72"/>
  <c r="K14" i="72" s="1"/>
  <c r="J94" i="72"/>
  <c r="K94" i="72" s="1"/>
  <c r="M94" i="72"/>
  <c r="N94" i="72" s="1"/>
  <c r="L94" i="72"/>
  <c r="J40" i="72"/>
  <c r="K40" i="72" s="1"/>
  <c r="L40" i="72"/>
  <c r="M40" i="72"/>
  <c r="N40" i="72" s="1"/>
  <c r="J89" i="72"/>
  <c r="K89" i="72" s="1"/>
  <c r="L89" i="72"/>
  <c r="M89" i="72"/>
  <c r="N89" i="72" s="1"/>
  <c r="M26" i="72"/>
  <c r="N26" i="72" s="1"/>
  <c r="J26" i="72"/>
  <c r="K26" i="72" s="1"/>
  <c r="L26" i="72"/>
  <c r="J55" i="72"/>
  <c r="K55" i="72" s="1"/>
  <c r="L55" i="72"/>
  <c r="M55" i="72"/>
  <c r="N55" i="72" s="1"/>
  <c r="L15" i="72"/>
  <c r="M15" i="72"/>
  <c r="N15" i="72" s="1"/>
  <c r="J15" i="72"/>
  <c r="K15" i="72" s="1"/>
  <c r="L80" i="72"/>
  <c r="J80" i="72"/>
  <c r="K80" i="72" s="1"/>
  <c r="M80" i="72"/>
  <c r="N80" i="72" s="1"/>
  <c r="M42" i="72"/>
  <c r="N42" i="72" s="1"/>
  <c r="J42" i="72"/>
  <c r="K42" i="72" s="1"/>
  <c r="L42" i="72"/>
  <c r="L62" i="72"/>
  <c r="M62" i="72"/>
  <c r="N62" i="72" s="1"/>
  <c r="J62" i="72"/>
  <c r="K62" i="72" s="1"/>
  <c r="L34" i="72"/>
  <c r="M34" i="72"/>
  <c r="N34" i="72" s="1"/>
  <c r="J34" i="72"/>
  <c r="K34" i="72" s="1"/>
  <c r="J53" i="72"/>
  <c r="K53" i="72" s="1"/>
  <c r="L53" i="72"/>
  <c r="M53" i="72"/>
  <c r="N53" i="72" s="1"/>
  <c r="L27" i="72"/>
  <c r="J27" i="72"/>
  <c r="K27" i="72" s="1"/>
  <c r="M27" i="72"/>
  <c r="N27" i="72" s="1"/>
  <c r="L106" i="72"/>
  <c r="M106" i="72"/>
  <c r="N106" i="72" s="1"/>
  <c r="J106" i="72"/>
  <c r="K106" i="72" s="1"/>
  <c r="J64" i="72"/>
  <c r="K64" i="72" s="1"/>
  <c r="L64" i="72"/>
  <c r="M64" i="72"/>
  <c r="N64" i="72" s="1"/>
  <c r="L48" i="72"/>
  <c r="M48" i="72"/>
  <c r="N48" i="72" s="1"/>
  <c r="J48" i="72"/>
  <c r="K48" i="72" s="1"/>
  <c r="L75" i="72"/>
  <c r="J75" i="72"/>
  <c r="K75" i="72" s="1"/>
  <c r="M75" i="72"/>
  <c r="N75" i="72" s="1"/>
  <c r="L84" i="72"/>
  <c r="J84" i="72"/>
  <c r="K84" i="72" s="1"/>
  <c r="M84" i="72"/>
  <c r="N84" i="72" s="1"/>
  <c r="M98" i="72"/>
  <c r="N98" i="72" s="1"/>
  <c r="J98" i="72"/>
  <c r="K98" i="72" s="1"/>
  <c r="L98" i="72"/>
  <c r="L71" i="72"/>
  <c r="M71" i="72"/>
  <c r="N71" i="72" s="1"/>
  <c r="J71" i="72"/>
  <c r="K71" i="72" s="1"/>
  <c r="L44" i="72"/>
  <c r="M44" i="72"/>
  <c r="N44" i="72" s="1"/>
  <c r="J44" i="72"/>
  <c r="K44" i="72" s="1"/>
  <c r="L81" i="72"/>
  <c r="M81" i="72"/>
  <c r="N81" i="72" s="1"/>
  <c r="J81" i="72"/>
  <c r="K81" i="72" s="1"/>
  <c r="L9" i="72"/>
  <c r="M9" i="72"/>
  <c r="N9" i="72" s="1"/>
  <c r="J9" i="72"/>
  <c r="K9" i="72" s="1"/>
  <c r="J103" i="72"/>
  <c r="K103" i="72" s="1"/>
  <c r="L103" i="72"/>
  <c r="M103" i="72"/>
  <c r="N103" i="72" s="1"/>
  <c r="J101" i="72"/>
  <c r="K101" i="72" s="1"/>
  <c r="L101" i="72"/>
  <c r="M101" i="72"/>
  <c r="N101" i="72" s="1"/>
  <c r="L11" i="72"/>
  <c r="M11" i="72"/>
  <c r="N11" i="72" s="1"/>
  <c r="J11" i="72"/>
  <c r="K11" i="72" s="1"/>
  <c r="M91" i="72"/>
  <c r="N91" i="72" s="1"/>
  <c r="L91" i="72"/>
  <c r="J91" i="72"/>
  <c r="K91" i="72" s="1"/>
  <c r="L20" i="72"/>
  <c r="J20" i="72"/>
  <c r="K20" i="72" s="1"/>
  <c r="M20" i="72"/>
  <c r="N20" i="72" s="1"/>
  <c r="M37" i="72"/>
  <c r="N37" i="72" s="1"/>
  <c r="J37" i="72"/>
  <c r="K37" i="72" s="1"/>
  <c r="L37" i="72"/>
  <c r="J22" i="72"/>
  <c r="K22" i="72" s="1"/>
  <c r="M22" i="72"/>
  <c r="N22" i="72" s="1"/>
  <c r="L22" i="72"/>
  <c r="M6" i="72"/>
  <c r="N6" i="72" s="1"/>
  <c r="J6" i="72"/>
  <c r="K6" i="72" s="1"/>
  <c r="L6" i="72"/>
  <c r="M109" i="72"/>
  <c r="N109" i="72" s="1"/>
  <c r="J109" i="72"/>
  <c r="K109" i="72" s="1"/>
  <c r="L109" i="72"/>
  <c r="L43" i="72"/>
  <c r="M43" i="72"/>
  <c r="N43" i="72" s="1"/>
  <c r="J43" i="72"/>
  <c r="K43" i="72" s="1"/>
  <c r="M50" i="72"/>
  <c r="N50" i="72" s="1"/>
  <c r="J50" i="72"/>
  <c r="K50" i="72" s="1"/>
  <c r="L50" i="72"/>
  <c r="J102" i="72"/>
  <c r="K102" i="72" s="1"/>
  <c r="L102" i="72"/>
  <c r="M102" i="72"/>
  <c r="N102" i="72" s="1"/>
  <c r="J30" i="72"/>
  <c r="K30" i="72" s="1"/>
  <c r="L30" i="72"/>
  <c r="M30" i="72"/>
  <c r="N30" i="72" s="1"/>
  <c r="L49" i="72"/>
  <c r="M49" i="72"/>
  <c r="N49" i="72" s="1"/>
  <c r="J49" i="72"/>
  <c r="K49" i="72" s="1"/>
  <c r="L32" i="72"/>
  <c r="J32" i="72"/>
  <c r="K32" i="72" s="1"/>
  <c r="M32" i="72"/>
  <c r="N32" i="72" s="1"/>
  <c r="J41" i="72"/>
  <c r="K41" i="72" s="1"/>
  <c r="M41" i="72"/>
  <c r="N41" i="72" s="1"/>
  <c r="L41" i="72"/>
  <c r="L38" i="72"/>
  <c r="M38" i="72"/>
  <c r="N38" i="72" s="1"/>
  <c r="J38" i="72"/>
  <c r="K38" i="72" s="1"/>
  <c r="L10" i="72"/>
  <c r="M10" i="72"/>
  <c r="N10" i="72" s="1"/>
  <c r="J10" i="72"/>
  <c r="K10" i="72" s="1"/>
  <c r="L52" i="72"/>
  <c r="J52" i="72"/>
  <c r="K52" i="72" s="1"/>
  <c r="M52" i="72"/>
  <c r="N52" i="72" s="1"/>
  <c r="L47" i="72"/>
  <c r="M47" i="72"/>
  <c r="N47" i="72" s="1"/>
  <c r="J47" i="72"/>
  <c r="K47" i="72" s="1"/>
  <c r="L63" i="72"/>
  <c r="M63" i="72"/>
  <c r="N63" i="72" s="1"/>
  <c r="J63" i="72"/>
  <c r="K63" i="72" s="1"/>
  <c r="L107" i="72"/>
  <c r="M107" i="72"/>
  <c r="N107" i="72" s="1"/>
  <c r="J107" i="72"/>
  <c r="K107" i="72" s="1"/>
  <c r="L86" i="72"/>
  <c r="M86" i="72"/>
  <c r="N86" i="72" s="1"/>
  <c r="J86" i="72"/>
  <c r="K86" i="72" s="1"/>
  <c r="J46" i="72"/>
  <c r="K46" i="72" s="1"/>
  <c r="L46" i="72"/>
  <c r="M46" i="72"/>
  <c r="N46" i="72" s="1"/>
  <c r="L60" i="72"/>
  <c r="J60" i="72"/>
  <c r="K60" i="72" s="1"/>
  <c r="M60" i="72"/>
  <c r="N60" i="72" s="1"/>
  <c r="J69" i="72"/>
  <c r="K69" i="72" s="1"/>
  <c r="M69" i="72"/>
  <c r="N69" i="72" s="1"/>
  <c r="L69" i="72"/>
  <c r="M8" i="72"/>
  <c r="N8" i="72" s="1"/>
  <c r="J8" i="72"/>
  <c r="K8" i="72" s="1"/>
  <c r="L8" i="72"/>
  <c r="L73" i="72"/>
  <c r="M73" i="72"/>
  <c r="N73" i="72" s="1"/>
  <c r="J73" i="72"/>
  <c r="K73" i="72" s="1"/>
  <c r="M61" i="72"/>
  <c r="N61" i="72" s="1"/>
  <c r="J61" i="72"/>
  <c r="K61" i="72" s="1"/>
  <c r="L61" i="72"/>
  <c r="L51" i="72"/>
  <c r="M51" i="72"/>
  <c r="N51" i="72" s="1"/>
  <c r="J51" i="72"/>
  <c r="K51" i="72" s="1"/>
  <c r="L19" i="72"/>
  <c r="J19" i="72"/>
  <c r="K19" i="72" s="1"/>
  <c r="M19" i="72"/>
  <c r="N19" i="72" s="1"/>
  <c r="J45" i="72"/>
  <c r="K45" i="72" s="1"/>
  <c r="M45" i="72"/>
  <c r="N45" i="72" s="1"/>
  <c r="L45" i="72"/>
  <c r="D4" i="11"/>
  <c r="J4" i="11"/>
  <c r="F3" i="9"/>
  <c r="B23" i="18"/>
  <c r="D16" i="18"/>
  <c r="E16" i="18"/>
  <c r="B21" i="18"/>
  <c r="F43" i="11"/>
  <c r="B17" i="18"/>
  <c r="C16" i="18"/>
  <c r="C34" i="11"/>
  <c r="K43" i="11"/>
  <c r="B22" i="18"/>
  <c r="I43" i="11"/>
  <c r="B18" i="18"/>
  <c r="E43" i="11"/>
  <c r="I34" i="11"/>
  <c r="F29" i="11"/>
  <c r="J43" i="11"/>
  <c r="I29" i="11"/>
  <c r="B24" i="18"/>
  <c r="D25" i="18"/>
  <c r="K34" i="11"/>
  <c r="C25" i="18"/>
  <c r="K29" i="11"/>
  <c r="B25" i="18"/>
  <c r="K24" i="11"/>
  <c r="I46" i="11"/>
  <c r="B46" i="11"/>
  <c r="J29" i="11"/>
  <c r="E24" i="11"/>
  <c r="B19" i="18"/>
  <c r="B20" i="18"/>
  <c r="C24" i="18"/>
  <c r="H5" i="11"/>
  <c r="C12" i="9"/>
  <c r="D12" i="9" s="1"/>
  <c r="E12" i="9" s="1"/>
  <c r="C11" i="9"/>
  <c r="D11" i="9" s="1"/>
  <c r="E11" i="9" s="1"/>
  <c r="D5" i="11"/>
  <c r="E5" i="11"/>
  <c r="I5" i="11"/>
  <c r="F11" i="9"/>
  <c r="B4" i="11"/>
  <c r="J34" i="11"/>
  <c r="D24" i="18"/>
  <c r="B29" i="11"/>
  <c r="B51" i="11"/>
  <c r="H4" i="11"/>
  <c r="B10" i="9"/>
  <c r="I50" i="11"/>
  <c r="K46" i="11"/>
  <c r="K4" i="11"/>
  <c r="E39" i="17"/>
  <c r="B8" i="9"/>
  <c r="C63" i="11"/>
  <c r="B6" i="9"/>
  <c r="C4" i="11"/>
  <c r="B43" i="11"/>
  <c r="F2" i="18"/>
  <c r="B52" i="11" s="1"/>
  <c r="B24" i="11"/>
  <c r="F47" i="11"/>
  <c r="F64" i="11" s="1"/>
  <c r="K47" i="11"/>
  <c r="K64" i="11" s="1"/>
  <c r="B7" i="9"/>
  <c r="G39" i="17"/>
  <c r="F39" i="17"/>
  <c r="C39" i="17"/>
  <c r="C22" i="17" s="1"/>
  <c r="C47" i="11"/>
  <c r="C64" i="11" s="1"/>
  <c r="G47" i="11"/>
  <c r="A36" i="9"/>
  <c r="A40" i="9" s="1"/>
  <c r="A33" i="9"/>
  <c r="A37" i="9" s="1"/>
  <c r="A41" i="9" s="1"/>
  <c r="E46" i="11"/>
  <c r="J23" i="11"/>
  <c r="C23" i="18"/>
  <c r="C20" i="18"/>
  <c r="B34" i="11"/>
  <c r="E47" i="11"/>
  <c r="B47" i="11"/>
  <c r="I47" i="11"/>
  <c r="F10" i="11"/>
  <c r="F4" i="9"/>
  <c r="J10" i="11"/>
  <c r="J51" i="11"/>
  <c r="G10" i="11"/>
  <c r="C10" i="11"/>
  <c r="G51" i="11"/>
  <c r="I51" i="11"/>
  <c r="I10" i="11"/>
  <c r="D23" i="18"/>
  <c r="G9" i="9"/>
  <c r="D17" i="18"/>
  <c r="H47" i="11"/>
  <c r="G5" i="9"/>
  <c r="E51" i="11"/>
  <c r="E10" i="11"/>
  <c r="D46" i="11"/>
  <c r="F9" i="18"/>
  <c r="I52" i="11" s="1"/>
  <c r="J24" i="11"/>
  <c r="D21" i="18"/>
  <c r="G34" i="11"/>
  <c r="E17" i="18"/>
  <c r="C43" i="11"/>
  <c r="D20" i="18"/>
  <c r="F34" i="11"/>
  <c r="F24" i="11"/>
  <c r="F6" i="18"/>
  <c r="F52" i="11" s="1"/>
  <c r="F10" i="18"/>
  <c r="I24" i="11"/>
  <c r="F5" i="18"/>
  <c r="E52" i="11" s="1"/>
  <c r="D22" i="18"/>
  <c r="H34" i="11"/>
  <c r="C18" i="18"/>
  <c r="D29" i="11"/>
  <c r="C21" i="18"/>
  <c r="G29" i="11"/>
  <c r="C29" i="11"/>
  <c r="C17" i="18"/>
  <c r="F7" i="18"/>
  <c r="G52" i="11" s="1"/>
  <c r="G24" i="11"/>
  <c r="D43" i="11"/>
  <c r="C22" i="18"/>
  <c r="H29" i="11"/>
  <c r="F8" i="18"/>
  <c r="H52" i="11" s="1"/>
  <c r="H24" i="11"/>
  <c r="D18" i="18"/>
  <c r="D34" i="11"/>
  <c r="J46" i="11"/>
  <c r="D19" i="18"/>
  <c r="E34" i="11"/>
  <c r="C24" i="11"/>
  <c r="F3" i="18"/>
  <c r="C52" i="11" s="1"/>
  <c r="F4" i="18"/>
  <c r="D52" i="11" s="1"/>
  <c r="D24" i="11"/>
  <c r="E29" i="11"/>
  <c r="C19" i="18"/>
  <c r="F46" i="11"/>
  <c r="J5" i="11"/>
  <c r="C9" i="9"/>
  <c r="D9" i="9" s="1"/>
  <c r="E9" i="9" s="1"/>
  <c r="H46" i="11"/>
  <c r="H63" i="11" s="1"/>
  <c r="C10" i="9"/>
  <c r="G5" i="11"/>
  <c r="F5" i="11"/>
  <c r="C8" i="9"/>
  <c r="C7" i="9"/>
  <c r="C5" i="9"/>
  <c r="D5" i="9" s="1"/>
  <c r="E5" i="9" s="1"/>
  <c r="C6" i="9"/>
  <c r="K29" i="17"/>
  <c r="C3" i="9"/>
  <c r="D3" i="9" s="1"/>
  <c r="E3" i="9" s="1"/>
  <c r="B5" i="11"/>
  <c r="C4" i="9"/>
  <c r="D4" i="9" s="1"/>
  <c r="E4" i="9" s="1"/>
  <c r="C5" i="11"/>
  <c r="K30" i="17"/>
  <c r="K32" i="17"/>
  <c r="K28" i="17"/>
  <c r="G46" i="11"/>
  <c r="K31" i="17"/>
  <c r="K27" i="17"/>
  <c r="L132" i="72" l="1"/>
  <c r="N132" i="72"/>
  <c r="E22" i="17"/>
  <c r="K48" i="11"/>
  <c r="F22" i="17"/>
  <c r="B29" i="18"/>
  <c r="D6" i="11"/>
  <c r="Q28" i="72"/>
  <c r="Q27" i="72"/>
  <c r="Q30" i="72" s="1"/>
  <c r="K6" i="11"/>
  <c r="J6" i="11"/>
  <c r="E6" i="11"/>
  <c r="J47" i="11"/>
  <c r="J64" i="11" s="1"/>
  <c r="I6" i="11"/>
  <c r="B64" i="11"/>
  <c r="B6" i="11"/>
  <c r="F7" i="9"/>
  <c r="D7" i="9"/>
  <c r="E7" i="9" s="1"/>
  <c r="C6" i="11"/>
  <c r="F6" i="9"/>
  <c r="D6" i="9"/>
  <c r="E6" i="9" s="1"/>
  <c r="B48" i="11"/>
  <c r="B65" i="11" s="1"/>
  <c r="C29" i="18"/>
  <c r="D10" i="9"/>
  <c r="E10" i="9" s="1"/>
  <c r="F10" i="9"/>
  <c r="H6" i="11"/>
  <c r="D8" i="9"/>
  <c r="E8" i="9" s="1"/>
  <c r="D29" i="18"/>
  <c r="F8" i="9"/>
  <c r="E29" i="18"/>
  <c r="J52" i="11"/>
  <c r="G64" i="11"/>
  <c r="G6" i="11"/>
  <c r="E63" i="11"/>
  <c r="L37" i="11"/>
  <c r="E64" i="11"/>
  <c r="D63" i="11"/>
  <c r="F63" i="11"/>
  <c r="B63" i="11"/>
  <c r="I64" i="11"/>
  <c r="D48" i="11"/>
  <c r="D65" i="11" s="1"/>
  <c r="D51" i="11"/>
  <c r="D64" i="11" s="1"/>
  <c r="D10" i="11"/>
  <c r="F5" i="9"/>
  <c r="F17" i="9" s="1"/>
  <c r="C48" i="11"/>
  <c r="C65" i="11" s="1"/>
  <c r="F9" i="9"/>
  <c r="H51" i="11"/>
  <c r="H64" i="11" s="1"/>
  <c r="H10" i="11"/>
  <c r="J63" i="11"/>
  <c r="I48" i="11"/>
  <c r="I65" i="11" s="1"/>
  <c r="J48" i="11"/>
  <c r="E48" i="11"/>
  <c r="E65" i="11" s="1"/>
  <c r="F48" i="11"/>
  <c r="F65" i="11" s="1"/>
  <c r="G48" i="11"/>
  <c r="G65" i="11" s="1"/>
  <c r="H48" i="11"/>
  <c r="H65" i="11" s="1"/>
  <c r="F6" i="11"/>
  <c r="G63" i="11"/>
  <c r="I63" i="11"/>
  <c r="B27" i="18" l="1"/>
  <c r="L22" i="11"/>
  <c r="J65" i="11"/>
  <c r="N24" i="9"/>
  <c r="N23" i="9"/>
  <c r="N28" i="9" s="1"/>
  <c r="N36" i="9" s="1"/>
  <c r="K29" i="9"/>
  <c r="K23" i="9"/>
  <c r="L23" i="9"/>
  <c r="L24" i="9"/>
  <c r="L29" i="9" s="1"/>
  <c r="M18" i="11"/>
  <c r="L18" i="11"/>
  <c r="L27" i="11"/>
  <c r="C27" i="18"/>
  <c r="D27" i="18"/>
  <c r="E27" i="18"/>
  <c r="L32" i="11"/>
  <c r="K28" i="9" l="1"/>
  <c r="K36" i="9" s="1"/>
  <c r="L28" i="9"/>
  <c r="L36" i="9" s="1"/>
  <c r="L37" i="9"/>
  <c r="K37" i="9"/>
  <c r="I24" i="9"/>
  <c r="I29" i="9" s="1"/>
  <c r="I37" i="9" s="1"/>
  <c r="I23" i="9"/>
  <c r="I28" i="9" s="1"/>
  <c r="I36" i="9" s="1"/>
  <c r="M23" i="9"/>
  <c r="M24" i="9"/>
  <c r="M29" i="9" s="1"/>
  <c r="N29" i="9"/>
  <c r="N37" i="9" s="1"/>
  <c r="J23" i="9"/>
  <c r="J28" i="9" s="1"/>
  <c r="J36" i="9" s="1"/>
  <c r="J24" i="9"/>
  <c r="J29" i="9" s="1"/>
  <c r="J37" i="9" s="1"/>
  <c r="M37" i="11"/>
  <c r="M32" i="11"/>
  <c r="M27" i="11"/>
  <c r="M28" i="9" l="1"/>
  <c r="M36" i="9" s="1"/>
  <c r="M37" i="9"/>
  <c r="M22" i="11"/>
  <c r="C13" i="9" l="1"/>
  <c r="G13" i="9" s="1"/>
  <c r="L5" i="11" l="1"/>
  <c r="G32" i="9" l="1"/>
  <c r="L10" i="11" l="1"/>
  <c r="H163" i="72" l="1"/>
  <c r="H167" i="72" l="1"/>
  <c r="N163" i="80"/>
  <c r="O163" i="80" s="1"/>
  <c r="M5" i="11"/>
  <c r="C14" i="9"/>
  <c r="G14" i="9" l="1"/>
  <c r="G33" i="9" l="1"/>
  <c r="M10" i="11"/>
  <c r="K20" i="17" l="1"/>
  <c r="I20" i="17"/>
  <c r="K50" i="11" s="1"/>
  <c r="K63" i="11" s="1"/>
  <c r="H24" i="9"/>
  <c r="K34" i="17" l="1"/>
  <c r="K41" i="17"/>
  <c r="K39" i="17" s="1"/>
  <c r="F11" i="18" l="1"/>
  <c r="K52" i="11" s="1"/>
  <c r="K65" i="11" s="1"/>
  <c r="G28" i="9" l="1"/>
  <c r="G36" i="9" s="1"/>
  <c r="H36" i="9"/>
  <c r="K21" i="17"/>
  <c r="P24" i="17" s="1"/>
  <c r="I21" i="17"/>
  <c r="L14" i="11"/>
  <c r="H29" i="9" l="1"/>
  <c r="G29" i="9" s="1"/>
  <c r="H37" i="9"/>
  <c r="O37" i="9" s="1"/>
  <c r="G37" i="9"/>
  <c r="O36" i="9"/>
  <c r="L50" i="11"/>
  <c r="K22" i="17"/>
  <c r="Q24" i="17" s="1"/>
  <c r="I22" i="17"/>
  <c r="M50" i="11" s="1"/>
  <c r="M14" i="11"/>
  <c r="L46" i="11"/>
  <c r="J41" i="9" l="1"/>
  <c r="J40" i="9"/>
  <c r="I40" i="9"/>
  <c r="N40" i="9"/>
  <c r="K40" i="9"/>
  <c r="L40" i="9"/>
  <c r="M40" i="9"/>
  <c r="H40" i="9"/>
  <c r="H41" i="9"/>
  <c r="I41" i="9"/>
  <c r="L63" i="11"/>
  <c r="M46" i="11"/>
  <c r="H33" i="9" l="1"/>
  <c r="M15" i="11" s="1"/>
  <c r="M32" i="9"/>
  <c r="L32" i="9"/>
  <c r="G40" i="9"/>
  <c r="H32" i="9"/>
  <c r="K32" i="9"/>
  <c r="N32" i="9"/>
  <c r="I32" i="9"/>
  <c r="J32" i="9"/>
  <c r="B12" i="18" s="1"/>
  <c r="M63" i="11"/>
  <c r="I33" i="9"/>
  <c r="M19" i="11" s="1"/>
  <c r="J33" i="9"/>
  <c r="M41" i="9"/>
  <c r="L41" i="9"/>
  <c r="N41" i="9"/>
  <c r="N33" i="9" s="1"/>
  <c r="E13" i="18" s="1"/>
  <c r="K41" i="9"/>
  <c r="B13" i="18" l="1"/>
  <c r="L33" i="9"/>
  <c r="D13" i="18" s="1"/>
  <c r="M33" i="9"/>
  <c r="M38" i="11" s="1"/>
  <c r="K33" i="9"/>
  <c r="C13" i="18" s="1"/>
  <c r="L19" i="11"/>
  <c r="E12" i="18"/>
  <c r="L43" i="11" s="1"/>
  <c r="L42" i="11"/>
  <c r="C12" i="18"/>
  <c r="L28" i="11"/>
  <c r="L15" i="11"/>
  <c r="O32" i="9"/>
  <c r="D12" i="18"/>
  <c r="L33" i="11"/>
  <c r="L23" i="11"/>
  <c r="L38" i="11"/>
  <c r="M42" i="11"/>
  <c r="M23" i="11"/>
  <c r="G41" i="9"/>
  <c r="M33" i="11" l="1"/>
  <c r="O33" i="9"/>
  <c r="M51" i="11" s="1"/>
  <c r="M28" i="11"/>
  <c r="L34" i="11"/>
  <c r="L29" i="11"/>
  <c r="F12" i="18"/>
  <c r="L24" i="11"/>
  <c r="P32" i="9"/>
  <c r="L51" i="11"/>
  <c r="L47" i="11"/>
  <c r="L48" i="11" l="1"/>
  <c r="L52" i="11"/>
  <c r="H54" i="11"/>
  <c r="L64" i="11"/>
  <c r="M47" i="11"/>
  <c r="L65" i="11" l="1"/>
  <c r="F13" i="18"/>
  <c r="M24" i="11"/>
  <c r="M64" i="11"/>
  <c r="M43" i="11"/>
  <c r="M34" i="11"/>
  <c r="M29" i="11"/>
  <c r="M48" i="11" l="1"/>
  <c r="H55" i="11"/>
  <c r="M52" i="11"/>
  <c r="M65" i="11" l="1"/>
</calcChain>
</file>

<file path=xl/sharedStrings.xml><?xml version="1.0" encoding="utf-8"?>
<sst xmlns="http://schemas.openxmlformats.org/spreadsheetml/2006/main" count="369" uniqueCount="148">
  <si>
    <t>Loss Factor</t>
  </si>
  <si>
    <t>Total Billed</t>
  </si>
  <si>
    <t>Heating Degree Days</t>
  </si>
  <si>
    <t>Cooling Degree Days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</si>
  <si>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</si>
  <si>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</si>
  <si>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</si>
  <si>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</si>
  <si>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</si>
  <si>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</si>
  <si>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</si>
  <si>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>Usage Per Customer</t>
  </si>
  <si>
    <t>Check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</si>
  <si>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</si>
  <si>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</si>
  <si>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</si>
  <si>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</si>
  <si>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</si>
  <si>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</si>
  <si>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</si>
  <si>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</si>
  <si>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</si>
  <si>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</si>
  <si>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</si>
  <si>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</si>
  <si>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</si>
  <si>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</si>
  <si>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</si>
  <si>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</si>
  <si>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</si>
  <si>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</si>
  <si>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</si>
  <si>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</si>
  <si>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</si>
  <si>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</si>
  <si>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</si>
  <si>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</si>
  <si>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</si>
  <si>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</si>
  <si>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</si>
  <si>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</si>
  <si>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</si>
  <si>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</si>
  <si>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</si>
  <si>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</si>
  <si>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</si>
  <si>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</si>
  <si>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May</t>
  </si>
  <si>
    <t>kWh</t>
  </si>
  <si>
    <t>kW</t>
  </si>
  <si>
    <t xml:space="preserve">2016 Actual </t>
  </si>
  <si>
    <t xml:space="preserve">2017 Actual </t>
  </si>
  <si>
    <t>Power Purchased</t>
  </si>
  <si>
    <t>MAPE</t>
  </si>
  <si>
    <t>Average Number of Customer/Connections</t>
  </si>
  <si>
    <t xml:space="preserve">2018 Actual </t>
  </si>
  <si>
    <t xml:space="preserve">2019 Actual </t>
  </si>
  <si>
    <t xml:space="preserve">Total Billed </t>
  </si>
  <si>
    <t>Input data</t>
  </si>
  <si>
    <t>Residential</t>
  </si>
  <si>
    <t>Year</t>
  </si>
  <si>
    <t>Last 10 years</t>
  </si>
  <si>
    <t>Demand only</t>
  </si>
  <si>
    <t>2021 Actual</t>
  </si>
  <si>
    <t>2022 Actual</t>
  </si>
  <si>
    <t>Date</t>
  </si>
  <si>
    <t>General Service &lt; 50 kW</t>
  </si>
  <si>
    <t>General Service &gt; 50 to 4999 kW</t>
  </si>
  <si>
    <t xml:space="preserve">Sentinel </t>
  </si>
  <si>
    <t xml:space="preserve">Street Lighting </t>
  </si>
  <si>
    <t>USL</t>
  </si>
  <si>
    <t>other</t>
  </si>
  <si>
    <t>Consumption</t>
  </si>
  <si>
    <t>Wholesale</t>
  </si>
  <si>
    <t>Retail Consumption</t>
  </si>
  <si>
    <t>Wholesale Purchases</t>
  </si>
  <si>
    <t>Number of Customer/ Connection</t>
  </si>
  <si>
    <t>Customer/ Connection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</si>
  <si>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</si>
  <si>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</si>
  <si>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</si>
  <si>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</si>
  <si>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</si>
  <si>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</si>
  <si>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</si>
  <si>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</si>
  <si>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</si>
  <si>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</si>
  <si>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</si>
  <si>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10-year average</t>
  </si>
  <si>
    <t>Geomean Monthly Escalation</t>
  </si>
  <si>
    <t>Days in Month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</si>
  <si>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</si>
  <si>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</si>
  <si>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</si>
  <si>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</si>
  <si>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</si>
  <si>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</si>
  <si>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</si>
  <si>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</si>
  <si>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</si>
  <si>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</si>
  <si>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</si>
  <si>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Average Customer / Connection Count</t>
  </si>
  <si>
    <t>Month</t>
  </si>
  <si>
    <t>Number of Customers</t>
  </si>
  <si>
    <t>Weather Normal</t>
  </si>
  <si>
    <t xml:space="preserve">2020 Actual </t>
  </si>
  <si>
    <t>Average Monthly Growth (%)</t>
  </si>
  <si>
    <t>Annual</t>
  </si>
  <si>
    <t>Monthly</t>
  </si>
  <si>
    <t>2015 Actual</t>
  </si>
  <si>
    <t>2025 Test</t>
  </si>
  <si>
    <t>2014 Actual</t>
  </si>
  <si>
    <t>Large User</t>
  </si>
  <si>
    <t>Welland Hydro-Electric Weather Normal Load Forecast for 2025 Rate Application</t>
  </si>
  <si>
    <t>2023 Actual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</si>
  <si>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</si>
  <si>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</si>
  <si>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</si>
  <si>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</si>
  <si>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</si>
  <si>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</si>
  <si>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</si>
  <si>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Covid</t>
  </si>
  <si>
    <t>Welland Forge</t>
  </si>
  <si>
    <t>Innio</t>
  </si>
  <si>
    <t>LU</t>
  </si>
  <si>
    <t>Load transfer</t>
  </si>
  <si>
    <t>Weather Normalization Factor</t>
  </si>
  <si>
    <t>Not WN</t>
  </si>
  <si>
    <t>Residual Squared</t>
  </si>
  <si>
    <t>Difference of Residuals</t>
  </si>
  <si>
    <t>Difference of Residuals Squared</t>
  </si>
  <si>
    <t>Residual (kWh)</t>
  </si>
  <si>
    <t xml:space="preserve">% Residual </t>
  </si>
  <si>
    <t>% Residual (Abs)</t>
  </si>
  <si>
    <t>Sum of Squared Difference of Residuals</t>
  </si>
  <si>
    <t>Sum of Squared Residuals</t>
  </si>
  <si>
    <t>Durbin-Watson Calculation</t>
  </si>
  <si>
    <t>2024 Sept TYD</t>
  </si>
  <si>
    <t>Average Monthly Growth YTD</t>
  </si>
  <si>
    <t>Forecast 2024</t>
  </si>
  <si>
    <t>Variances (kWh)</t>
  </si>
  <si>
    <t>% Var</t>
  </si>
  <si>
    <t>% Var (Abs)</t>
  </si>
  <si>
    <t>2024 Bridge (Actuals to Sept)</t>
  </si>
  <si>
    <t>Mean Absolute Percentage Error (MAPE)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</si>
</sst>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%"/>
    <numFmt numFmtId="168" formatCode="#,##0;\(#,##0\)"/>
    <numFmt numFmtId="169" formatCode="0.0000"/>
    <numFmt numFmtId="170" formatCode="#,##0.0000"/>
    <numFmt numFmtId="171" formatCode="0.0000%"/>
    <numFmt numFmtId="172" formatCode="_(* #,##0_);_(* \(#,##0\);_(* &quot;-&quot;??_);_(@_)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&quot;£ &quot;#,##0.00;[Red]\-&quot;£ &quot;#,##0.00"/>
    <numFmt numFmtId="179" formatCode="_-* #,##0.00_-;\-* #,##0.00_-;_-* \-??_-;_-@_-"/>
    <numFmt numFmtId="190" formatCode="_(* #,##0.000_);_(* \(#,##0.000\);_(* &quot;-&quot;??_);_(@_)"/>
    <numFmt numFmtId="191" formatCode="_-* #,##0.000_-;\-* #,##0.000_-;_-* &quot;-&quot;???_-;_-@_-"/>
    <numFmt numFmtId="192" formatCode="_(* #,##0.0000_);_(* \(#,##0.0000\);_(* &quot;-&quot;??_);_(@_)"/>
    <numFmt numFmtId="193" formatCode="#,##0.000"/>
  </numFmts>
  <fonts count="8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Times New Roman"/>
      <family val="1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"/>
    </font>
    <font>
      <b/>
      <sz val="12"/>
      <color rgb="FFFFC000"/>
      <name val="Arial"/>
      <family val="2"/>
    </font>
    <font>
      <sz val="10"/>
      <name val="Mangal"/>
      <family val="2"/>
      <charset val="1"/>
    </font>
    <font>
      <u/>
      <sz val="10"/>
      <color indexed="12"/>
      <name val="Times New Roman"/>
      <family val="1"/>
    </font>
    <font>
      <b/>
      <u/>
      <sz val="10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</fonts>
  <fills count="7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4" tint="-0.249977111117893"/>
      </right>
      <top/>
      <bottom style="thin">
        <color indexed="64"/>
      </bottom>
      <diagonal/>
    </border>
    <border>
      <left style="medium">
        <color theme="4" tint="-0.249977111117893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655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9" fillId="5" borderId="1" applyNumberFormat="0" applyProtection="0">
      <alignment horizontal="left" vertical="center"/>
    </xf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1" fillId="0" borderId="0"/>
    <xf numFmtId="174" fontId="11" fillId="0" borderId="0"/>
    <xf numFmtId="173" fontId="11" fillId="0" borderId="0"/>
    <xf numFmtId="173" fontId="11" fillId="0" borderId="0"/>
    <xf numFmtId="173" fontId="11" fillId="0" borderId="0"/>
    <xf numFmtId="173" fontId="11" fillId="0" borderId="0"/>
    <xf numFmtId="175" fontId="11" fillId="0" borderId="0"/>
    <xf numFmtId="176" fontId="11" fillId="0" borderId="0"/>
    <xf numFmtId="175" fontId="11" fillId="0" borderId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13" borderId="0" applyNumberFormat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9" borderId="0" applyNumberFormat="0" applyBorder="0" applyAlignment="0" applyProtection="0"/>
    <xf numFmtId="0" fontId="35" fillId="33" borderId="0" applyNumberFormat="0" applyBorder="0" applyAlignment="0" applyProtection="0"/>
    <xf numFmtId="0" fontId="26" fillId="7" borderId="0" applyNumberFormat="0" applyBorder="0" applyAlignment="0" applyProtection="0"/>
    <xf numFmtId="0" fontId="30" fillId="10" borderId="10" applyNumberFormat="0" applyAlignment="0" applyProtection="0"/>
    <xf numFmtId="0" fontId="32" fillId="11" borderId="13" applyNumberFormat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25" fillId="6" borderId="0" applyNumberFormat="0" applyBorder="0" applyAlignment="0" applyProtection="0"/>
    <xf numFmtId="38" fontId="17" fillId="37" borderId="0" applyNumberFormat="0" applyBorder="0" applyAlignment="0" applyProtection="0"/>
    <xf numFmtId="38" fontId="17" fillId="37" borderId="0" applyNumberFormat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10" fontId="17" fillId="38" borderId="1" applyNumberFormat="0" applyBorder="0" applyAlignment="0" applyProtection="0"/>
    <xf numFmtId="10" fontId="17" fillId="38" borderId="1" applyNumberFormat="0" applyBorder="0" applyAlignment="0" applyProtection="0"/>
    <xf numFmtId="0" fontId="28" fillId="9" borderId="10" applyNumberFormat="0" applyAlignment="0" applyProtection="0"/>
    <xf numFmtId="0" fontId="31" fillId="0" borderId="12" applyNumberFormat="0" applyFill="0" applyAlignment="0" applyProtection="0"/>
    <xf numFmtId="177" fontId="11" fillId="0" borderId="0"/>
    <xf numFmtId="172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0" fontId="27" fillId="8" borderId="0" applyNumberFormat="0" applyBorder="0" applyAlignment="0" applyProtection="0"/>
    <xf numFmtId="178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12" borderId="14" applyNumberFormat="0" applyFont="0" applyAlignment="0" applyProtection="0"/>
    <xf numFmtId="0" fontId="29" fillId="10" borderId="11" applyNumberFormat="0" applyAlignment="0" applyProtection="0"/>
    <xf numFmtId="10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6" fillId="0" borderId="0" applyNumberFormat="0" applyBorder="0" applyAlignment="0"/>
    <xf numFmtId="0" fontId="37" fillId="0" borderId="0" applyNumberFormat="0" applyBorder="0" applyAlignment="0"/>
    <xf numFmtId="0" fontId="38" fillId="0" borderId="0" applyNumberFormat="0" applyBorder="0" applyAlignment="0"/>
    <xf numFmtId="0" fontId="39" fillId="0" borderId="16">
      <alignment horizontal="center" vertical="center"/>
    </xf>
    <xf numFmtId="0" fontId="21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166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42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6" fillId="0" borderId="0"/>
    <xf numFmtId="0" fontId="6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" borderId="1" applyNumberFormat="0" applyProtection="0">
      <alignment horizontal="left" vertical="center"/>
    </xf>
    <xf numFmtId="0" fontId="11" fillId="5" borderId="1" applyNumberFormat="0" applyProtection="0">
      <alignment horizontal="left" vertical="center"/>
    </xf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0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0" fillId="0" borderId="0"/>
    <xf numFmtId="166" fontId="40" fillId="0" borderId="0" applyFont="0" applyFill="0" applyBorder="0" applyAlignment="0" applyProtection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61" fillId="50" borderId="0" applyNumberFormat="0" applyBorder="0" applyAlignment="0" applyProtection="0"/>
    <xf numFmtId="0" fontId="61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51" borderId="0" applyNumberFormat="0" applyBorder="0" applyAlignment="0" applyProtection="0"/>
    <xf numFmtId="0" fontId="61" fillId="52" borderId="0" applyNumberFormat="0" applyBorder="0" applyAlignment="0" applyProtection="0"/>
    <xf numFmtId="0" fontId="61" fillId="53" borderId="0" applyNumberFormat="0" applyBorder="0" applyAlignment="0" applyProtection="0"/>
    <xf numFmtId="0" fontId="61" fillId="54" borderId="0" applyNumberFormat="0" applyBorder="0" applyAlignment="0" applyProtection="0"/>
    <xf numFmtId="0" fontId="61" fillId="55" borderId="0" applyNumberFormat="0" applyBorder="0" applyAlignment="0" applyProtection="0"/>
    <xf numFmtId="0" fontId="61" fillId="56" borderId="0" applyNumberFormat="0" applyBorder="0" applyAlignment="0" applyProtection="0"/>
    <xf numFmtId="0" fontId="63" fillId="58" borderId="17" applyNumberFormat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72" fillId="60" borderId="0" applyNumberFormat="0" applyBorder="0" applyAlignment="0" applyProtection="0"/>
    <xf numFmtId="0" fontId="74" fillId="0" borderId="0" applyNumberFormat="0" applyFill="0" applyBorder="0" applyAlignment="0" applyProtection="0"/>
    <xf numFmtId="0" fontId="75" fillId="0" borderId="25" applyNumberFormat="0" applyFill="0" applyAlignment="0" applyProtection="0"/>
    <xf numFmtId="0" fontId="76" fillId="0" borderId="0" applyNumberFormat="0" applyFill="0" applyBorder="0" applyAlignment="0" applyProtection="0"/>
    <xf numFmtId="0" fontId="11" fillId="0" borderId="0"/>
    <xf numFmtId="0" fontId="23" fillId="0" borderId="8" applyNumberFormat="0" applyFill="0" applyAlignment="0" applyProtection="0"/>
    <xf numFmtId="0" fontId="22" fillId="0" borderId="7" applyNumberFormat="0" applyFill="0" applyAlignment="0" applyProtection="0"/>
    <xf numFmtId="0" fontId="6" fillId="0" borderId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10" applyNumberFormat="0" applyAlignment="0" applyProtection="0"/>
    <xf numFmtId="0" fontId="29" fillId="10" borderId="11" applyNumberFormat="0" applyAlignment="0" applyProtection="0"/>
    <xf numFmtId="0" fontId="30" fillId="10" borderId="10" applyNumberFormat="0" applyAlignment="0" applyProtection="0"/>
    <xf numFmtId="0" fontId="31" fillId="0" borderId="12" applyNumberFormat="0" applyFill="0" applyAlignment="0" applyProtection="0"/>
    <xf numFmtId="0" fontId="32" fillId="11" borderId="13" applyNumberFormat="0" applyAlignment="0" applyProtection="0"/>
    <xf numFmtId="0" fontId="33" fillId="0" borderId="0" applyNumberFormat="0" applyFill="0" applyBorder="0" applyAlignment="0" applyProtection="0"/>
    <xf numFmtId="0" fontId="6" fillId="12" borderId="14" applyNumberFormat="0" applyFont="0" applyAlignment="0" applyProtection="0"/>
    <xf numFmtId="0" fontId="34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3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5" fillId="36" borderId="0" applyNumberFormat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6" fillId="0" borderId="0"/>
    <xf numFmtId="0" fontId="6" fillId="0" borderId="0"/>
    <xf numFmtId="0" fontId="73" fillId="58" borderId="24" applyNumberFormat="0" applyAlignment="0" applyProtection="0"/>
    <xf numFmtId="0" fontId="64" fillId="59" borderId="18" applyNumberFormat="0" applyAlignment="0" applyProtection="0"/>
    <xf numFmtId="0" fontId="70" fillId="45" borderId="17" applyNumberFormat="0" applyAlignment="0" applyProtection="0"/>
    <xf numFmtId="0" fontId="11" fillId="61" borderId="23" applyNumberFormat="0" applyFont="0" applyAlignment="0" applyProtection="0"/>
    <xf numFmtId="0" fontId="66" fillId="42" borderId="0" applyNumberFormat="0" applyBorder="0" applyAlignment="0" applyProtection="0"/>
    <xf numFmtId="0" fontId="62" fillId="41" borderId="0" applyNumberFormat="0" applyBorder="0" applyAlignment="0" applyProtection="0"/>
    <xf numFmtId="0" fontId="69" fillId="0" borderId="21" applyNumberFormat="0" applyFill="0" applyAlignment="0" applyProtection="0"/>
    <xf numFmtId="0" fontId="68" fillId="0" borderId="20" applyNumberFormat="0" applyFill="0" applyAlignment="0" applyProtection="0"/>
    <xf numFmtId="0" fontId="65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59" fillId="0" borderId="0" applyNumberForma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1" fillId="5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1" fillId="57" borderId="0" applyNumberFormat="0" applyBorder="0" applyAlignment="0" applyProtection="0"/>
    <xf numFmtId="0" fontId="61" fillId="51" borderId="0" applyNumberFormat="0" applyBorder="0" applyAlignment="0" applyProtection="0"/>
    <xf numFmtId="166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40" fillId="0" borderId="0"/>
    <xf numFmtId="0" fontId="71" fillId="0" borderId="22" applyNumberFormat="0" applyFill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9" fillId="0" borderId="0" applyNumberForma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0" fontId="70" fillId="45" borderId="17" applyNumberFormat="0" applyAlignment="0" applyProtection="0"/>
    <xf numFmtId="0" fontId="70" fillId="45" borderId="17" applyNumberFormat="0" applyAlignment="0" applyProtection="0"/>
    <xf numFmtId="0" fontId="70" fillId="45" borderId="17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0" fillId="45" borderId="17" applyNumberFormat="0" applyAlignment="0" applyProtection="0"/>
    <xf numFmtId="0" fontId="11" fillId="0" borderId="0"/>
    <xf numFmtId="0" fontId="40" fillId="0" borderId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6" fillId="0" borderId="0"/>
    <xf numFmtId="0" fontId="11" fillId="0" borderId="0"/>
    <xf numFmtId="9" fontId="40" fillId="0" borderId="0" applyFont="0" applyFill="0" applyBorder="0" applyAlignment="0" applyProtection="0"/>
    <xf numFmtId="0" fontId="40" fillId="0" borderId="0"/>
    <xf numFmtId="9" fontId="11" fillId="0" borderId="0" applyFont="0" applyFill="0" applyBorder="0" applyAlignment="0" applyProtection="0"/>
    <xf numFmtId="0" fontId="11" fillId="0" borderId="0"/>
    <xf numFmtId="9" fontId="40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6" fillId="0" borderId="0"/>
    <xf numFmtId="165" fontId="4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40" fillId="0" borderId="0"/>
    <xf numFmtId="166" fontId="40" fillId="0" borderId="0" applyFont="0" applyFill="0" applyBorder="0" applyAlignment="0" applyProtection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6" fillId="0" borderId="0"/>
    <xf numFmtId="0" fontId="59" fillId="0" borderId="0" applyNumberFormat="0" applyFill="0" applyBorder="0" applyAlignment="0" applyProtection="0"/>
    <xf numFmtId="0" fontId="77" fillId="0" borderId="0"/>
    <xf numFmtId="0" fontId="5" fillId="0" borderId="0"/>
    <xf numFmtId="0" fontId="79" fillId="0" borderId="0"/>
    <xf numFmtId="179" fontId="81" fillId="0" borderId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5" fillId="0" borderId="0"/>
    <xf numFmtId="0" fontId="4" fillId="0" borderId="0"/>
    <xf numFmtId="0" fontId="11" fillId="0" borderId="0"/>
    <xf numFmtId="0" fontId="11" fillId="0" borderId="0"/>
    <xf numFmtId="0" fontId="75" fillId="0" borderId="55" applyNumberFormat="0" applyFill="0" applyAlignment="0" applyProtection="0"/>
    <xf numFmtId="0" fontId="63" fillId="58" borderId="47" applyNumberFormat="0" applyAlignment="0" applyProtection="0"/>
    <xf numFmtId="0" fontId="73" fillId="58" borderId="54" applyNumberFormat="0" applyAlignment="0" applyProtection="0"/>
    <xf numFmtId="0" fontId="70" fillId="45" borderId="52" applyNumberFormat="0" applyAlignment="0" applyProtection="0"/>
    <xf numFmtId="0" fontId="63" fillId="58" borderId="52" applyNumberFormat="0" applyAlignment="0" applyProtection="0"/>
    <xf numFmtId="0" fontId="70" fillId="45" borderId="47" applyNumberFormat="0" applyAlignment="0" applyProtection="0"/>
    <xf numFmtId="0" fontId="11" fillId="61" borderId="48" applyNumberFormat="0" applyFont="0" applyAlignment="0" applyProtection="0"/>
    <xf numFmtId="0" fontId="73" fillId="58" borderId="49" applyNumberFormat="0" applyAlignment="0" applyProtection="0"/>
    <xf numFmtId="0" fontId="75" fillId="0" borderId="50" applyNumberFormat="0" applyFill="0" applyAlignment="0" applyProtection="0"/>
    <xf numFmtId="0" fontId="11" fillId="0" borderId="0"/>
    <xf numFmtId="0" fontId="3" fillId="0" borderId="0"/>
    <xf numFmtId="0" fontId="70" fillId="45" borderId="52" applyNumberFormat="0" applyAlignment="0" applyProtection="0"/>
    <xf numFmtId="0" fontId="11" fillId="61" borderId="53" applyNumberFormat="0" applyFont="0" applyAlignment="0" applyProtection="0"/>
    <xf numFmtId="0" fontId="3" fillId="12" borderId="1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0" fillId="45" borderId="52" applyNumberFormat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10" fontId="17" fillId="38" borderId="51" applyNumberFormat="0" applyBorder="0" applyAlignment="0" applyProtection="0"/>
    <xf numFmtId="0" fontId="11" fillId="0" borderId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61" borderId="48" applyNumberFormat="0" applyFont="0" applyAlignment="0" applyProtection="0"/>
    <xf numFmtId="0" fontId="11" fillId="0" borderId="0"/>
    <xf numFmtId="0" fontId="3" fillId="0" borderId="0"/>
    <xf numFmtId="0" fontId="3" fillId="12" borderId="1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1" fillId="0" borderId="0"/>
    <xf numFmtId="0" fontId="11" fillId="0" borderId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12" borderId="1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0" fillId="45" borderId="52" applyNumberFormat="0" applyAlignment="0" applyProtection="0"/>
    <xf numFmtId="10" fontId="17" fillId="38" borderId="46" applyNumberFormat="0" applyBorder="0" applyAlignment="0" applyProtection="0"/>
    <xf numFmtId="0" fontId="11" fillId="0" borderId="0"/>
    <xf numFmtId="0" fontId="70" fillId="45" borderId="52" applyNumberFormat="0" applyAlignment="0" applyProtection="0"/>
    <xf numFmtId="0" fontId="11" fillId="61" borderId="53" applyNumberFormat="0" applyFont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221"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2" fillId="0" borderId="0" xfId="0" applyNumberFormat="1" applyFont="1" applyAlignment="1">
      <alignment horizontal="center" wrapText="1"/>
    </xf>
    <xf numFmtId="3" fontId="13" fillId="0" borderId="0" xfId="0" applyNumberFormat="1" applyFont="1" applyAlignment="1">
      <alignment horizontal="center" wrapText="1"/>
    </xf>
    <xf numFmtId="37" fontId="12" fillId="0" borderId="0" xfId="0" applyNumberFormat="1" applyFont="1" applyAlignment="1">
      <alignment horizontal="center"/>
    </xf>
    <xf numFmtId="3" fontId="11" fillId="0" borderId="0" xfId="1" applyNumberFormat="1" applyAlignment="1">
      <alignment horizontal="center"/>
    </xf>
    <xf numFmtId="167" fontId="12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4" fillId="0" borderId="0" xfId="0" applyFont="1"/>
    <xf numFmtId="3" fontId="0" fillId="2" borderId="0" xfId="0" applyNumberFormat="1" applyFill="1" applyAlignment="1">
      <alignment horizontal="center"/>
    </xf>
    <xf numFmtId="17" fontId="14" fillId="0" borderId="0" xfId="0" applyNumberFormat="1" applyFont="1"/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68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3" fontId="14" fillId="0" borderId="0" xfId="0" applyNumberFormat="1" applyFont="1"/>
    <xf numFmtId="0" fontId="15" fillId="0" borderId="0" xfId="0" applyFont="1"/>
    <xf numFmtId="167" fontId="0" fillId="0" borderId="0" xfId="0" applyNumberFormat="1" applyAlignment="1">
      <alignment horizontal="center" wrapText="1"/>
    </xf>
    <xf numFmtId="0" fontId="14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172" fontId="0" fillId="0" borderId="0" xfId="1" applyNumberFormat="1" applyFont="1" applyAlignment="1">
      <alignment horizontal="center"/>
    </xf>
    <xf numFmtId="3" fontId="0" fillId="0" borderId="0" xfId="0" applyNumberFormat="1"/>
    <xf numFmtId="172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3" fontId="12" fillId="4" borderId="1" xfId="0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38" fontId="0" fillId="0" borderId="0" xfId="0" applyNumberFormat="1" applyAlignment="1">
      <alignment horizontal="center"/>
    </xf>
    <xf numFmtId="1" fontId="0" fillId="0" borderId="0" xfId="0" applyNumberFormat="1"/>
    <xf numFmtId="3" fontId="0" fillId="0" borderId="1" xfId="0" applyNumberFormat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9" fontId="0" fillId="4" borderId="0" xfId="0" applyNumberFormat="1" applyFill="1" applyAlignment="1">
      <alignment horizontal="center"/>
    </xf>
    <xf numFmtId="0" fontId="11" fillId="0" borderId="0" xfId="0" applyFont="1" applyAlignment="1">
      <alignment horizontal="center"/>
    </xf>
    <xf numFmtId="171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70" fontId="0" fillId="39" borderId="0" xfId="0" applyNumberFormat="1" applyFill="1" applyAlignment="1">
      <alignment horizontal="center"/>
    </xf>
    <xf numFmtId="12" fontId="0" fillId="0" borderId="0" xfId="0" applyNumberFormat="1"/>
    <xf numFmtId="12" fontId="12" fillId="0" borderId="0" xfId="0" applyNumberFormat="1" applyFont="1"/>
    <xf numFmtId="3" fontId="11" fillId="0" borderId="0" xfId="0" applyNumberFormat="1" applyFont="1" applyAlignment="1">
      <alignment horizontal="center"/>
    </xf>
    <xf numFmtId="10" fontId="0" fillId="3" borderId="0" xfId="0" applyNumberFormat="1" applyFill="1" applyAlignment="1">
      <alignment horizontal="center"/>
    </xf>
    <xf numFmtId="0" fontId="11" fillId="0" borderId="0" xfId="736" applyFont="1"/>
    <xf numFmtId="0" fontId="11" fillId="0" borderId="0" xfId="736" applyFont="1" applyAlignment="1">
      <alignment horizontal="center" vertical="center"/>
    </xf>
    <xf numFmtId="0" fontId="11" fillId="0" borderId="0" xfId="736" applyFont="1" applyAlignment="1">
      <alignment vertical="center"/>
    </xf>
    <xf numFmtId="0" fontId="11" fillId="0" borderId="0" xfId="736" applyFont="1" applyAlignment="1">
      <alignment horizontal="center"/>
    </xf>
    <xf numFmtId="0" fontId="11" fillId="0" borderId="0" xfId="1526" applyFont="1"/>
    <xf numFmtId="0" fontId="78" fillId="39" borderId="1" xfId="1524" applyFont="1" applyFill="1" applyBorder="1" applyAlignment="1">
      <alignment horizontal="center" vertical="center" wrapText="1"/>
    </xf>
    <xf numFmtId="0" fontId="80" fillId="0" borderId="0" xfId="1526" applyFont="1" applyAlignment="1">
      <alignment horizontal="left" vertical="center"/>
    </xf>
    <xf numFmtId="0" fontId="78" fillId="0" borderId="0" xfId="1524" applyFont="1" applyAlignment="1">
      <alignment horizontal="center" vertical="center" wrapText="1"/>
    </xf>
    <xf numFmtId="0" fontId="11" fillId="0" borderId="1" xfId="1526" applyFont="1" applyBorder="1" applyAlignment="1">
      <alignment horizontal="center"/>
    </xf>
    <xf numFmtId="0" fontId="11" fillId="0" borderId="33" xfId="1526" applyFont="1" applyBorder="1" applyAlignment="1">
      <alignment horizontal="center"/>
    </xf>
    <xf numFmtId="1" fontId="11" fillId="0" borderId="34" xfId="1526" applyNumberFormat="1" applyFont="1" applyBorder="1" applyAlignment="1">
      <alignment horizontal="center"/>
    </xf>
    <xf numFmtId="0" fontId="11" fillId="0" borderId="35" xfId="1526" applyFont="1" applyBorder="1" applyAlignment="1">
      <alignment horizontal="left"/>
    </xf>
    <xf numFmtId="2" fontId="18" fillId="0" borderId="34" xfId="1526" applyNumberFormat="1" applyFont="1" applyBorder="1" applyAlignment="1">
      <alignment horizontal="center"/>
    </xf>
    <xf numFmtId="0" fontId="11" fillId="0" borderId="33" xfId="1526" applyFont="1" applyBorder="1" applyAlignment="1">
      <alignment horizontal="left"/>
    </xf>
    <xf numFmtId="0" fontId="11" fillId="0" borderId="36" xfId="1526" applyFont="1" applyBorder="1" applyAlignment="1">
      <alignment horizontal="center"/>
    </xf>
    <xf numFmtId="2" fontId="18" fillId="0" borderId="37" xfId="1526" applyNumberFormat="1" applyFont="1" applyBorder="1" applyAlignment="1">
      <alignment horizontal="center"/>
    </xf>
    <xf numFmtId="0" fontId="11" fillId="0" borderId="34" xfId="1526" applyFont="1" applyBorder="1" applyAlignment="1">
      <alignment horizontal="center"/>
    </xf>
    <xf numFmtId="2" fontId="18" fillId="0" borderId="33" xfId="1526" applyNumberFormat="1" applyFont="1" applyBorder="1" applyAlignment="1">
      <alignment horizontal="center"/>
    </xf>
    <xf numFmtId="0" fontId="11" fillId="0" borderId="6" xfId="1526" applyFont="1" applyBorder="1" applyAlignment="1">
      <alignment horizontal="left"/>
    </xf>
    <xf numFmtId="2" fontId="18" fillId="0" borderId="38" xfId="1526" applyNumberFormat="1" applyFont="1" applyBorder="1" applyAlignment="1">
      <alignment horizontal="center"/>
    </xf>
    <xf numFmtId="0" fontId="11" fillId="0" borderId="34" xfId="1526" applyFont="1" applyBorder="1" applyAlignment="1">
      <alignment horizontal="left"/>
    </xf>
    <xf numFmtId="0" fontId="14" fillId="0" borderId="1" xfId="1526" applyFont="1" applyBorder="1" applyAlignment="1">
      <alignment horizontal="center"/>
    </xf>
    <xf numFmtId="17" fontId="11" fillId="0" borderId="1" xfId="1526" applyNumberFormat="1" applyFont="1" applyBorder="1" applyAlignment="1">
      <alignment horizontal="left"/>
    </xf>
    <xf numFmtId="0" fontId="11" fillId="0" borderId="0" xfId="1526" applyFont="1" applyAlignment="1">
      <alignment horizontal="center"/>
    </xf>
    <xf numFmtId="1" fontId="11" fillId="63" borderId="39" xfId="1527" applyNumberFormat="1" applyFont="1" applyFill="1" applyBorder="1" applyAlignment="1">
      <alignment horizontal="center"/>
    </xf>
    <xf numFmtId="1" fontId="11" fillId="63" borderId="5" xfId="1527" applyNumberFormat="1" applyFont="1" applyFill="1" applyBorder="1" applyAlignment="1">
      <alignment horizontal="center"/>
    </xf>
    <xf numFmtId="1" fontId="11" fillId="63" borderId="40" xfId="1526" applyNumberFormat="1" applyFont="1" applyFill="1" applyBorder="1" applyAlignment="1">
      <alignment horizontal="center"/>
    </xf>
    <xf numFmtId="1" fontId="11" fillId="63" borderId="39" xfId="1526" applyNumberFormat="1" applyFont="1" applyFill="1" applyBorder="1" applyAlignment="1">
      <alignment horizontal="center"/>
    </xf>
    <xf numFmtId="1" fontId="11" fillId="63" borderId="1" xfId="1526" applyNumberFormat="1" applyFont="1" applyFill="1" applyBorder="1" applyAlignment="1">
      <alignment horizontal="center"/>
    </xf>
    <xf numFmtId="1" fontId="11" fillId="63" borderId="1" xfId="1527" applyNumberFormat="1" applyFont="1" applyFill="1" applyBorder="1" applyAlignment="1">
      <alignment horizontal="center"/>
    </xf>
    <xf numFmtId="1" fontId="11" fillId="63" borderId="4" xfId="1526" applyNumberFormat="1" applyFont="1" applyFill="1" applyBorder="1" applyAlignment="1">
      <alignment horizontal="center"/>
    </xf>
    <xf numFmtId="17" fontId="11" fillId="0" borderId="0" xfId="1526" applyNumberFormat="1" applyFont="1" applyAlignment="1">
      <alignment horizontal="left"/>
    </xf>
    <xf numFmtId="1" fontId="11" fillId="64" borderId="39" xfId="1527" applyNumberFormat="1" applyFont="1" applyFill="1" applyBorder="1" applyAlignment="1">
      <alignment horizontal="center"/>
    </xf>
    <xf numFmtId="1" fontId="11" fillId="64" borderId="5" xfId="1527" applyNumberFormat="1" applyFont="1" applyFill="1" applyBorder="1" applyAlignment="1">
      <alignment horizontal="center"/>
    </xf>
    <xf numFmtId="1" fontId="11" fillId="64" borderId="40" xfId="1526" applyNumberFormat="1" applyFont="1" applyFill="1" applyBorder="1" applyAlignment="1">
      <alignment horizontal="center"/>
    </xf>
    <xf numFmtId="1" fontId="11" fillId="64" borderId="39" xfId="1526" applyNumberFormat="1" applyFont="1" applyFill="1" applyBorder="1" applyAlignment="1">
      <alignment horizontal="center"/>
    </xf>
    <xf numFmtId="1" fontId="11" fillId="64" borderId="1" xfId="1526" applyNumberFormat="1" applyFont="1" applyFill="1" applyBorder="1" applyAlignment="1">
      <alignment horizontal="center"/>
    </xf>
    <xf numFmtId="1" fontId="11" fillId="64" borderId="1" xfId="1527" applyNumberFormat="1" applyFont="1" applyFill="1" applyBorder="1" applyAlignment="1">
      <alignment horizontal="center"/>
    </xf>
    <xf numFmtId="1" fontId="11" fillId="64" borderId="4" xfId="1526" applyNumberFormat="1" applyFont="1" applyFill="1" applyBorder="1" applyAlignment="1">
      <alignment horizontal="center"/>
    </xf>
    <xf numFmtId="1" fontId="11" fillId="64" borderId="29" xfId="1527" applyNumberFormat="1" applyFont="1" applyFill="1" applyBorder="1" applyAlignment="1">
      <alignment horizontal="center"/>
    </xf>
    <xf numFmtId="1" fontId="11" fillId="64" borderId="31" xfId="1527" applyNumberFormat="1" applyFont="1" applyFill="1" applyBorder="1" applyAlignment="1">
      <alignment horizontal="center"/>
    </xf>
    <xf numFmtId="1" fontId="11" fillId="64" borderId="30" xfId="1526" applyNumberFormat="1" applyFont="1" applyFill="1" applyBorder="1" applyAlignment="1">
      <alignment horizontal="center"/>
    </xf>
    <xf numFmtId="1" fontId="11" fillId="64" borderId="29" xfId="1526" applyNumberFormat="1" applyFont="1" applyFill="1" applyBorder="1" applyAlignment="1">
      <alignment horizontal="center"/>
    </xf>
    <xf numFmtId="1" fontId="11" fillId="64" borderId="32" xfId="1526" applyNumberFormat="1" applyFont="1" applyFill="1" applyBorder="1" applyAlignment="1">
      <alignment horizontal="center"/>
    </xf>
    <xf numFmtId="1" fontId="11" fillId="64" borderId="32" xfId="1527" applyNumberFormat="1" applyFont="1" applyFill="1" applyBorder="1" applyAlignment="1">
      <alignment horizontal="center"/>
    </xf>
    <xf numFmtId="1" fontId="11" fillId="64" borderId="41" xfId="1526" applyNumberFormat="1" applyFont="1" applyFill="1" applyBorder="1" applyAlignment="1">
      <alignment horizontal="center"/>
    </xf>
    <xf numFmtId="1" fontId="11" fillId="0" borderId="0" xfId="1526" applyNumberFormat="1" applyFont="1" applyAlignment="1">
      <alignment horizontal="center"/>
    </xf>
    <xf numFmtId="1" fontId="11" fillId="0" borderId="0" xfId="1526" applyNumberFormat="1" applyFont="1"/>
    <xf numFmtId="0" fontId="77" fillId="0" borderId="0" xfId="1524"/>
    <xf numFmtId="0" fontId="13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wrapText="1"/>
    </xf>
    <xf numFmtId="0" fontId="11" fillId="4" borderId="0" xfId="0" applyFont="1" applyFill="1" applyAlignment="1">
      <alignment horizontal="center"/>
    </xf>
    <xf numFmtId="0" fontId="11" fillId="65" borderId="0" xfId="0" quotePrefix="1" applyFont="1" applyFill="1" applyAlignment="1">
      <alignment horizontal="center"/>
    </xf>
    <xf numFmtId="0" fontId="11" fillId="4" borderId="0" xfId="0" applyFont="1" applyFill="1" applyAlignment="1">
      <alignment horizontal="left"/>
    </xf>
    <xf numFmtId="0" fontId="11" fillId="65" borderId="0" xfId="0" applyFont="1" applyFill="1" applyAlignment="1">
      <alignment horizontal="left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right"/>
    </xf>
    <xf numFmtId="10" fontId="0" fillId="0" borderId="0" xfId="2" applyNumberFormat="1" applyFont="1" applyAlignment="1">
      <alignment horizontal="center" vertical="center"/>
    </xf>
    <xf numFmtId="0" fontId="11" fillId="0" borderId="38" xfId="0" applyFont="1" applyBorder="1" applyAlignment="1">
      <alignment horizontal="right"/>
    </xf>
    <xf numFmtId="3" fontId="0" fillId="0" borderId="38" xfId="0" applyNumberFormat="1" applyBorder="1" applyAlignment="1">
      <alignment horizontal="center" vertical="center"/>
    </xf>
    <xf numFmtId="0" fontId="78" fillId="67" borderId="6" xfId="1524" applyFont="1" applyFill="1" applyBorder="1" applyAlignment="1">
      <alignment horizontal="center" vertical="center" wrapText="1"/>
    </xf>
    <xf numFmtId="1" fontId="11" fillId="62" borderId="1" xfId="736" applyNumberFormat="1" applyFont="1" applyFill="1" applyBorder="1" applyAlignment="1">
      <alignment horizontal="center"/>
    </xf>
    <xf numFmtId="1" fontId="11" fillId="62" borderId="1" xfId="736" applyNumberFormat="1" applyFont="1" applyFill="1" applyBorder="1" applyAlignment="1">
      <alignment horizontal="center" wrapText="1"/>
    </xf>
    <xf numFmtId="0" fontId="14" fillId="68" borderId="1" xfId="736" applyFont="1" applyFill="1" applyBorder="1" applyAlignment="1">
      <alignment horizontal="center"/>
    </xf>
    <xf numFmtId="0" fontId="78" fillId="39" borderId="6" xfId="1524" applyFont="1" applyFill="1" applyBorder="1" applyAlignment="1">
      <alignment horizontal="center" vertical="center" wrapText="1"/>
    </xf>
    <xf numFmtId="0" fontId="78" fillId="67" borderId="33" xfId="1524" applyFont="1" applyFill="1" applyBorder="1" applyAlignment="1">
      <alignment horizontal="center" vertical="center" wrapText="1"/>
    </xf>
    <xf numFmtId="1" fontId="78" fillId="67" borderId="34" xfId="1524" applyNumberFormat="1" applyFont="1" applyFill="1" applyBorder="1" applyAlignment="1">
      <alignment horizontal="center" vertical="center" wrapText="1"/>
    </xf>
    <xf numFmtId="0" fontId="78" fillId="67" borderId="29" xfId="1524" applyFont="1" applyFill="1" applyBorder="1" applyAlignment="1">
      <alignment horizontal="center" vertical="center" wrapText="1"/>
    </xf>
    <xf numFmtId="1" fontId="78" fillId="67" borderId="30" xfId="1524" applyNumberFormat="1" applyFont="1" applyFill="1" applyBorder="1" applyAlignment="1">
      <alignment horizontal="center" vertical="center" wrapText="1"/>
    </xf>
    <xf numFmtId="0" fontId="78" fillId="67" borderId="31" xfId="1524" applyFont="1" applyFill="1" applyBorder="1" applyAlignment="1">
      <alignment horizontal="center" vertical="center" wrapText="1"/>
    </xf>
    <xf numFmtId="0" fontId="78" fillId="67" borderId="30" xfId="1524" applyFont="1" applyFill="1" applyBorder="1" applyAlignment="1">
      <alignment horizontal="center" vertical="center" wrapText="1"/>
    </xf>
    <xf numFmtId="0" fontId="78" fillId="67" borderId="32" xfId="1524" applyFont="1" applyFill="1" applyBorder="1" applyAlignment="1">
      <alignment horizontal="center" vertical="center" wrapText="1"/>
    </xf>
    <xf numFmtId="0" fontId="78" fillId="67" borderId="26" xfId="1524" applyFont="1" applyFill="1" applyBorder="1" applyAlignment="1">
      <alignment horizontal="center" vertical="center" wrapText="1"/>
    </xf>
    <xf numFmtId="0" fontId="78" fillId="67" borderId="28" xfId="1524" applyFont="1" applyFill="1" applyBorder="1" applyAlignment="1">
      <alignment horizontal="center" vertical="center" wrapText="1"/>
    </xf>
    <xf numFmtId="0" fontId="78" fillId="67" borderId="27" xfId="1524" applyFont="1" applyFill="1" applyBorder="1" applyAlignment="1">
      <alignment horizontal="center" vertical="center" wrapText="1"/>
    </xf>
    <xf numFmtId="174" fontId="0" fillId="0" borderId="0" xfId="0" applyNumberFormat="1" applyAlignment="1">
      <alignment horizontal="center"/>
    </xf>
    <xf numFmtId="1" fontId="11" fillId="0" borderId="0" xfId="736" applyNumberFormat="1" applyFont="1"/>
    <xf numFmtId="172" fontId="0" fillId="0" borderId="0" xfId="1" applyNumberFormat="1" applyFont="1"/>
    <xf numFmtId="3" fontId="0" fillId="69" borderId="0" xfId="0" applyNumberFormat="1" applyFill="1" applyAlignment="1">
      <alignment horizontal="center"/>
    </xf>
    <xf numFmtId="3" fontId="12" fillId="69" borderId="1" xfId="0" applyNumberFormat="1" applyFont="1" applyFill="1" applyBorder="1" applyAlignment="1">
      <alignment horizontal="center"/>
    </xf>
    <xf numFmtId="0" fontId="84" fillId="66" borderId="1" xfId="1524" applyFont="1" applyFill="1" applyBorder="1" applyAlignment="1">
      <alignment vertical="center"/>
    </xf>
    <xf numFmtId="172" fontId="11" fillId="0" borderId="0" xfId="1" applyNumberFormat="1" applyFont="1"/>
    <xf numFmtId="172" fontId="43" fillId="0" borderId="0" xfId="1" applyNumberFormat="1" applyFont="1" applyAlignment="1">
      <alignment horizontal="center"/>
    </xf>
    <xf numFmtId="172" fontId="11" fillId="0" borderId="0" xfId="1" applyNumberFormat="1" applyFont="1" applyAlignment="1">
      <alignment horizontal="center"/>
    </xf>
    <xf numFmtId="172" fontId="77" fillId="0" borderId="0" xfId="1" applyNumberFormat="1" applyFont="1"/>
    <xf numFmtId="171" fontId="11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38" fontId="1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3" fillId="0" borderId="0" xfId="0" applyFont="1" applyAlignment="1">
      <alignment horizontal="center" wrapText="1"/>
    </xf>
    <xf numFmtId="3" fontId="13" fillId="3" borderId="0" xfId="0" applyNumberFormat="1" applyFont="1" applyFill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43" fontId="12" fillId="0" borderId="0" xfId="1" applyFont="1" applyAlignment="1">
      <alignment horizontal="center"/>
    </xf>
    <xf numFmtId="167" fontId="11" fillId="0" borderId="0" xfId="0" applyNumberFormat="1" applyFont="1" applyAlignment="1">
      <alignment horizontal="center"/>
    </xf>
    <xf numFmtId="0" fontId="83" fillId="0" borderId="0" xfId="0" applyFont="1" applyAlignment="1">
      <alignment horizontal="left"/>
    </xf>
    <xf numFmtId="43" fontId="0" fillId="0" borderId="0" xfId="1" applyFont="1"/>
    <xf numFmtId="190" fontId="0" fillId="0" borderId="0" xfId="1" applyNumberFormat="1" applyFont="1" applyAlignment="1">
      <alignment horizontal="center"/>
    </xf>
    <xf numFmtId="191" fontId="0" fillId="0" borderId="0" xfId="0" applyNumberFormat="1"/>
    <xf numFmtId="1" fontId="0" fillId="0" borderId="0" xfId="0" applyNumberFormat="1" applyAlignment="1">
      <alignment horizontal="center"/>
    </xf>
    <xf numFmtId="0" fontId="0" fillId="0" borderId="57" xfId="0" applyBorder="1" applyAlignment="1">
      <alignment horizontal="center" vertical="center"/>
    </xf>
    <xf numFmtId="3" fontId="13" fillId="0" borderId="57" xfId="0" applyNumberFormat="1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12" fontId="13" fillId="0" borderId="57" xfId="0" applyNumberFormat="1" applyFont="1" applyBorder="1" applyAlignment="1">
      <alignment horizontal="center" vertical="center" wrapText="1"/>
    </xf>
    <xf numFmtId="12" fontId="13" fillId="70" borderId="57" xfId="0" applyNumberFormat="1" applyFont="1" applyFill="1" applyBorder="1" applyAlignment="1">
      <alignment horizontal="center" vertical="center" wrapText="1"/>
    </xf>
    <xf numFmtId="0" fontId="13" fillId="70" borderId="57" xfId="0" applyFont="1" applyFill="1" applyBorder="1" applyAlignment="1">
      <alignment horizontal="center" vertical="center" wrapText="1"/>
    </xf>
    <xf numFmtId="17" fontId="0" fillId="0" borderId="57" xfId="0" applyNumberFormat="1" applyBorder="1" applyAlignment="1">
      <alignment horizontal="left"/>
    </xf>
    <xf numFmtId="37" fontId="12" fillId="0" borderId="57" xfId="0" applyNumberFormat="1" applyFont="1" applyBorder="1" applyAlignment="1">
      <alignment horizontal="center"/>
    </xf>
    <xf numFmtId="0" fontId="0" fillId="0" borderId="57" xfId="0" applyBorder="1"/>
    <xf numFmtId="37" fontId="12" fillId="62" borderId="57" xfId="0" applyNumberFormat="1" applyFont="1" applyFill="1" applyBorder="1" applyAlignment="1">
      <alignment horizontal="center"/>
    </xf>
    <xf numFmtId="37" fontId="12" fillId="65" borderId="57" xfId="0" applyNumberFormat="1" applyFont="1" applyFill="1" applyBorder="1" applyAlignment="1">
      <alignment horizontal="center"/>
    </xf>
    <xf numFmtId="12" fontId="12" fillId="62" borderId="57" xfId="0" applyNumberFormat="1" applyFont="1" applyFill="1" applyBorder="1" applyAlignment="1">
      <alignment horizontal="center" vertical="center"/>
    </xf>
    <xf numFmtId="173" fontId="0" fillId="0" borderId="0" xfId="1" applyNumberFormat="1" applyFont="1"/>
    <xf numFmtId="173" fontId="0" fillId="0" borderId="0" xfId="1" applyNumberFormat="1" applyFont="1" applyAlignment="1">
      <alignment horizontal="center"/>
    </xf>
    <xf numFmtId="173" fontId="0" fillId="0" borderId="0" xfId="1" applyNumberFormat="1" applyFont="1" applyAlignment="1">
      <alignment horizontal="center" wrapText="1"/>
    </xf>
    <xf numFmtId="173" fontId="0" fillId="0" borderId="0" xfId="0" applyNumberFormat="1" applyAlignment="1">
      <alignment horizontal="center"/>
    </xf>
    <xf numFmtId="192" fontId="0" fillId="0" borderId="0" xfId="1" applyNumberFormat="1" applyFont="1" applyAlignment="1">
      <alignment horizontal="center"/>
    </xf>
    <xf numFmtId="167" fontId="12" fillId="0" borderId="0" xfId="2" applyNumberFormat="1" applyFont="1" applyBorder="1" applyAlignment="1">
      <alignment horizontal="center"/>
    </xf>
    <xf numFmtId="172" fontId="12" fillId="0" borderId="0" xfId="1" applyNumberFormat="1" applyFont="1" applyAlignment="1">
      <alignment horizontal="center"/>
    </xf>
    <xf numFmtId="169" fontId="0" fillId="0" borderId="0" xfId="0" applyNumberFormat="1"/>
    <xf numFmtId="1" fontId="0" fillId="0" borderId="0" xfId="0" quotePrefix="1" applyNumberFormat="1"/>
    <xf numFmtId="37" fontId="12" fillId="71" borderId="57" xfId="0" applyNumberFormat="1" applyFont="1" applyFill="1" applyBorder="1" applyAlignment="1">
      <alignment horizontal="center"/>
    </xf>
    <xf numFmtId="172" fontId="0" fillId="0" borderId="0" xfId="1" applyNumberFormat="1" applyFont="1" applyFill="1" applyAlignment="1">
      <alignment horizontal="center"/>
    </xf>
    <xf numFmtId="37" fontId="11" fillId="4" borderId="57" xfId="0" applyNumberFormat="1" applyFont="1" applyFill="1" applyBorder="1" applyAlignment="1">
      <alignment horizontal="center"/>
    </xf>
    <xf numFmtId="0" fontId="0" fillId="0" borderId="2" xfId="0" applyBorder="1"/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Continuous"/>
    </xf>
    <xf numFmtId="193" fontId="0" fillId="0" borderId="0" xfId="0" applyNumberFormat="1" applyAlignment="1">
      <alignment horizontal="center"/>
    </xf>
    <xf numFmtId="3" fontId="0" fillId="72" borderId="1" xfId="0" applyNumberFormat="1" applyFill="1" applyBorder="1" applyAlignment="1">
      <alignment horizontal="center"/>
    </xf>
    <xf numFmtId="1" fontId="0" fillId="72" borderId="0" xfId="0" applyNumberFormat="1" applyFill="1"/>
    <xf numFmtId="0" fontId="84" fillId="66" borderId="1" xfId="1524" applyFont="1" applyFill="1" applyBorder="1" applyAlignment="1">
      <alignment horizontal="center" vertical="center" wrapText="1"/>
    </xf>
    <xf numFmtId="49" fontId="78" fillId="67" borderId="43" xfId="1524" applyNumberFormat="1" applyFont="1" applyFill="1" applyBorder="1" applyAlignment="1">
      <alignment horizontal="center" vertical="center" wrapText="1"/>
    </xf>
    <xf numFmtId="0" fontId="78" fillId="67" borderId="38" xfId="1524" applyFont="1" applyFill="1" applyBorder="1" applyAlignment="1">
      <alignment horizontal="center" vertical="center" wrapText="1"/>
    </xf>
    <xf numFmtId="0" fontId="78" fillId="67" borderId="42" xfId="1524" applyFont="1" applyFill="1" applyBorder="1" applyAlignment="1">
      <alignment horizontal="center" vertical="center" wrapText="1"/>
    </xf>
    <xf numFmtId="49" fontId="78" fillId="67" borderId="44" xfId="1524" applyNumberFormat="1" applyFont="1" applyFill="1" applyBorder="1" applyAlignment="1">
      <alignment horizontal="center" vertical="center" wrapText="1"/>
    </xf>
    <xf numFmtId="0" fontId="78" fillId="67" borderId="0" xfId="1524" applyFont="1" applyFill="1" applyAlignment="1">
      <alignment horizontal="center" vertical="center" wrapText="1"/>
    </xf>
    <xf numFmtId="0" fontId="78" fillId="67" borderId="45" xfId="1524" applyFont="1" applyFill="1" applyBorder="1" applyAlignment="1">
      <alignment horizontal="center" vertical="center" wrapText="1"/>
    </xf>
    <xf numFmtId="0" fontId="78" fillId="67" borderId="43" xfId="152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83" fillId="0" borderId="0" xfId="0" applyFont="1" applyAlignment="1">
      <alignment horizontal="center"/>
    </xf>
    <xf numFmtId="1" fontId="0" fillId="0" borderId="0" xfId="0" applyNumberFormat="1" applyFill="1"/>
    <xf numFmtId="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13" fillId="0" borderId="56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17" fontId="0" fillId="0" borderId="0" xfId="0" applyNumberFormat="1" applyFill="1" applyAlignment="1">
      <alignment horizontal="left"/>
    </xf>
    <xf numFmtId="0" fontId="11" fillId="0" borderId="0" xfId="0" applyFont="1" applyFill="1" applyAlignment="1">
      <alignment horizontal="left"/>
    </xf>
    <xf numFmtId="37" fontId="12" fillId="0" borderId="0" xfId="0" applyNumberFormat="1" applyFont="1" applyFill="1" applyAlignment="1">
      <alignment horizontal="center"/>
    </xf>
    <xf numFmtId="12" fontId="12" fillId="0" borderId="0" xfId="0" applyNumberFormat="1" applyFont="1" applyFill="1"/>
    <xf numFmtId="0" fontId="0" fillId="0" borderId="0" xfId="0" applyFill="1"/>
    <xf numFmtId="1" fontId="11" fillId="71" borderId="39" xfId="1527" applyNumberFormat="1" applyFont="1" applyFill="1" applyBorder="1" applyAlignment="1">
      <alignment horizontal="center"/>
    </xf>
    <xf numFmtId="1" fontId="11" fillId="71" borderId="5" xfId="1527" applyNumberFormat="1" applyFont="1" applyFill="1" applyBorder="1" applyAlignment="1">
      <alignment horizontal="center"/>
    </xf>
    <xf numFmtId="1" fontId="11" fillId="71" borderId="40" xfId="1526" applyNumberFormat="1" applyFont="1" applyFill="1" applyBorder="1" applyAlignment="1">
      <alignment horizontal="center"/>
    </xf>
    <xf numFmtId="1" fontId="11" fillId="71" borderId="39" xfId="1526" applyNumberFormat="1" applyFont="1" applyFill="1" applyBorder="1" applyAlignment="1">
      <alignment horizontal="center"/>
    </xf>
    <xf numFmtId="1" fontId="11" fillId="71" borderId="1" xfId="1526" applyNumberFormat="1" applyFont="1" applyFill="1" applyBorder="1" applyAlignment="1">
      <alignment horizontal="center"/>
    </xf>
    <xf numFmtId="1" fontId="11" fillId="71" borderId="1" xfId="1527" applyNumberFormat="1" applyFont="1" applyFill="1" applyBorder="1" applyAlignment="1">
      <alignment horizontal="center"/>
    </xf>
    <xf numFmtId="1" fontId="11" fillId="71" borderId="4" xfId="1526" applyNumberFormat="1" applyFont="1" applyFill="1" applyBorder="1" applyAlignment="1">
      <alignment horizontal="center"/>
    </xf>
    <xf numFmtId="0" fontId="14" fillId="0" borderId="0" xfId="1526" applyFont="1" applyFill="1" applyAlignment="1">
      <alignment horizontal="center"/>
    </xf>
    <xf numFmtId="17" fontId="11" fillId="0" borderId="0" xfId="1526" applyNumberFormat="1" applyFont="1" applyFill="1" applyAlignment="1">
      <alignment horizontal="left"/>
    </xf>
    <xf numFmtId="1" fontId="11" fillId="0" borderId="0" xfId="1527" applyNumberFormat="1" applyFont="1" applyFill="1" applyBorder="1" applyAlignment="1">
      <alignment horizontal="center"/>
    </xf>
    <xf numFmtId="1" fontId="11" fillId="0" borderId="0" xfId="1526" applyNumberFormat="1" applyFont="1" applyFill="1" applyAlignment="1">
      <alignment horizontal="center"/>
    </xf>
    <xf numFmtId="0" fontId="11" fillId="0" borderId="0" xfId="736" applyFont="1" applyFill="1"/>
    <xf numFmtId="1" fontId="11" fillId="0" borderId="0" xfId="736" applyNumberFormat="1" applyFont="1" applyFill="1"/>
    <xf numFmtId="167" fontId="0" fillId="0" borderId="0" xfId="0" applyNumberFormat="1"/>
  </cellXfs>
  <cellStyles count="1655">
    <cellStyle name="$" xfId="14" xr:uid="{00000000-0005-0000-0000-000000000000}"/>
    <cellStyle name="$.00" xfId="15" xr:uid="{00000000-0005-0000-0000-000001000000}"/>
    <cellStyle name="$_9. Rev2Cost_GDPIPI" xfId="16" xr:uid="{00000000-0005-0000-0000-000002000000}"/>
    <cellStyle name="$_lists" xfId="17" xr:uid="{00000000-0005-0000-0000-000003000000}"/>
    <cellStyle name="$_lists_4. Current Monthly Fixed Charge" xfId="18" xr:uid="{00000000-0005-0000-0000-000004000000}"/>
    <cellStyle name="$_Sheet4" xfId="19" xr:uid="{00000000-0005-0000-0000-000005000000}"/>
    <cellStyle name="$M" xfId="20" xr:uid="{00000000-0005-0000-0000-000006000000}"/>
    <cellStyle name="$M.00" xfId="21" xr:uid="{00000000-0005-0000-0000-000007000000}"/>
    <cellStyle name="$M_9. Rev2Cost_GDPIPI" xfId="22" xr:uid="{00000000-0005-0000-0000-000008000000}"/>
    <cellStyle name="20% - Accent1 10" xfId="104" xr:uid="{3FA1FFCA-BE3F-41A7-8993-95B3F773BA7C}"/>
    <cellStyle name="20% - Accent1 11" xfId="105" xr:uid="{5649297F-154B-4C02-A181-973285B19D7D}"/>
    <cellStyle name="20% - Accent1 12" xfId="106" xr:uid="{E383FC1D-9847-4DFF-966B-4A3C321502F6}"/>
    <cellStyle name="20% - Accent1 13" xfId="107" xr:uid="{1217E4AB-7DED-403D-A5CC-F233870FFAD1}"/>
    <cellStyle name="20% - Accent1 14" xfId="108" xr:uid="{94913466-AC2B-4CA2-A0C2-791B5ABBC469}"/>
    <cellStyle name="20% - Accent1 15" xfId="109" xr:uid="{8AB6D119-F782-40E6-9646-B552CB37096B}"/>
    <cellStyle name="20% - Accent1 16" xfId="769" xr:uid="{45FBF829-0047-4ADB-BC05-C028DF6644DA}"/>
    <cellStyle name="20% - Accent1 2" xfId="23" xr:uid="{00000000-0005-0000-0000-000009000000}"/>
    <cellStyle name="20% - Accent1 2 2" xfId="815" xr:uid="{1EAF84D8-4755-4733-849D-1BFF4F73BD94}"/>
    <cellStyle name="20% - Accent1 2 2 2" xfId="1585" xr:uid="{7089DDAD-30FE-43D1-A6B6-6696F1921C22}"/>
    <cellStyle name="20% - Accent1 2 3" xfId="110" xr:uid="{4A647E3F-96F3-4D22-89D1-F5D064BBDC62}"/>
    <cellStyle name="20% - Accent1 2 3 2" xfId="1618" xr:uid="{54F2DDC7-871E-4AAE-A9C8-03C7FEFF7255}"/>
    <cellStyle name="20% - Accent1 2 4" xfId="1549" xr:uid="{6498D3B7-D895-4F43-ACAE-CBC25968B0C0}"/>
    <cellStyle name="20% - Accent1 3" xfId="111" xr:uid="{BBBC7D0B-BD48-4D03-AA8A-2C01413CC7B2}"/>
    <cellStyle name="20% - Accent1 4" xfId="112" xr:uid="{967EE2E3-4945-4801-8E05-BC4B5DE50086}"/>
    <cellStyle name="20% - Accent1 5" xfId="113" xr:uid="{7E251424-5435-4D56-B08E-62A05FE87F7E}"/>
    <cellStyle name="20% - Accent1 6" xfId="114" xr:uid="{376DAE87-F0AA-4C7C-9983-5B8780A7A441}"/>
    <cellStyle name="20% - Accent1 7" xfId="115" xr:uid="{443E02D2-0543-42C4-875F-F2E9B3167F6C}"/>
    <cellStyle name="20% - Accent1 8" xfId="116" xr:uid="{E2A56F3A-271E-4A07-8608-251A3D42C601}"/>
    <cellStyle name="20% - Accent1 9" xfId="117" xr:uid="{2CB79A3F-4E62-4EAE-9F90-44BF93F1D182}"/>
    <cellStyle name="20% - Accent2 10" xfId="118" xr:uid="{6C190751-8BFA-4BAD-AFD5-DC099043E3FC}"/>
    <cellStyle name="20% - Accent2 11" xfId="119" xr:uid="{A10CC3DB-1218-4CDC-9E9D-72567D40C1B9}"/>
    <cellStyle name="20% - Accent2 12" xfId="120" xr:uid="{1EB12AEB-951A-4D60-87C9-8A7E59E24A01}"/>
    <cellStyle name="20% - Accent2 13" xfId="121" xr:uid="{473F8E8B-6183-4F6C-B892-4BD1091F10E0}"/>
    <cellStyle name="20% - Accent2 14" xfId="122" xr:uid="{13696E75-2D2C-4621-955F-23F7900D4AAA}"/>
    <cellStyle name="20% - Accent2 15" xfId="123" xr:uid="{F0E2D41A-B837-46EC-BBEA-2CAE487D301E}"/>
    <cellStyle name="20% - Accent2 16" xfId="770" xr:uid="{D6013404-A408-4AAB-80F1-09258BC9B437}"/>
    <cellStyle name="20% - Accent2 2" xfId="24" xr:uid="{00000000-0005-0000-0000-00000A000000}"/>
    <cellStyle name="20% - Accent2 2 2" xfId="819" xr:uid="{88E9716D-ED26-4B0C-B13D-E8B8E843EB65}"/>
    <cellStyle name="20% - Accent2 2 2 2" xfId="1587" xr:uid="{A07D000B-63F8-4381-8F55-D2158DEAC585}"/>
    <cellStyle name="20% - Accent2 2 3" xfId="124" xr:uid="{9A2CCDBD-6CEB-439D-8ED1-7C033D7D4909}"/>
    <cellStyle name="20% - Accent2 2 3 2" xfId="1620" xr:uid="{76DE2459-9BEA-46E7-BF77-DBCF127487BC}"/>
    <cellStyle name="20% - Accent2 2 4" xfId="1551" xr:uid="{E01A7A15-6DB9-43B1-8D8A-36D88C34E8CA}"/>
    <cellStyle name="20% - Accent2 3" xfId="125" xr:uid="{55000463-8A6F-4E5F-895F-1D6836E3F798}"/>
    <cellStyle name="20% - Accent2 4" xfId="126" xr:uid="{AF859086-CC51-40A1-9C3C-6366AA79F1FF}"/>
    <cellStyle name="20% - Accent2 5" xfId="127" xr:uid="{832429B3-E619-4DDA-B4A3-64363250CB45}"/>
    <cellStyle name="20% - Accent2 6" xfId="128" xr:uid="{B89B8E96-1DD4-4C95-A573-00A44AE3E0E0}"/>
    <cellStyle name="20% - Accent2 7" xfId="129" xr:uid="{7EE69995-BB3B-41D4-8136-EBAEC511BB7C}"/>
    <cellStyle name="20% - Accent2 8" xfId="130" xr:uid="{2725C661-C278-4344-B0A1-619B40DB1CEF}"/>
    <cellStyle name="20% - Accent2 9" xfId="131" xr:uid="{48AAB1AD-A964-4460-92AD-A040CBF8F10D}"/>
    <cellStyle name="20% - Accent3 10" xfId="132" xr:uid="{7ACE94B7-11FE-4305-941E-C0B5D6C40E5D}"/>
    <cellStyle name="20% - Accent3 11" xfId="133" xr:uid="{238C467B-9463-4905-866D-FE45FF0EE60B}"/>
    <cellStyle name="20% - Accent3 12" xfId="134" xr:uid="{442C9A86-B726-436B-A8EE-CBE9AFDBF4D7}"/>
    <cellStyle name="20% - Accent3 13" xfId="135" xr:uid="{2CD00547-C846-4ECE-B078-3A0B79C7A7F7}"/>
    <cellStyle name="20% - Accent3 14" xfId="136" xr:uid="{223898B6-3510-4569-AEE2-C0DBD9EC9E21}"/>
    <cellStyle name="20% - Accent3 15" xfId="137" xr:uid="{ECFD3754-2839-443F-93D6-2988AB81F926}"/>
    <cellStyle name="20% - Accent3 16" xfId="771" xr:uid="{12D4EFAA-CEF6-43E3-AECD-3B0EF030DC19}"/>
    <cellStyle name="20% - Accent3 2" xfId="25" xr:uid="{00000000-0005-0000-0000-00000B000000}"/>
    <cellStyle name="20% - Accent3 2 2" xfId="823" xr:uid="{BC8980A8-10CB-4C9B-80DC-B668AC15844F}"/>
    <cellStyle name="20% - Accent3 2 2 2" xfId="1589" xr:uid="{08C4068D-4012-4C4F-A4FE-0129FE1B9182}"/>
    <cellStyle name="20% - Accent3 2 3" xfId="138" xr:uid="{0A9F25B4-70CA-4082-AB6C-473346FA893F}"/>
    <cellStyle name="20% - Accent3 2 3 2" xfId="1622" xr:uid="{6D9E4497-9EB6-4B97-91BE-D818E8C0AFF1}"/>
    <cellStyle name="20% - Accent3 2 4" xfId="1553" xr:uid="{DA771738-C36E-41D2-A2E4-894437A3D247}"/>
    <cellStyle name="20% - Accent3 3" xfId="139" xr:uid="{FC3BB4A7-30D5-4C60-A940-C9F97270670D}"/>
    <cellStyle name="20% - Accent3 4" xfId="140" xr:uid="{9BFF5A1D-111E-40A5-846A-74F9CC4C6F78}"/>
    <cellStyle name="20% - Accent3 5" xfId="141" xr:uid="{6ED29ED2-D5FA-4F82-8DDE-AC56B37D1B7B}"/>
    <cellStyle name="20% - Accent3 6" xfId="142" xr:uid="{2EE88B77-B4ED-4224-8F5A-1F5F717E398A}"/>
    <cellStyle name="20% - Accent3 7" xfId="143" xr:uid="{7FE3F72A-B20C-4FA5-8174-BF46E31A47FA}"/>
    <cellStyle name="20% - Accent3 8" xfId="144" xr:uid="{26BDBDB6-96C4-4DE8-8498-1D3EDB6B5361}"/>
    <cellStyle name="20% - Accent3 9" xfId="145" xr:uid="{58ACF6E2-883C-4F05-A549-358FF04DE678}"/>
    <cellStyle name="20% - Accent4 10" xfId="146" xr:uid="{91A615A8-05D8-4E89-9B9D-40BB1EBF12DF}"/>
    <cellStyle name="20% - Accent4 11" xfId="147" xr:uid="{4BF0B27D-D287-4453-B607-E298CBF863AC}"/>
    <cellStyle name="20% - Accent4 12" xfId="148" xr:uid="{7B996A7E-4836-4E27-8B5A-D813B5202EE1}"/>
    <cellStyle name="20% - Accent4 13" xfId="149" xr:uid="{37B53B62-2DCD-4744-95D8-F12FA4004CB2}"/>
    <cellStyle name="20% - Accent4 14" xfId="150" xr:uid="{E09126FA-9152-4B23-9983-B1F228217BF6}"/>
    <cellStyle name="20% - Accent4 15" xfId="151" xr:uid="{2FAAE852-EEC6-4346-A0B9-174305E14DEC}"/>
    <cellStyle name="20% - Accent4 16" xfId="772" xr:uid="{85D136F8-EEB5-44EA-BB38-A6FEF4273F13}"/>
    <cellStyle name="20% - Accent4 2" xfId="26" xr:uid="{00000000-0005-0000-0000-00000C000000}"/>
    <cellStyle name="20% - Accent4 2 2" xfId="827" xr:uid="{D06E2F48-0918-4986-B898-28978AD07AFD}"/>
    <cellStyle name="20% - Accent4 2 2 2" xfId="1591" xr:uid="{BABAB920-5CE9-4824-B9B7-8C254707DBA8}"/>
    <cellStyle name="20% - Accent4 2 3" xfId="152" xr:uid="{628FC5C7-725D-4262-97F4-6C2D4880CC12}"/>
    <cellStyle name="20% - Accent4 2 3 2" xfId="1624" xr:uid="{1F438915-B1D6-4253-A49A-73B79C77A3E6}"/>
    <cellStyle name="20% - Accent4 2 4" xfId="1555" xr:uid="{89CF9E7C-B510-4722-919E-C2D754DA4997}"/>
    <cellStyle name="20% - Accent4 3" xfId="153" xr:uid="{67E18104-DDA9-43A1-8F21-8E27D7C24A4F}"/>
    <cellStyle name="20% - Accent4 4" xfId="154" xr:uid="{53918B96-84C3-4AA2-ABA4-AFB5DA482B70}"/>
    <cellStyle name="20% - Accent4 5" xfId="155" xr:uid="{03FA5905-9E5F-405E-AEB8-80E98202F63F}"/>
    <cellStyle name="20% - Accent4 6" xfId="156" xr:uid="{34A83AA0-64AF-4F94-A503-6B66AF786291}"/>
    <cellStyle name="20% - Accent4 7" xfId="157" xr:uid="{F133B68C-37B6-4046-B43A-51FDE6B78839}"/>
    <cellStyle name="20% - Accent4 8" xfId="158" xr:uid="{C6135576-4E9B-4065-8B00-004EF1FCA6D1}"/>
    <cellStyle name="20% - Accent4 9" xfId="159" xr:uid="{40EED231-805A-4BF5-97A3-F43A32E53F31}"/>
    <cellStyle name="20% - Accent5 10" xfId="160" xr:uid="{556A4AC5-934D-4EE2-937B-B4B7DFF7734B}"/>
    <cellStyle name="20% - Accent5 11" xfId="161" xr:uid="{A6203A92-BE82-4D71-B8FB-C8951C6F6557}"/>
    <cellStyle name="20% - Accent5 12" xfId="162" xr:uid="{B3C0FFAB-84FF-4C68-A0EA-EE0C344E5FE2}"/>
    <cellStyle name="20% - Accent5 13" xfId="163" xr:uid="{3EBDDB24-F2EE-474D-B752-BE8BE3DE5A38}"/>
    <cellStyle name="20% - Accent5 14" xfId="164" xr:uid="{27F55098-EFEC-46E3-BDA7-4277FDD475BC}"/>
    <cellStyle name="20% - Accent5 15" xfId="165" xr:uid="{04EFEFEB-0B30-4830-805D-7D5774D404E0}"/>
    <cellStyle name="20% - Accent5 16" xfId="773" xr:uid="{B58B696C-1AD8-4BE3-AD63-BCF4319CEA5A}"/>
    <cellStyle name="20% - Accent5 2" xfId="27" xr:uid="{00000000-0005-0000-0000-00000D000000}"/>
    <cellStyle name="20% - Accent5 2 2" xfId="831" xr:uid="{652E9BFD-81A6-4A19-BEF1-E7BFF3FAB0F1}"/>
    <cellStyle name="20% - Accent5 2 2 2" xfId="1593" xr:uid="{4AE6DEF4-F3EC-425B-8CDA-F19E7D3532C2}"/>
    <cellStyle name="20% - Accent5 2 3" xfId="166" xr:uid="{23D49ADB-2FF4-4148-9B22-B3C738EA11E9}"/>
    <cellStyle name="20% - Accent5 2 3 2" xfId="1626" xr:uid="{BD299D98-DE77-4417-8E64-941CAEE74941}"/>
    <cellStyle name="20% - Accent5 2 4" xfId="1558" xr:uid="{7F06C8FB-B421-4555-BD2B-9E1A2A0046C0}"/>
    <cellStyle name="20% - Accent5 3" xfId="167" xr:uid="{E98098AD-5A8D-48A7-8DE0-9ADC2266105D}"/>
    <cellStyle name="20% - Accent5 4" xfId="168" xr:uid="{1C1E91C7-7042-429F-B1C5-411ACF9CBBCF}"/>
    <cellStyle name="20% - Accent5 5" xfId="169" xr:uid="{422A26CC-E4B4-4336-AA0F-8359A04D7B83}"/>
    <cellStyle name="20% - Accent5 6" xfId="170" xr:uid="{1B4D09BC-54C5-442E-ADA7-412AA2DFD1A5}"/>
    <cellStyle name="20% - Accent5 7" xfId="171" xr:uid="{B4CFA23B-E802-4FB4-AB99-BD62BDE3BEB2}"/>
    <cellStyle name="20% - Accent5 8" xfId="172" xr:uid="{5B8A6E2A-2E41-4FF2-AEC8-5756A286555C}"/>
    <cellStyle name="20% - Accent5 9" xfId="173" xr:uid="{FF94B448-1F47-4F55-9AD1-ABAD8D916933}"/>
    <cellStyle name="20% - Accent6 10" xfId="174" xr:uid="{B0B014D6-3453-46F5-B2FE-B2959DF45DFB}"/>
    <cellStyle name="20% - Accent6 11" xfId="175" xr:uid="{AC3EC00E-9E37-44DC-9918-23252D168BF2}"/>
    <cellStyle name="20% - Accent6 12" xfId="176" xr:uid="{58693F19-3FFD-4B09-A291-A5F2514A84CD}"/>
    <cellStyle name="20% - Accent6 13" xfId="177" xr:uid="{3198F183-ADFC-4503-9E1D-F891D7E566AF}"/>
    <cellStyle name="20% - Accent6 14" xfId="178" xr:uid="{B60C7443-327B-4F8E-9518-15019205241A}"/>
    <cellStyle name="20% - Accent6 15" xfId="179" xr:uid="{45E4AECC-F318-4938-BD9F-65DC08E5D592}"/>
    <cellStyle name="20% - Accent6 16" xfId="774" xr:uid="{4F2E5720-5564-4734-A561-D6DED9723019}"/>
    <cellStyle name="20% - Accent6 2" xfId="28" xr:uid="{00000000-0005-0000-0000-00000E000000}"/>
    <cellStyle name="20% - Accent6 2 2" xfId="835" xr:uid="{E1ACEB4D-35CF-439A-A936-4E9FAADC3D97}"/>
    <cellStyle name="20% - Accent6 2 2 2" xfId="1595" xr:uid="{3075ADD5-0903-4333-B0D3-9D0A3F295BD3}"/>
    <cellStyle name="20% - Accent6 2 3" xfId="180" xr:uid="{23858E14-2CB1-44A7-B23D-E19C6229B1E9}"/>
    <cellStyle name="20% - Accent6 2 3 2" xfId="1628" xr:uid="{B0CF4784-D695-4E5F-9DB8-004F80EE0D0F}"/>
    <cellStyle name="20% - Accent6 2 4" xfId="1560" xr:uid="{704C47E1-284A-4BB6-BEBE-CAAE08985FEB}"/>
    <cellStyle name="20% - Accent6 3" xfId="181" xr:uid="{C954C1DA-9CC4-4F08-ADE4-65A5EFF632AE}"/>
    <cellStyle name="20% - Accent6 4" xfId="182" xr:uid="{D27369D7-1364-455F-97A9-5A80947173E2}"/>
    <cellStyle name="20% - Accent6 5" xfId="183" xr:uid="{66135377-1C7B-48AD-BBEB-E351F4E0F924}"/>
    <cellStyle name="20% - Accent6 6" xfId="184" xr:uid="{4389F928-9B8B-4D54-BEC3-08B3FBDA9B3F}"/>
    <cellStyle name="20% - Accent6 7" xfId="185" xr:uid="{C2867C10-48D2-4372-BA82-BD0E35CB215A}"/>
    <cellStyle name="20% - Accent6 8" xfId="186" xr:uid="{D841A974-F1F2-4713-A333-1804D458F962}"/>
    <cellStyle name="20% - Accent6 9" xfId="187" xr:uid="{6025B705-C6CF-44DA-AB4D-B4DE7650F5E3}"/>
    <cellStyle name="40% - Accent1 10" xfId="188" xr:uid="{B0E83834-BEB3-4CE3-97BF-242EE57722C5}"/>
    <cellStyle name="40% - Accent1 11" xfId="189" xr:uid="{B4A2DA17-1254-4028-8D4F-31196E952D02}"/>
    <cellStyle name="40% - Accent1 12" xfId="190" xr:uid="{5A5E40CA-9493-4F17-9194-C528CF9B1274}"/>
    <cellStyle name="40% - Accent1 13" xfId="191" xr:uid="{DFBCE186-3B79-43D4-9BFB-7D3DA7941470}"/>
    <cellStyle name="40% - Accent1 14" xfId="192" xr:uid="{AD3BC8B0-7404-4C7A-AD16-9753D6A66FD7}"/>
    <cellStyle name="40% - Accent1 15" xfId="193" xr:uid="{09743533-13AB-44D0-BB58-9017799A680D}"/>
    <cellStyle name="40% - Accent1 16" xfId="775" xr:uid="{3A388316-DEF4-42F9-ABDC-31C94B0C904F}"/>
    <cellStyle name="40% - Accent1 2" xfId="29" xr:uid="{00000000-0005-0000-0000-00000F000000}"/>
    <cellStyle name="40% - Accent1 2 2" xfId="816" xr:uid="{D5E74BFD-9148-4EE4-B593-8994D85408E0}"/>
    <cellStyle name="40% - Accent1 2 2 2" xfId="1586" xr:uid="{FDFCD76F-69D7-4CCF-8E96-F74921059EAF}"/>
    <cellStyle name="40% - Accent1 2 3" xfId="194" xr:uid="{452896B4-C918-4AB8-BF14-9E16F99BDB5A}"/>
    <cellStyle name="40% - Accent1 2 3 2" xfId="1619" xr:uid="{49E61076-1FAB-43BD-BDBC-ADD837D50EEF}"/>
    <cellStyle name="40% - Accent1 2 4" xfId="1550" xr:uid="{8A17BEDC-C7CC-45C2-A6C8-08155751422E}"/>
    <cellStyle name="40% - Accent1 3" xfId="195" xr:uid="{FBDA3C72-C9BF-4515-B12A-B99BEA22797E}"/>
    <cellStyle name="40% - Accent1 4" xfId="196" xr:uid="{7B5C1FE6-1EB8-4FDE-823F-5809E39BB777}"/>
    <cellStyle name="40% - Accent1 5" xfId="197" xr:uid="{EA059D40-C3A0-47F2-AA34-92AF78C5112C}"/>
    <cellStyle name="40% - Accent1 6" xfId="198" xr:uid="{18438076-76AD-4E68-A52D-25EFD9FD58CB}"/>
    <cellStyle name="40% - Accent1 7" xfId="199" xr:uid="{877D8177-7E96-445E-930E-4EAF5ACB4BC6}"/>
    <cellStyle name="40% - Accent1 8" xfId="200" xr:uid="{45082CB2-B4D3-45AF-8A37-0A1A6BBA137C}"/>
    <cellStyle name="40% - Accent1 9" xfId="201" xr:uid="{FD82306A-7FF0-4AD6-9E20-BB1960E1B9E5}"/>
    <cellStyle name="40% - Accent2 10" xfId="202" xr:uid="{DC766658-E04E-4781-9B3D-9FCA499DF540}"/>
    <cellStyle name="40% - Accent2 11" xfId="203" xr:uid="{6EE2C881-3B9E-4BFE-8D6B-74F958F42483}"/>
    <cellStyle name="40% - Accent2 12" xfId="204" xr:uid="{3A4FEACD-1098-4C34-8887-ED7EFF12A8C3}"/>
    <cellStyle name="40% - Accent2 13" xfId="205" xr:uid="{78FD4142-783D-47E9-961D-AD9F53A84A47}"/>
    <cellStyle name="40% - Accent2 14" xfId="206" xr:uid="{F3905C11-5C6E-407F-9FE4-C2BE4ED27FC1}"/>
    <cellStyle name="40% - Accent2 15" xfId="207" xr:uid="{275C7196-9270-4E11-819A-71265121EB4A}"/>
    <cellStyle name="40% - Accent2 16" xfId="776" xr:uid="{98D98272-F30D-416F-8B22-8ADB03B6A6FD}"/>
    <cellStyle name="40% - Accent2 2" xfId="30" xr:uid="{00000000-0005-0000-0000-000010000000}"/>
    <cellStyle name="40% - Accent2 2 2" xfId="820" xr:uid="{C2D10E15-E426-4108-B85B-6C7DE3C1A0B1}"/>
    <cellStyle name="40% - Accent2 2 2 2" xfId="1588" xr:uid="{188FA989-C024-4A9A-8007-A4C2294F2D65}"/>
    <cellStyle name="40% - Accent2 2 3" xfId="208" xr:uid="{AE931783-BF8A-406C-9218-F3BDF4370B32}"/>
    <cellStyle name="40% - Accent2 2 3 2" xfId="1621" xr:uid="{7432BC28-DB2D-42BF-BE7F-02BAE911AAEE}"/>
    <cellStyle name="40% - Accent2 2 4" xfId="1552" xr:uid="{D499B9C5-DE17-44A5-83B0-047E3D21F36B}"/>
    <cellStyle name="40% - Accent2 3" xfId="209" xr:uid="{AE954E18-8794-49A9-9415-299F014F3527}"/>
    <cellStyle name="40% - Accent2 4" xfId="210" xr:uid="{19745F1D-242C-4B9C-B9F3-916AFB931858}"/>
    <cellStyle name="40% - Accent2 5" xfId="211" xr:uid="{09233828-006D-4D7D-9EDF-A94417D6147F}"/>
    <cellStyle name="40% - Accent2 6" xfId="212" xr:uid="{04B1B4C5-A88C-4470-82AA-4DF8A01568D5}"/>
    <cellStyle name="40% - Accent2 7" xfId="213" xr:uid="{231EEF1F-0300-4BE4-85CE-ABBF696D4616}"/>
    <cellStyle name="40% - Accent2 8" xfId="214" xr:uid="{4D602BFD-5C21-4733-931F-D2C7D845F201}"/>
    <cellStyle name="40% - Accent2 9" xfId="215" xr:uid="{202359F1-545B-4030-8153-D7B0A55D1230}"/>
    <cellStyle name="40% - Accent3 10" xfId="216" xr:uid="{5878F044-561C-41C6-9C91-123ABCFDB6F3}"/>
    <cellStyle name="40% - Accent3 11" xfId="217" xr:uid="{0E1C3A02-FACD-48C2-B8F2-CBEDA32FEA63}"/>
    <cellStyle name="40% - Accent3 12" xfId="218" xr:uid="{205049EA-A559-4F65-9A9F-92C97EDD3397}"/>
    <cellStyle name="40% - Accent3 13" xfId="219" xr:uid="{A076CB8B-D8B6-4B16-86C2-8BDE586D8BF9}"/>
    <cellStyle name="40% - Accent3 14" xfId="220" xr:uid="{6E255168-72C6-47AA-AAE6-7EC8F79CB76F}"/>
    <cellStyle name="40% - Accent3 15" xfId="221" xr:uid="{3933DF1D-A360-4D2B-AE67-695AA53DA308}"/>
    <cellStyle name="40% - Accent3 16" xfId="777" xr:uid="{D2E2E13A-FC2E-4B8B-A8C3-A662CCA596DB}"/>
    <cellStyle name="40% - Accent3 2" xfId="31" xr:uid="{00000000-0005-0000-0000-000011000000}"/>
    <cellStyle name="40% - Accent3 2 2" xfId="824" xr:uid="{3FFE699D-FF22-4CD8-8F49-961EC3463774}"/>
    <cellStyle name="40% - Accent3 2 2 2" xfId="1590" xr:uid="{DE6EA67E-539E-4BFE-B115-3CAF6927CF67}"/>
    <cellStyle name="40% - Accent3 2 3" xfId="222" xr:uid="{CA5F1453-1410-43C5-A45C-F86291F2E44F}"/>
    <cellStyle name="40% - Accent3 2 3 2" xfId="1623" xr:uid="{3C60E394-618C-4F51-A5AC-31F4FDAF3678}"/>
    <cellStyle name="40% - Accent3 2 4" xfId="1554" xr:uid="{FF22FCF6-3DFD-469F-A56C-D7B00378EFF6}"/>
    <cellStyle name="40% - Accent3 3" xfId="223" xr:uid="{00545917-E985-4949-A135-C0069F2F5964}"/>
    <cellStyle name="40% - Accent3 4" xfId="224" xr:uid="{373FD863-FF50-420B-A6A3-4C553869201B}"/>
    <cellStyle name="40% - Accent3 5" xfId="225" xr:uid="{7B0301B7-EBBE-4B25-9875-AB0F581B3909}"/>
    <cellStyle name="40% - Accent3 6" xfId="226" xr:uid="{C97DF1CF-8857-464C-BF5B-4571AF10A22A}"/>
    <cellStyle name="40% - Accent3 7" xfId="227" xr:uid="{9ED2E067-CF4B-41D8-8695-210DD1ED4E22}"/>
    <cellStyle name="40% - Accent3 8" xfId="228" xr:uid="{D9516C01-C1C0-4BEA-AF36-6AC586D99DD9}"/>
    <cellStyle name="40% - Accent3 9" xfId="229" xr:uid="{1557B7B0-3521-4375-A1F2-1FCE64DA907E}"/>
    <cellStyle name="40% - Accent4 10" xfId="230" xr:uid="{FCC8DAE6-7C6C-4C69-83C0-E6494C8B087E}"/>
    <cellStyle name="40% - Accent4 11" xfId="231" xr:uid="{710562A4-BDAA-474B-8C7A-E4207F04BDF2}"/>
    <cellStyle name="40% - Accent4 12" xfId="232" xr:uid="{A8FC7048-3047-4266-997A-9AC419A602D4}"/>
    <cellStyle name="40% - Accent4 13" xfId="233" xr:uid="{2840B729-B5EE-4D9B-BDD5-DA990CC2D323}"/>
    <cellStyle name="40% - Accent4 14" xfId="234" xr:uid="{E21DA2E5-CA4F-4300-8540-BD274395AB98}"/>
    <cellStyle name="40% - Accent4 15" xfId="235" xr:uid="{5F076097-3A67-4408-A0B3-27E99AED263A}"/>
    <cellStyle name="40% - Accent4 16" xfId="778" xr:uid="{9C7A0D89-12CC-4951-A852-99B7293D9A6E}"/>
    <cellStyle name="40% - Accent4 2" xfId="32" xr:uid="{00000000-0005-0000-0000-000012000000}"/>
    <cellStyle name="40% - Accent4 2 2" xfId="828" xr:uid="{DE96DD59-C572-4829-9421-70ACC85D81E7}"/>
    <cellStyle name="40% - Accent4 2 2 2" xfId="1592" xr:uid="{8E8CEB07-B999-4ABE-A31A-BA8F1D368004}"/>
    <cellStyle name="40% - Accent4 2 3" xfId="236" xr:uid="{5FB646AB-A516-4BDF-BFE6-9741474BEB55}"/>
    <cellStyle name="40% - Accent4 2 3 2" xfId="1625" xr:uid="{303559DD-BB15-4F0D-9F93-71F277BF63D0}"/>
    <cellStyle name="40% - Accent4 2 4" xfId="1556" xr:uid="{5F637F9F-4AC8-48B4-9B58-68E4B0E18EC9}"/>
    <cellStyle name="40% - Accent4 3" xfId="237" xr:uid="{447B0CD2-53AC-46E0-9B9A-0E0BB08CFE6A}"/>
    <cellStyle name="40% - Accent4 4" xfId="238" xr:uid="{3B7BF122-F8C8-49C7-B305-63AE385C82DE}"/>
    <cellStyle name="40% - Accent4 5" xfId="239" xr:uid="{C4F3B33C-40F7-4211-86F9-2A5435ABE83C}"/>
    <cellStyle name="40% - Accent4 6" xfId="240" xr:uid="{3C1C6561-A7F6-422A-B8D6-2AE50DA1EF28}"/>
    <cellStyle name="40% - Accent4 7" xfId="241" xr:uid="{9F58035A-5FDA-42DA-AD9E-4290B130CD8D}"/>
    <cellStyle name="40% - Accent4 8" xfId="242" xr:uid="{F8347329-2424-479F-B0FB-36BB9B9677F2}"/>
    <cellStyle name="40% - Accent4 9" xfId="243" xr:uid="{A7A92B1F-77C3-466D-ADF9-21AFB314A7BB}"/>
    <cellStyle name="40% - Accent5 10" xfId="244" xr:uid="{81D1D75A-6C36-43A8-9C12-2A10964CFFB6}"/>
    <cellStyle name="40% - Accent5 11" xfId="245" xr:uid="{AB6006B8-9245-460E-9CFC-248A22873C75}"/>
    <cellStyle name="40% - Accent5 12" xfId="246" xr:uid="{39A08134-1E5A-4F3F-9E4C-749CA259A973}"/>
    <cellStyle name="40% - Accent5 13" xfId="247" xr:uid="{D157AAF2-DB8C-469C-BDED-CF9D6A27508D}"/>
    <cellStyle name="40% - Accent5 14" xfId="248" xr:uid="{E27E1984-D386-4E38-A113-807A7FC56898}"/>
    <cellStyle name="40% - Accent5 15" xfId="249" xr:uid="{36634722-E327-4BC0-9113-C77D84A48DC0}"/>
    <cellStyle name="40% - Accent5 16" xfId="779" xr:uid="{E29A45F4-D81A-4E2B-8C48-738596DD8264}"/>
    <cellStyle name="40% - Accent5 2" xfId="33" xr:uid="{00000000-0005-0000-0000-000013000000}"/>
    <cellStyle name="40% - Accent5 2 2" xfId="832" xr:uid="{3A0664EE-7C38-43B4-B8FD-5C6C0FC3BDE3}"/>
    <cellStyle name="40% - Accent5 2 2 2" xfId="1594" xr:uid="{7FF59556-460A-4210-94B8-13AE8C7EA909}"/>
    <cellStyle name="40% - Accent5 2 3" xfId="250" xr:uid="{F82C0BC5-6E74-4D55-9F8B-18ADB943D5E2}"/>
    <cellStyle name="40% - Accent5 2 3 2" xfId="1627" xr:uid="{CD8D4BD0-6AB3-4F96-BDA4-3DF56BB6BDE6}"/>
    <cellStyle name="40% - Accent5 2 4" xfId="1559" xr:uid="{23DDFA9C-3BAD-4889-81B1-1ADB24ACB357}"/>
    <cellStyle name="40% - Accent5 3" xfId="251" xr:uid="{BED4D3FC-DB10-446F-9B58-67F7BB355728}"/>
    <cellStyle name="40% - Accent5 4" xfId="252" xr:uid="{146C250D-9876-48CC-A43A-80CCE03EAF69}"/>
    <cellStyle name="40% - Accent5 5" xfId="253" xr:uid="{2E069F66-4FD1-485F-812E-2D334075FE3F}"/>
    <cellStyle name="40% - Accent5 6" xfId="254" xr:uid="{A67D1C26-A7E1-4249-8F0A-B74EE22C90FC}"/>
    <cellStyle name="40% - Accent5 7" xfId="255" xr:uid="{BB2E3FCE-8470-4A39-B0B0-06985E6FAF0C}"/>
    <cellStyle name="40% - Accent5 8" xfId="256" xr:uid="{CF48EE0B-3D9A-4E8D-BA4B-93DCA00AC744}"/>
    <cellStyle name="40% - Accent5 9" xfId="257" xr:uid="{EE2A0F91-D9F0-402D-A570-F1F403F262AD}"/>
    <cellStyle name="40% - Accent6 10" xfId="258" xr:uid="{063FF286-593A-43F4-A6A4-C5FAF1B7496C}"/>
    <cellStyle name="40% - Accent6 11" xfId="259" xr:uid="{3A0D6BD3-2517-47F4-ACF6-063BCFEA6422}"/>
    <cellStyle name="40% - Accent6 12" xfId="260" xr:uid="{AFAEDE9C-9F9B-4894-8747-392B027FD40C}"/>
    <cellStyle name="40% - Accent6 13" xfId="261" xr:uid="{66721FAF-ACD8-4D7A-ACA0-DE12C31F562A}"/>
    <cellStyle name="40% - Accent6 14" xfId="262" xr:uid="{24DC32D0-C8F7-4E3B-8854-2AA9EEB4903D}"/>
    <cellStyle name="40% - Accent6 15" xfId="263" xr:uid="{5D979095-49EC-40DE-9D27-4F2C3CF8FC56}"/>
    <cellStyle name="40% - Accent6 16" xfId="780" xr:uid="{D226C986-725A-4430-BB2E-923F5DB35BE0}"/>
    <cellStyle name="40% - Accent6 2" xfId="34" xr:uid="{00000000-0005-0000-0000-000014000000}"/>
    <cellStyle name="40% - Accent6 2 2" xfId="836" xr:uid="{55D6C8D3-8343-4C9B-AF9D-E057025C2BCB}"/>
    <cellStyle name="40% - Accent6 2 2 2" xfId="1596" xr:uid="{C49DF089-6320-497B-8554-472A9BDCE42F}"/>
    <cellStyle name="40% - Accent6 2 3" xfId="264" xr:uid="{66A8F444-729A-480D-91B8-2A2A0AEADE80}"/>
    <cellStyle name="40% - Accent6 2 3 2" xfId="1629" xr:uid="{068EBA13-23E2-42BC-B850-48EE2CA1B17F}"/>
    <cellStyle name="40% - Accent6 2 4" xfId="1561" xr:uid="{94B5F9E4-8293-4E34-BF06-542E69FD43F8}"/>
    <cellStyle name="40% - Accent6 3" xfId="265" xr:uid="{30099454-2072-4D8D-A920-2C35B492A4D9}"/>
    <cellStyle name="40% - Accent6 4" xfId="266" xr:uid="{CF27A3A7-120B-4E2B-8CD6-64D7A7BC6399}"/>
    <cellStyle name="40% - Accent6 5" xfId="267" xr:uid="{A557B3E1-5E14-4490-9399-C90860D40BF4}"/>
    <cellStyle name="40% - Accent6 6" xfId="268" xr:uid="{DF3145FD-ABB6-4AD0-A84E-8B8FE4DE779A}"/>
    <cellStyle name="40% - Accent6 7" xfId="269" xr:uid="{EBA005D8-ACE1-451A-98F8-07DA1AA4DB1D}"/>
    <cellStyle name="40% - Accent6 8" xfId="270" xr:uid="{4CB26E9C-9ECA-4043-A3A1-22AA5784988E}"/>
    <cellStyle name="40% - Accent6 9" xfId="271" xr:uid="{4CCF379F-2F25-4939-A225-C4B8453ECE3A}"/>
    <cellStyle name="60% - Accent1 10" xfId="272" xr:uid="{121D0AB9-CE72-4784-9393-8E3D367A5FC1}"/>
    <cellStyle name="60% - Accent1 11" xfId="273" xr:uid="{B7F2F6D3-662C-4B06-81D7-AA81CDFFE44C}"/>
    <cellStyle name="60% - Accent1 12" xfId="274" xr:uid="{CF0770D2-01E8-4E33-BAF7-91F084A95505}"/>
    <cellStyle name="60% - Accent1 13" xfId="275" xr:uid="{7CEC125A-2191-4C31-8E75-FA3AA08AF528}"/>
    <cellStyle name="60% - Accent1 14" xfId="276" xr:uid="{4F76651C-E0C6-4828-8638-CCE7CBEF79BC}"/>
    <cellStyle name="60% - Accent1 15" xfId="277" xr:uid="{8CA670D0-8B0E-4D89-B2A5-E65A4631E0D0}"/>
    <cellStyle name="60% - Accent1 16" xfId="781" xr:uid="{EE15427E-4B7D-46C4-A810-A0149D768BE3}"/>
    <cellStyle name="60% - Accent1 2" xfId="35" xr:uid="{00000000-0005-0000-0000-000015000000}"/>
    <cellStyle name="60% - Accent1 2 2" xfId="817" xr:uid="{DA53280A-48A4-4C8D-B351-917BE633AA11}"/>
    <cellStyle name="60% - Accent1 2 3" xfId="278" xr:uid="{B22BB10A-14FF-4849-A0B3-5F4CFF0AD886}"/>
    <cellStyle name="60% - Accent1 3" xfId="279" xr:uid="{F081065D-FB71-4871-914C-CE127F402382}"/>
    <cellStyle name="60% - Accent1 4" xfId="280" xr:uid="{B2DAFC0D-440B-4325-81DF-8AACD2800598}"/>
    <cellStyle name="60% - Accent1 5" xfId="281" xr:uid="{DC694C4B-078D-4F35-B8DF-EF8AD1F9CBB4}"/>
    <cellStyle name="60% - Accent1 6" xfId="282" xr:uid="{73B8B9D5-1E27-4E10-ADCD-1AB4364307CA}"/>
    <cellStyle name="60% - Accent1 7" xfId="283" xr:uid="{04916911-431D-4FD8-AEB9-9527C7EA90A5}"/>
    <cellStyle name="60% - Accent1 8" xfId="284" xr:uid="{BEC5E216-0D73-4287-B87E-A081C003DB91}"/>
    <cellStyle name="60% - Accent1 9" xfId="285" xr:uid="{6EC31DE2-92E7-4685-8893-10EC7B245FFB}"/>
    <cellStyle name="60% - Accent2 10" xfId="286" xr:uid="{5A4C17A8-4857-4C00-BAD5-907895B2A795}"/>
    <cellStyle name="60% - Accent2 11" xfId="287" xr:uid="{AAAB4EF6-1227-4703-935B-E1144856CDEB}"/>
    <cellStyle name="60% - Accent2 12" xfId="288" xr:uid="{C8E65D39-1F04-4C71-BC79-C3FD8B4C739D}"/>
    <cellStyle name="60% - Accent2 13" xfId="289" xr:uid="{75D766B4-751F-4E61-937A-B29967B28276}"/>
    <cellStyle name="60% - Accent2 14" xfId="290" xr:uid="{B6CBCFDE-2995-4D82-A44C-9F34B0AC89A7}"/>
    <cellStyle name="60% - Accent2 15" xfId="291" xr:uid="{FCB55BF2-48F1-4DF2-B95F-AE5172C28027}"/>
    <cellStyle name="60% - Accent2 16" xfId="782" xr:uid="{77D578A0-FD5A-49D6-94E0-3A5E3FFC73D9}"/>
    <cellStyle name="60% - Accent2 2" xfId="36" xr:uid="{00000000-0005-0000-0000-000016000000}"/>
    <cellStyle name="60% - Accent2 2 2" xfId="821" xr:uid="{0000B17A-C06A-4F22-907A-3FF328F00F86}"/>
    <cellStyle name="60% - Accent2 2 3" xfId="292" xr:uid="{958FB846-B3E0-48B1-98D9-EA000ED18435}"/>
    <cellStyle name="60% - Accent2 3" xfId="293" xr:uid="{1E6A68D4-E7D6-45D5-8321-239EECB71DBD}"/>
    <cellStyle name="60% - Accent2 4" xfId="294" xr:uid="{1AB2AFBD-AA6A-41C7-8244-42E5F5D3FD1C}"/>
    <cellStyle name="60% - Accent2 5" xfId="295" xr:uid="{1C19E159-F86C-42A9-ABE1-591CDBC84F90}"/>
    <cellStyle name="60% - Accent2 6" xfId="296" xr:uid="{9EE756B7-D35D-45CE-8233-30596E37DD24}"/>
    <cellStyle name="60% - Accent2 7" xfId="297" xr:uid="{4C09B745-4F30-4B03-BF81-47729DB3CF3A}"/>
    <cellStyle name="60% - Accent2 8" xfId="298" xr:uid="{B94AA458-577F-4CDE-9BE3-2EC500D97A78}"/>
    <cellStyle name="60% - Accent2 9" xfId="299" xr:uid="{669F84EE-6D47-4B43-95F9-E73081B36D62}"/>
    <cellStyle name="60% - Accent3 10" xfId="300" xr:uid="{E004A4EC-F1DD-46A4-B225-11995009ACD1}"/>
    <cellStyle name="60% - Accent3 11" xfId="301" xr:uid="{39BED4F6-819E-4365-8C8B-40178C8674D1}"/>
    <cellStyle name="60% - Accent3 12" xfId="302" xr:uid="{49B92048-6C3F-4A6B-B81F-749B819D0DE2}"/>
    <cellStyle name="60% - Accent3 13" xfId="303" xr:uid="{89E54486-4DB7-4A0E-807A-CC52AEC1AE84}"/>
    <cellStyle name="60% - Accent3 14" xfId="304" xr:uid="{3729815D-C0C0-44FE-B70F-512CB7FC63E9}"/>
    <cellStyle name="60% - Accent3 15" xfId="305" xr:uid="{E3BCEA63-A2DB-4B83-AC76-8977550F608C}"/>
    <cellStyle name="60% - Accent3 16" xfId="783" xr:uid="{CB624445-18FF-43B8-971E-E4297F509989}"/>
    <cellStyle name="60% - Accent3 2" xfId="37" xr:uid="{00000000-0005-0000-0000-000017000000}"/>
    <cellStyle name="60% - Accent3 2 2" xfId="825" xr:uid="{44DD17FD-58C8-4F15-8A99-9B8CF79411B3}"/>
    <cellStyle name="60% - Accent3 2 3" xfId="306" xr:uid="{D6AF060B-685D-4A0E-ADAF-C6E5982631E4}"/>
    <cellStyle name="60% - Accent3 3" xfId="307" xr:uid="{066235C4-8112-4190-9BB8-40460448C492}"/>
    <cellStyle name="60% - Accent3 4" xfId="308" xr:uid="{FB275DE9-577B-4B6B-B7EB-0300703382DB}"/>
    <cellStyle name="60% - Accent3 5" xfId="309" xr:uid="{21626179-22AF-4425-B3E3-D323B8D89A3B}"/>
    <cellStyle name="60% - Accent3 6" xfId="310" xr:uid="{F2DDA026-78E1-4C8D-A288-3C57E26AD150}"/>
    <cellStyle name="60% - Accent3 7" xfId="311" xr:uid="{83E38BA6-8E54-4ABC-91A3-3ED49925CD9D}"/>
    <cellStyle name="60% - Accent3 8" xfId="312" xr:uid="{26390211-D61D-45BF-BBC5-7FE49861737C}"/>
    <cellStyle name="60% - Accent3 9" xfId="313" xr:uid="{B612C642-70BE-4649-930A-BBD649C8A156}"/>
    <cellStyle name="60% - Accent4 10" xfId="314" xr:uid="{AAF16347-5166-4508-BA3F-D490E39D1490}"/>
    <cellStyle name="60% - Accent4 11" xfId="315" xr:uid="{EB04CC85-EF0F-448E-B94C-16E0F738326D}"/>
    <cellStyle name="60% - Accent4 12" xfId="316" xr:uid="{87018657-7442-4BF1-A854-F7EF377F7D05}"/>
    <cellStyle name="60% - Accent4 13" xfId="317" xr:uid="{9F1F49B9-CB22-4964-8A30-06E5D0B30654}"/>
    <cellStyle name="60% - Accent4 14" xfId="318" xr:uid="{AD06B357-9DA6-4627-8EC8-A5220D680CE6}"/>
    <cellStyle name="60% - Accent4 15" xfId="319" xr:uid="{361052E9-8026-4A4E-A7FB-42F9CB6ED48F}"/>
    <cellStyle name="60% - Accent4 16" xfId="784" xr:uid="{47C94269-E3DE-4187-8087-4B76933C7F34}"/>
    <cellStyle name="60% - Accent4 2" xfId="38" xr:uid="{00000000-0005-0000-0000-000018000000}"/>
    <cellStyle name="60% - Accent4 2 2" xfId="829" xr:uid="{9A15E3F0-3BDC-4AE9-A088-651919D69ED0}"/>
    <cellStyle name="60% - Accent4 2 3" xfId="320" xr:uid="{72D010D9-7502-45D0-B05F-B92BABA26233}"/>
    <cellStyle name="60% - Accent4 3" xfId="321" xr:uid="{ADFC752E-942C-43E0-BF1D-F592C797999E}"/>
    <cellStyle name="60% - Accent4 4" xfId="322" xr:uid="{55B6F08B-7D92-4A8E-B30C-65C9C70CD56A}"/>
    <cellStyle name="60% - Accent4 5" xfId="323" xr:uid="{62F88DA3-F11D-4E51-9969-77F5BDD6C53F}"/>
    <cellStyle name="60% - Accent4 6" xfId="324" xr:uid="{7155239E-D1BE-44CB-8A50-536C5CC3A744}"/>
    <cellStyle name="60% - Accent4 7" xfId="325" xr:uid="{D393407F-B740-4E6D-B506-76010AAD788B}"/>
    <cellStyle name="60% - Accent4 8" xfId="326" xr:uid="{66A852E5-31EB-4F6D-8728-E8A2B5CE781F}"/>
    <cellStyle name="60% - Accent4 9" xfId="327" xr:uid="{BA84BE9B-99F1-4CD6-9C7E-856F335BE3C2}"/>
    <cellStyle name="60% - Accent5 10" xfId="328" xr:uid="{A963E034-9E64-4E89-B8F0-F115F5AAA65A}"/>
    <cellStyle name="60% - Accent5 11" xfId="329" xr:uid="{904852EA-FFB1-47CB-AE94-51F5FBF89AAD}"/>
    <cellStyle name="60% - Accent5 12" xfId="330" xr:uid="{50A01703-8CA0-48E6-98FA-415610CB0F41}"/>
    <cellStyle name="60% - Accent5 13" xfId="331" xr:uid="{E0836346-B2E1-46BA-BA3D-166D1B4193B2}"/>
    <cellStyle name="60% - Accent5 14" xfId="332" xr:uid="{31B79357-0BC4-418C-8617-8F732A50488E}"/>
    <cellStyle name="60% - Accent5 15" xfId="333" xr:uid="{4561D9AC-BAD1-4061-9A9F-6F4CC6D8E7BC}"/>
    <cellStyle name="60% - Accent5 16" xfId="785" xr:uid="{62921C0F-003F-4EB3-82B7-62379FA6FA2F}"/>
    <cellStyle name="60% - Accent5 2" xfId="39" xr:uid="{00000000-0005-0000-0000-000019000000}"/>
    <cellStyle name="60% - Accent5 2 2" xfId="833" xr:uid="{81D9616E-F32A-4263-8427-204776A10764}"/>
    <cellStyle name="60% - Accent5 2 3" xfId="334" xr:uid="{2B160FDD-523E-44FA-BBF2-A885ABBFA819}"/>
    <cellStyle name="60% - Accent5 3" xfId="335" xr:uid="{228875CA-4A37-4DD6-B065-693F85C8A0B2}"/>
    <cellStyle name="60% - Accent5 4" xfId="336" xr:uid="{03B501A0-8915-47F7-989C-079DCC58520A}"/>
    <cellStyle name="60% - Accent5 5" xfId="337" xr:uid="{DBBAEAE6-E755-4C0F-8909-F7E95E331556}"/>
    <cellStyle name="60% - Accent5 6" xfId="338" xr:uid="{6CBDED8D-5F78-4A1E-8FDF-5124269990F2}"/>
    <cellStyle name="60% - Accent5 7" xfId="339" xr:uid="{BA493134-E102-4C9E-BCA2-4E827A30352D}"/>
    <cellStyle name="60% - Accent5 8" xfId="340" xr:uid="{E5CCAB94-2F4B-4054-831E-E7E2F9CD2073}"/>
    <cellStyle name="60% - Accent5 9" xfId="341" xr:uid="{3B976BA8-CF6A-4E3E-8FE9-9FE1A613DF8A}"/>
    <cellStyle name="60% - Accent6 10" xfId="342" xr:uid="{DC2C7613-3F0A-49D1-AD17-3285665FC348}"/>
    <cellStyle name="60% - Accent6 11" xfId="343" xr:uid="{8EB07F71-F72B-44EE-A412-CA0C9E9CCEB9}"/>
    <cellStyle name="60% - Accent6 12" xfId="344" xr:uid="{CEA9548B-BB37-42BD-8290-27DFFFF7464D}"/>
    <cellStyle name="60% - Accent6 13" xfId="345" xr:uid="{05E0F87D-45F8-4B63-A506-191888AD78D6}"/>
    <cellStyle name="60% - Accent6 14" xfId="346" xr:uid="{EDB37D45-0450-4071-AD0E-5EF631CD35AC}"/>
    <cellStyle name="60% - Accent6 15" xfId="347" xr:uid="{6C7DF8D5-D93F-4C3F-8A1B-B840732D2150}"/>
    <cellStyle name="60% - Accent6 16" xfId="786" xr:uid="{AC620523-7C15-4129-8994-447C11F011E2}"/>
    <cellStyle name="60% - Accent6 2" xfId="40" xr:uid="{00000000-0005-0000-0000-00001A000000}"/>
    <cellStyle name="60% - Accent6 2 2" xfId="837" xr:uid="{C211F60E-4F1E-462D-90B1-D1C59A7CA834}"/>
    <cellStyle name="60% - Accent6 2 3" xfId="348" xr:uid="{8FEDC37A-83AA-453F-B9D4-61E8375107AA}"/>
    <cellStyle name="60% - Accent6 3" xfId="349" xr:uid="{A63D4885-BA94-4853-A7BD-AFFFAC1920B8}"/>
    <cellStyle name="60% - Accent6 4" xfId="350" xr:uid="{8A3CFC16-1705-4DF2-8A6F-AA9875D68BA0}"/>
    <cellStyle name="60% - Accent6 5" xfId="351" xr:uid="{DB292F6C-AB35-4BEF-B436-04DCF7815BDF}"/>
    <cellStyle name="60% - Accent6 6" xfId="352" xr:uid="{5024521E-5F69-4CDE-8085-03959B8B9E73}"/>
    <cellStyle name="60% - Accent6 7" xfId="353" xr:uid="{A2573E77-FB71-4184-9A07-0F342EA9BCFD}"/>
    <cellStyle name="60% - Accent6 8" xfId="354" xr:uid="{FF57B009-A40C-4C40-AD15-1BD3894F9A34}"/>
    <cellStyle name="60% - Accent6 9" xfId="355" xr:uid="{7F460525-0B9B-431B-AC5C-1E2EE8771FBF}"/>
    <cellStyle name="Accent1 10" xfId="356" xr:uid="{5D702F71-5298-448D-95F3-3C43CD194A53}"/>
    <cellStyle name="Accent1 11" xfId="357" xr:uid="{85567DA3-A5FA-4720-9124-13817F6F24CF}"/>
    <cellStyle name="Accent1 12" xfId="358" xr:uid="{9F8CB846-DD76-474F-9C05-DE4B0B7C6A62}"/>
    <cellStyle name="Accent1 13" xfId="359" xr:uid="{D44710D6-FEB4-4B8E-AA73-202B4284C3C8}"/>
    <cellStyle name="Accent1 14" xfId="360" xr:uid="{422053BA-6D94-4F2E-A1B1-ABAC4525B803}"/>
    <cellStyle name="Accent1 15" xfId="361" xr:uid="{A1875704-5ECE-4612-9772-19904B18B858}"/>
    <cellStyle name="Accent1 16" xfId="787" xr:uid="{A97D7B3B-83A4-460F-AF58-77C7E8A85F3B}"/>
    <cellStyle name="Accent1 2" xfId="41" xr:uid="{00000000-0005-0000-0000-00001B000000}"/>
    <cellStyle name="Accent1 2 2" xfId="814" xr:uid="{D8C6A5BA-9C94-42E7-B238-00124BC1E5B7}"/>
    <cellStyle name="Accent1 2 3" xfId="362" xr:uid="{A8C6951A-18E5-4626-BFDA-A274AA07EA64}"/>
    <cellStyle name="Accent1 3" xfId="363" xr:uid="{A7AD30D4-1F8B-4798-A5E8-B007655B61F5}"/>
    <cellStyle name="Accent1 4" xfId="364" xr:uid="{F70D2A21-5E75-427B-9A49-C7879FEFE499}"/>
    <cellStyle name="Accent1 5" xfId="365" xr:uid="{195574B9-FA2C-4D0E-80EC-E9D2B3E99470}"/>
    <cellStyle name="Accent1 6" xfId="366" xr:uid="{35A9CE23-BAE9-4556-9CF8-319451A6CC0B}"/>
    <cellStyle name="Accent1 7" xfId="367" xr:uid="{A92F728B-D892-42C5-9F6B-7F264DED586E}"/>
    <cellStyle name="Accent1 8" xfId="368" xr:uid="{C2C70A46-7D76-4ED2-BEF2-B25DB1E2677B}"/>
    <cellStyle name="Accent1 9" xfId="369" xr:uid="{294B5A8D-A5E3-4272-8D09-3F68D8E68C21}"/>
    <cellStyle name="Accent2 10" xfId="370" xr:uid="{84FF7D4D-1E1C-4BE7-8B9F-039C2BC638A9}"/>
    <cellStyle name="Accent2 11" xfId="371" xr:uid="{843D242C-4647-4C9E-90FD-AE74BE489C3A}"/>
    <cellStyle name="Accent2 12" xfId="372" xr:uid="{603FEADC-D8F0-43D7-89C7-CC59CBF7E923}"/>
    <cellStyle name="Accent2 13" xfId="373" xr:uid="{4B6FC0B0-2125-4593-A694-6D0F2E126E5F}"/>
    <cellStyle name="Accent2 14" xfId="374" xr:uid="{B6DC7C0E-30F8-402E-BF60-5FCEC289BFE8}"/>
    <cellStyle name="Accent2 15" xfId="375" xr:uid="{89B64ED2-BDD2-4F72-A4CB-9C8121043CEC}"/>
    <cellStyle name="Accent2 16" xfId="788" xr:uid="{0F01D3EA-A884-46AF-AF28-8FBCB7DB4F43}"/>
    <cellStyle name="Accent2 2" xfId="42" xr:uid="{00000000-0005-0000-0000-00001C000000}"/>
    <cellStyle name="Accent2 2 2" xfId="818" xr:uid="{F4A32345-D18B-422B-9E95-E9D6BCBFA8DE}"/>
    <cellStyle name="Accent2 2 3" xfId="376" xr:uid="{658ACFBF-F8A5-46A6-A4A8-BB00CA5F6D24}"/>
    <cellStyle name="Accent2 3" xfId="377" xr:uid="{0E04D4DB-0043-4EF3-B1DE-89D122024744}"/>
    <cellStyle name="Accent2 4" xfId="378" xr:uid="{ABEA153E-575F-4599-8F2D-CDDDE8620568}"/>
    <cellStyle name="Accent2 5" xfId="379" xr:uid="{B6F33499-F77A-45F7-88AF-FED3701ABE51}"/>
    <cellStyle name="Accent2 6" xfId="380" xr:uid="{3C76C1D3-42D0-4088-9FDA-A18118ACC297}"/>
    <cellStyle name="Accent2 7" xfId="381" xr:uid="{FEC8E6FD-689B-4A71-A528-6A8837063972}"/>
    <cellStyle name="Accent2 8" xfId="382" xr:uid="{A356D243-8855-4D71-ADEC-7D7F568976C0}"/>
    <cellStyle name="Accent2 9" xfId="383" xr:uid="{505F449A-057A-4060-B5A3-641E3DC0385C}"/>
    <cellStyle name="Accent3 10" xfId="384" xr:uid="{45E2612A-F1E5-49CF-9998-716AE4C7E2F0}"/>
    <cellStyle name="Accent3 11" xfId="385" xr:uid="{951959F2-B7B1-44C7-9976-25CD33D5BCBE}"/>
    <cellStyle name="Accent3 12" xfId="386" xr:uid="{0CF52F73-80A2-426A-AD4F-B3553621461F}"/>
    <cellStyle name="Accent3 13" xfId="387" xr:uid="{31A39ED5-FA8D-421D-9FFA-5B9ACD37FF6B}"/>
    <cellStyle name="Accent3 14" xfId="388" xr:uid="{A947A20A-8F2B-4C56-BF86-4257791EADE9}"/>
    <cellStyle name="Accent3 15" xfId="389" xr:uid="{D41435EB-6E64-4382-8481-BF9E91CBCF12}"/>
    <cellStyle name="Accent3 16" xfId="789" xr:uid="{C8733DC0-B5E6-4232-9A49-46F93C0D4E4F}"/>
    <cellStyle name="Accent3 2" xfId="43" xr:uid="{00000000-0005-0000-0000-00001D000000}"/>
    <cellStyle name="Accent3 2 2" xfId="822" xr:uid="{B60E2D03-5380-4C79-985E-C82533A9F749}"/>
    <cellStyle name="Accent3 2 3" xfId="390" xr:uid="{2CBCA5EE-BE77-4470-897F-E80E0D5DF163}"/>
    <cellStyle name="Accent3 3" xfId="391" xr:uid="{7E5E41E5-0AAC-4B04-8490-B57402A0F4BA}"/>
    <cellStyle name="Accent3 4" xfId="392" xr:uid="{F95D2CCE-8F67-4454-A2EA-427DF7044C56}"/>
    <cellStyle name="Accent3 5" xfId="393" xr:uid="{904401F1-D588-4BF1-8332-30B44D2882A5}"/>
    <cellStyle name="Accent3 6" xfId="394" xr:uid="{51445725-488F-4395-9089-4CD2E9935CCB}"/>
    <cellStyle name="Accent3 7" xfId="395" xr:uid="{87034619-7FBA-4BB6-9FD6-0BA43CF303E0}"/>
    <cellStyle name="Accent3 8" xfId="396" xr:uid="{95F92697-F1BE-4802-8AD6-BB4B4CC0E381}"/>
    <cellStyle name="Accent3 9" xfId="397" xr:uid="{1DC0A8BC-6398-46E9-BA7D-385A0F1E2629}"/>
    <cellStyle name="Accent4 10" xfId="398" xr:uid="{0846C6B3-8DC3-40E9-B253-B876D99D423F}"/>
    <cellStyle name="Accent4 11" xfId="399" xr:uid="{AA8A6EFE-68D5-4939-8663-F4C12ECA1874}"/>
    <cellStyle name="Accent4 12" xfId="400" xr:uid="{BCCE4523-5EAE-4B0A-A908-B2BEF07910AA}"/>
    <cellStyle name="Accent4 13" xfId="401" xr:uid="{BE8BA843-2C3B-498E-AA84-AF0EEA4A9D08}"/>
    <cellStyle name="Accent4 14" xfId="402" xr:uid="{2942FC04-1DCE-4A87-932C-CDFCD7D8C80D}"/>
    <cellStyle name="Accent4 15" xfId="403" xr:uid="{CA723D49-D18A-40A2-B08B-E9563211ABCA}"/>
    <cellStyle name="Accent4 16" xfId="871" xr:uid="{A6928AFA-45D5-4ECE-B72F-01121C16BFEF}"/>
    <cellStyle name="Accent4 2" xfId="44" xr:uid="{00000000-0005-0000-0000-00001E000000}"/>
    <cellStyle name="Accent4 2 2" xfId="826" xr:uid="{46F873C4-B866-4F77-AF9B-F232FFBB5B98}"/>
    <cellStyle name="Accent4 2 3" xfId="404" xr:uid="{975A9701-FA0E-4A13-B8DD-CDF2819CD5A2}"/>
    <cellStyle name="Accent4 3" xfId="405" xr:uid="{5B4974FB-59DB-46B5-BB8E-1D441665E735}"/>
    <cellStyle name="Accent4 4" xfId="406" xr:uid="{F373D766-E62C-4E35-B388-048F69949A2A}"/>
    <cellStyle name="Accent4 5" xfId="407" xr:uid="{2737E294-DCBF-46EF-86B0-FE5C12C02CAA}"/>
    <cellStyle name="Accent4 6" xfId="408" xr:uid="{107DD55B-0855-48BB-8177-89B07261A147}"/>
    <cellStyle name="Accent4 7" xfId="409" xr:uid="{0B450E02-87F3-46FC-ABCF-14FF49675432}"/>
    <cellStyle name="Accent4 8" xfId="410" xr:uid="{FA4F0027-AB48-4607-A2C9-2F6DFA011570}"/>
    <cellStyle name="Accent4 9" xfId="411" xr:uid="{8B350769-DEE4-4AA9-9969-CF5914B7C43B}"/>
    <cellStyle name="Accent5 10" xfId="412" xr:uid="{64E3DEE8-54E1-4E9F-815B-D01BC9343BE8}"/>
    <cellStyle name="Accent5 11" xfId="413" xr:uid="{A1144569-983B-49D4-97FA-47DD60DF1F94}"/>
    <cellStyle name="Accent5 12" xfId="414" xr:uid="{562878AE-DB2E-4827-8199-027B77329B98}"/>
    <cellStyle name="Accent5 13" xfId="415" xr:uid="{EE017235-1C02-41B2-8D9B-E1885733A643}"/>
    <cellStyle name="Accent5 14" xfId="416" xr:uid="{B350A851-0856-4638-8406-23D404FCD8BF}"/>
    <cellStyle name="Accent5 15" xfId="417" xr:uid="{00914131-44F1-47F6-A633-AF50C11D9247}"/>
    <cellStyle name="Accent5 16" xfId="866" xr:uid="{6554CF10-4167-4B33-BF47-88337BEAA272}"/>
    <cellStyle name="Accent5 2" xfId="45" xr:uid="{00000000-0005-0000-0000-00001F000000}"/>
    <cellStyle name="Accent5 2 2" xfId="830" xr:uid="{7569D6EC-EB2F-4158-AB54-D4F60CF9ED0B}"/>
    <cellStyle name="Accent5 2 3" xfId="418" xr:uid="{5179EA49-A272-41FC-993B-E4F55677CBC9}"/>
    <cellStyle name="Accent5 3" xfId="419" xr:uid="{2D1C5A73-024B-4C15-B18B-3D645AB7F0C1}"/>
    <cellStyle name="Accent5 4" xfId="420" xr:uid="{6800D9EF-155D-4AE6-942B-0EED17109F2A}"/>
    <cellStyle name="Accent5 5" xfId="421" xr:uid="{7270F192-3905-4544-A9C9-2686AF21939D}"/>
    <cellStyle name="Accent5 6" xfId="422" xr:uid="{55C18A12-D324-472C-9022-BE401BF33F42}"/>
    <cellStyle name="Accent5 7" xfId="423" xr:uid="{671DBB28-BAA0-4308-95F0-4DE0137BDC9E}"/>
    <cellStyle name="Accent5 8" xfId="424" xr:uid="{6679B65E-5BFB-4FE7-8ADE-052325510415}"/>
    <cellStyle name="Accent5 9" xfId="425" xr:uid="{12E34B9E-05B6-4F21-A899-0C0A36736E6C}"/>
    <cellStyle name="Accent6 10" xfId="426" xr:uid="{5732E225-880B-4B24-BD7E-92655A9BE055}"/>
    <cellStyle name="Accent6 11" xfId="427" xr:uid="{FE1FB0D1-F152-4328-9B56-1AAF63E4E7EC}"/>
    <cellStyle name="Accent6 12" xfId="428" xr:uid="{9F90447A-26B8-4B1E-9139-D9E47F0344C5}"/>
    <cellStyle name="Accent6 13" xfId="429" xr:uid="{A7359480-AD64-405B-8B54-22F2CDC03D6B}"/>
    <cellStyle name="Accent6 14" xfId="430" xr:uid="{5DADB6C9-F700-4288-B5EE-846044C5E251}"/>
    <cellStyle name="Accent6 15" xfId="431" xr:uid="{2F5D5605-A8B0-44BB-AFAB-DEE06114F71F}"/>
    <cellStyle name="Accent6 16" xfId="870" xr:uid="{DC8A7880-3A36-41A4-A73A-F9DB1A061A43}"/>
    <cellStyle name="Accent6 2" xfId="46" xr:uid="{00000000-0005-0000-0000-000020000000}"/>
    <cellStyle name="Accent6 2 2" xfId="834" xr:uid="{3B96CDD7-EE3D-42E0-BFB4-03DD4B8BBD24}"/>
    <cellStyle name="Accent6 2 3" xfId="432" xr:uid="{A6EF0BCD-1951-4469-A103-C10605D9C201}"/>
    <cellStyle name="Accent6 3" xfId="433" xr:uid="{937A6A4B-0827-42B7-94E1-ED48F95052E5}"/>
    <cellStyle name="Accent6 4" xfId="434" xr:uid="{02437E66-BCE1-4A90-A9A2-DA098689900A}"/>
    <cellStyle name="Accent6 5" xfId="435" xr:uid="{577460C7-DC19-4713-88DB-4CA0D0F9C622}"/>
    <cellStyle name="Accent6 6" xfId="436" xr:uid="{D59A24A9-41A8-46BF-B9B3-6D69CD3561C7}"/>
    <cellStyle name="Accent6 7" xfId="437" xr:uid="{8CBEE71B-01B1-4BCD-B271-33421739FAFD}"/>
    <cellStyle name="Accent6 8" xfId="438" xr:uid="{B7D34C19-695B-432D-910D-448C2F6E7189}"/>
    <cellStyle name="Accent6 9" xfId="439" xr:uid="{9FD4DBF2-7929-4247-B3EE-5DBD075A23D5}"/>
    <cellStyle name="Bad 10" xfId="440" xr:uid="{566576D2-7204-4BE5-8BDC-957672F81708}"/>
    <cellStyle name="Bad 11" xfId="441" xr:uid="{559A247D-7B62-4A49-9CF0-FBF489CDC04A}"/>
    <cellStyle name="Bad 12" xfId="442" xr:uid="{BF16EEDD-25D2-4EA4-8E63-E658C7170B27}"/>
    <cellStyle name="Bad 13" xfId="443" xr:uid="{98093839-534A-40C9-93AC-6ED13E1668EA}"/>
    <cellStyle name="Bad 14" xfId="444" xr:uid="{BBFC7792-30AF-4045-8C74-F38D575C7A15}"/>
    <cellStyle name="Bad 15" xfId="445" xr:uid="{4C1240DB-66C6-4BAB-8C54-D3C7417CC4C7}"/>
    <cellStyle name="Bad 16" xfId="855" xr:uid="{B7F14968-FE81-46C2-9311-818578C2F573}"/>
    <cellStyle name="Bad 2" xfId="47" xr:uid="{00000000-0005-0000-0000-000021000000}"/>
    <cellStyle name="Bad 2 2" xfId="803" xr:uid="{74E993D3-BC7E-4377-88D7-775701107076}"/>
    <cellStyle name="Bad 2 3" xfId="446" xr:uid="{41A6028F-ABDC-42B2-A98C-558E769DDBB8}"/>
    <cellStyle name="Bad 3" xfId="447" xr:uid="{D76F6138-44C3-441E-875B-A4F2C607CE4C}"/>
    <cellStyle name="Bad 4" xfId="448" xr:uid="{85042327-E6F6-4E0C-A834-E27C1FB2195B}"/>
    <cellStyle name="Bad 5" xfId="449" xr:uid="{71EA3BCB-4953-42EF-A94D-10BF71005792}"/>
    <cellStyle name="Bad 6" xfId="450" xr:uid="{EBC9A3A2-CE6B-425B-A05F-6EAEE22CBFDA}"/>
    <cellStyle name="Bad 7" xfId="451" xr:uid="{0243F4B2-A7ED-47C9-8377-E8C0C97F2BB8}"/>
    <cellStyle name="Bad 8" xfId="452" xr:uid="{5A3E1F77-EF22-4CCE-BC13-7D962668A6D2}"/>
    <cellStyle name="Bad 9" xfId="453" xr:uid="{E5DAD6C6-2824-45DA-A0AF-07DD62140BD5}"/>
    <cellStyle name="Calculation 10" xfId="454" xr:uid="{B082A5D2-CBF8-447D-9EFD-F50F2FC0995D}"/>
    <cellStyle name="Calculation 11" xfId="455" xr:uid="{47971860-E666-4C29-97F9-161A08A9FF1E}"/>
    <cellStyle name="Calculation 12" xfId="456" xr:uid="{2FC89415-36AF-4353-B5B7-78192B53DA51}"/>
    <cellStyle name="Calculation 13" xfId="457" xr:uid="{726743D5-765F-4053-A7B0-CF1E385961A9}"/>
    <cellStyle name="Calculation 14" xfId="458" xr:uid="{E82CFC78-EA29-42A0-8624-BC3BB0C4CF1B}"/>
    <cellStyle name="Calculation 15" xfId="459" xr:uid="{599CDEE9-E7D5-4FCC-9B2A-54F4711FE356}"/>
    <cellStyle name="Calculation 16" xfId="790" xr:uid="{712A35D0-6342-4FA3-89E2-CC72CF61E961}"/>
    <cellStyle name="Calculation 17" xfId="1536" xr:uid="{2EDE4944-FD14-46AE-8D88-08C84DBAA993}"/>
    <cellStyle name="Calculation 18" xfId="1539" xr:uid="{B43EC870-A144-4BBF-BFA9-B9480390D328}"/>
    <cellStyle name="Calculation 2" xfId="48" xr:uid="{00000000-0005-0000-0000-000022000000}"/>
    <cellStyle name="Calculation 2 2" xfId="807" xr:uid="{B42AAE89-5EA0-4B4D-BAFF-47773D7B4CFD}"/>
    <cellStyle name="Calculation 2 3" xfId="460" xr:uid="{C4C74B5B-8AE0-4EC3-9C78-1196B7B6FD0D}"/>
    <cellStyle name="Calculation 3" xfId="461" xr:uid="{1F8CEF80-6E40-44C7-B96B-7343048F4087}"/>
    <cellStyle name="Calculation 4" xfId="462" xr:uid="{701D28DE-684A-499C-A8BF-54C60C03DEAE}"/>
    <cellStyle name="Calculation 5" xfId="463" xr:uid="{408654D6-6674-41DB-91CE-F0969FF2081D}"/>
    <cellStyle name="Calculation 6" xfId="464" xr:uid="{5D482EDF-5266-43FF-9B1C-CBC5E37E3E6E}"/>
    <cellStyle name="Calculation 7" xfId="465" xr:uid="{083EBA3B-C5DE-464E-A820-DEC2E0B9B615}"/>
    <cellStyle name="Calculation 8" xfId="466" xr:uid="{B78FAE0F-4228-4CAA-8791-909755D8B289}"/>
    <cellStyle name="Calculation 9" xfId="467" xr:uid="{51BC4678-9144-4C80-A553-F021F0AAEB43}"/>
    <cellStyle name="Check Cell 10" xfId="468" xr:uid="{997FE835-F944-429F-9F23-526FFEECE3BE}"/>
    <cellStyle name="Check Cell 11" xfId="469" xr:uid="{DF114F21-C2B3-403B-B0D3-2CC3E61E0EE8}"/>
    <cellStyle name="Check Cell 12" xfId="470" xr:uid="{339E30AC-96AA-4CBD-A482-6CC6FCE29AC4}"/>
    <cellStyle name="Check Cell 13" xfId="471" xr:uid="{76D427B1-8257-473F-9191-F6852C679A79}"/>
    <cellStyle name="Check Cell 14" xfId="472" xr:uid="{3EBAAF24-5E78-4BDD-AFFE-0605609C6746}"/>
    <cellStyle name="Check Cell 15" xfId="473" xr:uid="{E29C7AF3-6982-4C26-A85C-9CC17498033A}"/>
    <cellStyle name="Check Cell 16" xfId="851" xr:uid="{DA86EF6C-96DC-4468-A9D7-A2B132A5CBC6}"/>
    <cellStyle name="Check Cell 2" xfId="49" xr:uid="{00000000-0005-0000-0000-000023000000}"/>
    <cellStyle name="Check Cell 2 2" xfId="809" xr:uid="{0834D282-C2F0-4E40-9F46-AC121EABF6EC}"/>
    <cellStyle name="Check Cell 2 3" xfId="474" xr:uid="{BBE0D81B-B04F-47B8-B9D9-7E418AE7ADCE}"/>
    <cellStyle name="Check Cell 3" xfId="475" xr:uid="{DC684159-56B1-431F-9DF0-56BB473ACBA0}"/>
    <cellStyle name="Check Cell 4" xfId="476" xr:uid="{F67AF96B-4B3A-4B61-B6F6-814D18FE2440}"/>
    <cellStyle name="Check Cell 5" xfId="477" xr:uid="{CB29AD73-0E65-4DA4-A542-081E7B0B7621}"/>
    <cellStyle name="Check Cell 6" xfId="478" xr:uid="{ABEDE31E-2C1B-4954-8E7C-7236B4512FFA}"/>
    <cellStyle name="Check Cell 7" xfId="479" xr:uid="{991EF724-160F-4B20-A41E-4A1F071082EB}"/>
    <cellStyle name="Check Cell 8" xfId="480" xr:uid="{6A1F5257-F00B-4E36-AD85-EBEF8E88730A}"/>
    <cellStyle name="Check Cell 9" xfId="481" xr:uid="{6B69CF47-0A5A-46F4-9DAF-FB4BA3D27483}"/>
    <cellStyle name="Comma" xfId="1" builtinId="3"/>
    <cellStyle name="Comma 10" xfId="482" xr:uid="{8FECAEF1-0324-4522-B12C-14CA6AF8D6F9}"/>
    <cellStyle name="Comma 11" xfId="1650" xr:uid="{25298E4D-5B35-4152-AA0C-B58ED9EED0BE}"/>
    <cellStyle name="Comma 2" xfId="5" xr:uid="{00000000-0005-0000-0000-000025000000}"/>
    <cellStyle name="Comma 2 10" xfId="1527" xr:uid="{0BC537A4-BE34-44C8-AA9F-9D29E2B272D0}"/>
    <cellStyle name="Comma 2 2" xfId="696" xr:uid="{5C884EC2-A2E8-4501-80D2-1AD62416BE05}"/>
    <cellStyle name="Comma 2 2 2" xfId="695" xr:uid="{45356556-BBB8-4BAC-AD32-6D82C625287D}"/>
    <cellStyle name="Comma 2 2 3" xfId="1598" xr:uid="{6B31B1F2-0BE4-40C6-9AA7-6AC72AA3B3EE}"/>
    <cellStyle name="Comma 2 3" xfId="734" xr:uid="{27F51AD3-0C7D-4B0F-B4B0-08BB7C60AE6D}"/>
    <cellStyle name="Comma 2 3 2" xfId="1631" xr:uid="{97BACC60-7486-4E1C-9DEF-041ACF924BB4}"/>
    <cellStyle name="Comma 2 4" xfId="839" xr:uid="{51C41699-2F14-4740-B30A-17757AFCA611}"/>
    <cellStyle name="Comma 2 5" xfId="1529" xr:uid="{D042C698-5BF5-4C4E-A832-9FA411884923}"/>
    <cellStyle name="Comma 2 6" xfId="1563" xr:uid="{711DB856-27D7-4708-B216-B536633DE10D}"/>
    <cellStyle name="Comma 3" xfId="6" xr:uid="{00000000-0005-0000-0000-000026000000}"/>
    <cellStyle name="Comma 3 2" xfId="50" xr:uid="{00000000-0005-0000-0000-000027000000}"/>
    <cellStyle name="Comma 3 2 2" xfId="845" xr:uid="{06F33135-4716-4593-9B2D-3B6B69144D17}"/>
    <cellStyle name="Comma 3 2 2 2" xfId="1611" xr:uid="{9D697535-BF40-42F1-B8DA-2257CEB21307}"/>
    <cellStyle name="Comma 3 2 3" xfId="697" xr:uid="{2385347A-A18A-44FB-B93F-BA54E6114382}"/>
    <cellStyle name="Comma 3 2 3 2" xfId="1641" xr:uid="{768B1C9F-FA1F-4427-A789-A0C74DA40ECD}"/>
    <cellStyle name="Comma 3 2 4" xfId="1576" xr:uid="{3138837E-8DD2-4EA7-9C15-583C8E21D09D}"/>
    <cellStyle name="Comma 3 2 5" xfId="98" xr:uid="{00000000-0005-0000-0000-000028000000}"/>
    <cellStyle name="Comma 3 3" xfId="841" xr:uid="{6F3B3E26-3FC8-4A18-8614-A92B20C5AF9B}"/>
    <cellStyle name="Comma 3 3 2" xfId="1601" xr:uid="{AA3C8A3C-D478-4AA2-8E24-619BEA3F7829}"/>
    <cellStyle name="Comma 3 4" xfId="1013" xr:uid="{93DBB256-1BC0-48FF-9C75-641FCC229582}"/>
    <cellStyle name="Comma 3 4 2" xfId="1634" xr:uid="{C034EDFB-859B-4BB2-BD5F-1B572BB2EDDF}"/>
    <cellStyle name="Comma 3 5" xfId="483" xr:uid="{F7718869-6A96-4AF3-81D7-69A99B2C7D27}"/>
    <cellStyle name="Comma 3 6" xfId="1566" xr:uid="{0341A5C9-6337-4E00-8AD0-91A483843BFF}"/>
    <cellStyle name="Comma 4" xfId="13" xr:uid="{00000000-0005-0000-0000-000029000000}"/>
    <cellStyle name="Comma 4 10" xfId="1571" xr:uid="{59A05CAD-A77A-404C-9BCA-17D6F7F90762}"/>
    <cellStyle name="Comma 4 2" xfId="718" xr:uid="{D0DD6974-E7F0-4910-AA4F-6BBA504B5857}"/>
    <cellStyle name="Comma 4 2 2" xfId="755" xr:uid="{F6DD45F6-AA08-4067-8760-3140FB1C46EE}"/>
    <cellStyle name="Comma 4 2 2 2" xfId="910" xr:uid="{AB3D9A1D-98A3-4322-A683-8C09853113F7}"/>
    <cellStyle name="Comma 4 2 2 2 2" xfId="1241" xr:uid="{AA2F7961-ECF3-4EBC-90A1-9D7D8B40F223}"/>
    <cellStyle name="Comma 4 2 2 2 2 2" xfId="1474" xr:uid="{21270ADF-E7D8-464A-BC26-DE8E50AFECD9}"/>
    <cellStyle name="Comma 4 2 2 2 3" xfId="1358" xr:uid="{BA5C24C9-1D6A-4368-8680-4AE2FCDC3F8B}"/>
    <cellStyle name="Comma 4 2 2 2 4" xfId="1122" xr:uid="{10FB19E0-5D9C-41C7-8B76-8FD8F1367963}"/>
    <cellStyle name="Comma 4 2 2 3" xfId="980" xr:uid="{124C35C6-121E-48BC-B4E2-4A86CAACA293}"/>
    <cellStyle name="Comma 4 2 2 3 2" xfId="1418" xr:uid="{E9D209CB-A116-47DC-82B1-A39F9EE0AFEE}"/>
    <cellStyle name="Comma 4 2 2 3 3" xfId="1185" xr:uid="{0326AC30-ABE8-4986-8663-1F0E856C12E3}"/>
    <cellStyle name="Comma 4 2 2 4" xfId="1302" xr:uid="{D8140800-B9AD-48FE-A30D-80226EB45111}"/>
    <cellStyle name="Comma 4 2 2 5" xfId="1065" xr:uid="{CD31EEDF-D1FF-431C-9685-02F421699DC0}"/>
    <cellStyle name="Comma 4 2 3" xfId="877" xr:uid="{911F8651-F3EA-4CE8-8564-FEF8B0403898}"/>
    <cellStyle name="Comma 4 2 3 2" xfId="1211" xr:uid="{DA551323-8739-4FD7-A3C1-37A7F4683952}"/>
    <cellStyle name="Comma 4 2 3 2 2" xfId="1444" xr:uid="{6D689856-4D13-4705-A1DF-6BA472F4AF93}"/>
    <cellStyle name="Comma 4 2 3 3" xfId="1328" xr:uid="{2664CE71-23FD-4C73-97D7-14BF4346EA3D}"/>
    <cellStyle name="Comma 4 2 3 4" xfId="1092" xr:uid="{F1050FED-08FE-46E5-A0B9-3619004886D2}"/>
    <cellStyle name="Comma 4 2 4" xfId="950" xr:uid="{537C12F2-00D3-490C-B1C6-0FF5719159D3}"/>
    <cellStyle name="Comma 4 2 4 2" xfId="1392" xr:uid="{C7AF5BEC-A755-4741-8E3C-C34268932174}"/>
    <cellStyle name="Comma 4 2 4 3" xfId="1159" xr:uid="{212B962E-FEA4-4A3E-9652-0DDE300E3E39}"/>
    <cellStyle name="Comma 4 2 5" xfId="1276" xr:uid="{D5CAA9EF-8912-4D00-BF61-F9BC7A4772B2}"/>
    <cellStyle name="Comma 4 2 6" xfId="1039" xr:uid="{CE49E489-05BC-4A71-8EC3-FD661246633E}"/>
    <cellStyle name="Comma 4 2 7" xfId="1607" xr:uid="{4E30939D-2574-440C-8B14-B830349B47A9}"/>
    <cellStyle name="Comma 4 3" xfId="726" xr:uid="{67127201-94F5-40AA-8AE2-FB81460347C4}"/>
    <cellStyle name="Comma 4 3 2" xfId="763" xr:uid="{5B7EC4E5-ECF7-4B15-A09D-23B645B4F88C}"/>
    <cellStyle name="Comma 4 3 2 2" xfId="918" xr:uid="{E658FB33-1557-4651-8E1C-BA142126A1E8}"/>
    <cellStyle name="Comma 4 3 2 2 2" xfId="1249" xr:uid="{C596C76D-ECDE-4A0D-9747-26845C136FB2}"/>
    <cellStyle name="Comma 4 3 2 2 2 2" xfId="1482" xr:uid="{92D06D19-0813-437A-80F1-ED18C108F715}"/>
    <cellStyle name="Comma 4 3 2 2 3" xfId="1366" xr:uid="{A7B0B188-956E-4DBD-99A4-E5758BECC5FE}"/>
    <cellStyle name="Comma 4 3 2 2 4" xfId="1130" xr:uid="{8A0EEEAE-AE6C-4963-BBA5-59EDC018D60A}"/>
    <cellStyle name="Comma 4 3 2 3" xfId="988" xr:uid="{C03078A6-19C3-4289-81C7-E8AA019F220E}"/>
    <cellStyle name="Comma 4 3 2 3 2" xfId="1426" xr:uid="{FFEE48A5-F665-4DF0-B7B7-4E37A8A4A939}"/>
    <cellStyle name="Comma 4 3 2 3 3" xfId="1193" xr:uid="{09AAF5DC-B974-42A4-AF2D-32BD1EC925FE}"/>
    <cellStyle name="Comma 4 3 2 4" xfId="1310" xr:uid="{AF59D94F-F15B-48EA-B21F-AC432AC23454}"/>
    <cellStyle name="Comma 4 3 2 5" xfId="1073" xr:uid="{26067BA4-3E55-4DA0-8E34-9551523DB588}"/>
    <cellStyle name="Comma 4 3 3" xfId="885" xr:uid="{8A87DA2E-AA61-4561-B5E8-4813CC7D4658}"/>
    <cellStyle name="Comma 4 3 3 2" xfId="1219" xr:uid="{575DA251-2CA0-401E-B426-9076F102FB9E}"/>
    <cellStyle name="Comma 4 3 3 2 2" xfId="1452" xr:uid="{4E9F9CAD-E96D-4636-92B0-707D07BC2F48}"/>
    <cellStyle name="Comma 4 3 3 3" xfId="1336" xr:uid="{30E8549D-535B-4380-B876-0EE75E63C991}"/>
    <cellStyle name="Comma 4 3 3 4" xfId="1100" xr:uid="{047C5DE1-2659-45EB-A103-18F7B40CFCE4}"/>
    <cellStyle name="Comma 4 3 4" xfId="958" xr:uid="{85799808-3E9F-42A6-BF19-48433923D002}"/>
    <cellStyle name="Comma 4 3 4 2" xfId="1400" xr:uid="{0550F9F1-B02D-454E-94D7-589ACB208F92}"/>
    <cellStyle name="Comma 4 3 4 3" xfId="1167" xr:uid="{1C29E861-3E06-47A1-94E3-8AF606845AC6}"/>
    <cellStyle name="Comma 4 3 5" xfId="1284" xr:uid="{CF437CAC-360E-4884-AF60-368B11CB6458}"/>
    <cellStyle name="Comma 4 3 6" xfId="1047" xr:uid="{C0A5D906-73E8-49A9-A601-A6CE3F8B5C5D}"/>
    <cellStyle name="Comma 4 3 7" xfId="1639" xr:uid="{161C6614-5553-4531-A455-85DD98A38AB3}"/>
    <cellStyle name="Comma 4 4" xfId="747" xr:uid="{0B9BCA44-DFFA-4CC3-A75B-421218FEFFE8}"/>
    <cellStyle name="Comma 4 4 2" xfId="902" xr:uid="{C8BDA6AB-74B3-4D08-A410-54F4E97BF3FC}"/>
    <cellStyle name="Comma 4 4 2 2" xfId="1233" xr:uid="{E77F1A97-F579-4335-A04C-D57E5835BC85}"/>
    <cellStyle name="Comma 4 4 2 2 2" xfId="1466" xr:uid="{A4D9D4A8-EF3C-496E-9E8D-C9F187AF6641}"/>
    <cellStyle name="Comma 4 4 2 3" xfId="1350" xr:uid="{19A4DDEC-1099-4BCC-BFB7-B0554E937F32}"/>
    <cellStyle name="Comma 4 4 2 4" xfId="1114" xr:uid="{215A50F9-63DE-436F-ABB5-D560B8641C69}"/>
    <cellStyle name="Comma 4 4 3" xfId="972" xr:uid="{01CD0DAF-2A1A-45AC-A428-611E56F68FA8}"/>
    <cellStyle name="Comma 4 4 3 2" xfId="1410" xr:uid="{451E20B6-7523-4933-83F0-6F2A8A63B3C5}"/>
    <cellStyle name="Comma 4 4 3 3" xfId="1177" xr:uid="{01ED00B4-BAD8-4B65-B432-748338A35FA0}"/>
    <cellStyle name="Comma 4 4 4" xfId="1294" xr:uid="{D2908565-DD96-4CD4-A8F9-F79AF8BDE1F7}"/>
    <cellStyle name="Comma 4 4 5" xfId="1057" xr:uid="{E0EAB927-C99B-4228-BC3E-8F0B521DA070}"/>
    <cellStyle name="Comma 4 5" xfId="863" xr:uid="{3EFD697D-D6C4-4CA7-B04E-B6412980BE8E}"/>
    <cellStyle name="Comma 4 5 2" xfId="1203" xr:uid="{AF133694-6241-4138-ABAC-4AB6FC6ECA78}"/>
    <cellStyle name="Comma 4 5 2 2" xfId="1436" xr:uid="{A37C04A3-570D-4FE6-BD1A-17C18A9E005E}"/>
    <cellStyle name="Comma 4 5 3" xfId="1320" xr:uid="{B197301A-741B-4433-973F-5E1E0E023447}"/>
    <cellStyle name="Comma 4 5 4" xfId="1084" xr:uid="{1EE9568E-58C4-415B-AF12-B388F50F8338}"/>
    <cellStyle name="Comma 4 6" xfId="942" xr:uid="{61C3D071-B490-470C-976E-9FEA44632C71}"/>
    <cellStyle name="Comma 4 6 2" xfId="1384" xr:uid="{2AE5B1D2-6D68-4937-9D3D-0CD5365CB6DC}"/>
    <cellStyle name="Comma 4 6 3" xfId="1151" xr:uid="{05EEA04F-4961-47B1-9E84-9A4BFDCDDA3D}"/>
    <cellStyle name="Comma 4 7" xfId="1268" xr:uid="{7F0F30CE-4CA9-4A1E-9660-386E4D681100}"/>
    <cellStyle name="Comma 4 8" xfId="1031" xr:uid="{1C1658A9-D38B-4BE5-916F-FA668E383A19}"/>
    <cellStyle name="Comma 4 9" xfId="698" xr:uid="{403C2BF1-19F8-4B11-8FB8-2357CD776909}"/>
    <cellStyle name="Comma 5" xfId="51" xr:uid="{00000000-0005-0000-0000-00002A000000}"/>
    <cellStyle name="Comma 5 2" xfId="741" xr:uid="{D478268A-DF0C-4B5B-BBEF-00FA1734E830}"/>
    <cellStyle name="Comma 6" xfId="52" xr:uid="{00000000-0005-0000-0000-00002B000000}"/>
    <cellStyle name="Comma 6 2" xfId="895" xr:uid="{F255B425-0280-4CF8-89B6-EBB2DEB02552}"/>
    <cellStyle name="Comma 6 2 2" xfId="1255" xr:uid="{704A244E-5A2F-4111-8E9C-2B938158BD5D}"/>
    <cellStyle name="Comma 6 2 2 2" xfId="1488" xr:uid="{9297EA6E-2CCB-4112-AF77-09EC4E4C5152}"/>
    <cellStyle name="Comma 6 2 3" xfId="1372" xr:uid="{7E23E9E1-6CEE-4A2F-8C5E-CE28F4FE14D3}"/>
    <cellStyle name="Comma 6 2 4" xfId="1136" xr:uid="{350B5B09-4779-4312-8758-D4340CF22AA9}"/>
    <cellStyle name="Comma 6 3" xfId="966" xr:uid="{6A26894F-FD4A-4F90-BFB9-AE902B473A5C}"/>
    <cellStyle name="Comma 6 3 2" xfId="1460" xr:uid="{39475F79-9885-4357-B4C1-05F47188DE1B}"/>
    <cellStyle name="Comma 6 3 3" xfId="1227" xr:uid="{18FF843B-5F8B-4F38-B119-D2C05ADBC0D3}"/>
    <cellStyle name="Comma 6 4" xfId="1344" xr:uid="{DBD9FCEF-F0D2-4017-9B9B-19883A39E7D5}"/>
    <cellStyle name="Comma 6 5" xfId="1108" xr:uid="{F50B1894-6A6C-4E4A-AB3F-58439678ADF2}"/>
    <cellStyle name="Comma 6 6" xfId="738" xr:uid="{A9251E0A-8C2F-49D9-A754-368AFE55B188}"/>
    <cellStyle name="Comma 7" xfId="102" xr:uid="{D5206E47-2A95-4FF1-9589-DA112C04A81A}"/>
    <cellStyle name="Comma 7 2" xfId="1139" xr:uid="{59452356-5177-4B48-872B-45F54E602F39}"/>
    <cellStyle name="Comma 7 3" xfId="872" xr:uid="{E7864F6D-C031-4AC2-9E32-1C2D4D8E89CF}"/>
    <cellStyle name="Comma 7 4" xfId="1528" xr:uid="{9114E8B8-6A58-43C1-A5B1-35829673A44E}"/>
    <cellStyle name="Comma 8" xfId="1143" xr:uid="{0FD88E57-14A1-40FC-9477-C96E25492CE0}"/>
    <cellStyle name="Comma 8 2" xfId="1373" xr:uid="{0BB19685-7025-45A9-8241-45B89BCC565C}"/>
    <cellStyle name="Comma 9" xfId="1257" xr:uid="{971631FA-90B2-4CD7-93DD-3F784E81F85A}"/>
    <cellStyle name="Comma0" xfId="7" xr:uid="{00000000-0005-0000-0000-00002D000000}"/>
    <cellStyle name="Currency 2" xfId="12" xr:uid="{00000000-0005-0000-0000-00002F000000}"/>
    <cellStyle name="Currency 2 2" xfId="699" xr:uid="{CCB3356E-8847-428F-9561-B52CF2B5D2E2}"/>
    <cellStyle name="Currency 2 2 2" xfId="1606" xr:uid="{208E9C23-43B5-4F69-8B65-01537819225E}"/>
    <cellStyle name="Currency 2 3" xfId="690" xr:uid="{9C4D7435-CAEA-4E1C-AF51-D7C33A5A362E}"/>
    <cellStyle name="Currency 2 3 2" xfId="1638" xr:uid="{69C8B5FF-9F26-4822-879B-C9763D573929}"/>
    <cellStyle name="Currency 2 4" xfId="865" xr:uid="{8C3B8BBD-B628-4F2B-8D55-97666F333DE1}"/>
    <cellStyle name="Currency 2 5" xfId="1012" xr:uid="{2B08C812-A7E7-4016-93C8-C0DB4CB6968D}"/>
    <cellStyle name="Currency 2 6" xfId="484" xr:uid="{85D9DD75-2F9D-4F20-9400-0DF1B67F12D8}"/>
    <cellStyle name="Currency 2 7" xfId="1570" xr:uid="{F70DAD11-0C4F-4AEC-8C4F-9D99939DBE4C}"/>
    <cellStyle name="Currency 3" xfId="53" xr:uid="{00000000-0005-0000-0000-000030000000}"/>
    <cellStyle name="Currency 3 2" xfId="700" xr:uid="{F12677A6-4868-46D1-8874-DF53244EE9F2}"/>
    <cellStyle name="Currency 3 3" xfId="691" xr:uid="{8C0C9F5B-7CBC-4E61-B5B1-D7F321083EB5}"/>
    <cellStyle name="Currency 3 4" xfId="847" xr:uid="{A9840730-335F-4017-8C21-E00A0D19E2FE}"/>
    <cellStyle name="Currency 4" xfId="54" xr:uid="{00000000-0005-0000-0000-000031000000}"/>
    <cellStyle name="Currency 4 2" xfId="1024" xr:uid="{C7D9E384-5727-432F-96D9-82CF94516DD6}"/>
    <cellStyle name="Currency 5" xfId="485" xr:uid="{C7B28150-23F3-45C8-963D-555E5B2F35A2}"/>
    <cellStyle name="Currency 6" xfId="1651" xr:uid="{1D36D290-9B8D-4366-9EA3-7B24D5CEBF63}"/>
    <cellStyle name="Currency0" xfId="8" xr:uid="{00000000-0005-0000-0000-000032000000}"/>
    <cellStyle name="Currency0 2" xfId="1572" xr:uid="{A67DA7F1-FDCC-4193-82F7-5AAABD13B541}"/>
    <cellStyle name="Date" xfId="9" xr:uid="{00000000-0005-0000-0000-000033000000}"/>
    <cellStyle name="Explanatory Text 10" xfId="486" xr:uid="{3F568998-35F7-44A2-9AEC-A813F95A59CE}"/>
    <cellStyle name="Explanatory Text 11" xfId="487" xr:uid="{5FC0FBBC-85B9-45FD-8B6D-CA82D2F1478C}"/>
    <cellStyle name="Explanatory Text 12" xfId="488" xr:uid="{444080BA-CCBC-47B4-82A2-112260A77878}"/>
    <cellStyle name="Explanatory Text 13" xfId="489" xr:uid="{2C2D7632-5C19-4DCD-98DD-F85174427DE2}"/>
    <cellStyle name="Explanatory Text 14" xfId="490" xr:uid="{09616D64-CBE4-4F8D-B345-186D66FA5AFB}"/>
    <cellStyle name="Explanatory Text 15" xfId="491" xr:uid="{C1D71F60-2F1B-47F4-A1FF-22279A29821E}"/>
    <cellStyle name="Explanatory Text 16" xfId="858" xr:uid="{5E0802C2-FAC0-4F40-B18D-7EDA62AA95A1}"/>
    <cellStyle name="Explanatory Text 2" xfId="55" xr:uid="{00000000-0005-0000-0000-000034000000}"/>
    <cellStyle name="Explanatory Text 2 2" xfId="812" xr:uid="{0AC47521-27F7-42DA-B27B-6855D64DA743}"/>
    <cellStyle name="Explanatory Text 2 3" xfId="492" xr:uid="{B8CAF406-178C-404F-AE8E-50A5F2C419F4}"/>
    <cellStyle name="Explanatory Text 3" xfId="493" xr:uid="{3DE7E739-A21D-4074-8DD5-9A974430DDFB}"/>
    <cellStyle name="Explanatory Text 4" xfId="494" xr:uid="{156BF659-3287-4DEB-BCA8-8C04E0893A73}"/>
    <cellStyle name="Explanatory Text 5" xfId="495" xr:uid="{48106F97-63CD-40B9-9462-C458763860F2}"/>
    <cellStyle name="Explanatory Text 6" xfId="496" xr:uid="{EE422B80-A024-477E-8C69-0FAAC5D0CFAC}"/>
    <cellStyle name="Explanatory Text 7" xfId="497" xr:uid="{AFDE6411-3EEE-44AC-B8BF-FA204E5051BF}"/>
    <cellStyle name="Explanatory Text 8" xfId="498" xr:uid="{7BB4893F-B03E-4570-9C80-D4AA4418FA3D}"/>
    <cellStyle name="Explanatory Text 9" xfId="499" xr:uid="{F05F9865-3553-41D8-830A-071B8A90EE20}"/>
    <cellStyle name="Fixed" xfId="10" xr:uid="{00000000-0005-0000-0000-000035000000}"/>
    <cellStyle name="Good 10" xfId="500" xr:uid="{C451AD54-ABF5-4565-B12E-1F6E359DC56B}"/>
    <cellStyle name="Good 11" xfId="501" xr:uid="{477B308C-2A42-4289-8388-841D4F3C01F2}"/>
    <cellStyle name="Good 12" xfId="502" xr:uid="{EED55874-ACA9-43D4-B0F8-9F8CFA3B7EBB}"/>
    <cellStyle name="Good 13" xfId="503" xr:uid="{06738BA4-B842-4E0D-8F29-E7AABAC7C2D0}"/>
    <cellStyle name="Good 14" xfId="504" xr:uid="{F6D303B6-E67A-47E9-8A88-DA7D3C546EB6}"/>
    <cellStyle name="Good 15" xfId="505" xr:uid="{07A1B848-DAF0-4DF4-A5A8-C1DA38F2899A}"/>
    <cellStyle name="Good 16" xfId="854" xr:uid="{99305D87-F9C9-4A92-A870-2CE2C13B233B}"/>
    <cellStyle name="Good 2" xfId="56" xr:uid="{00000000-0005-0000-0000-000036000000}"/>
    <cellStyle name="Good 2 2" xfId="802" xr:uid="{C8062E05-3AC3-4A7D-B3D2-A8C659F209A7}"/>
    <cellStyle name="Good 2 3" xfId="506" xr:uid="{E6E0D2CD-8100-4FCE-A179-F74656B8C726}"/>
    <cellStyle name="Good 3" xfId="507" xr:uid="{D412163F-CAF5-4F3E-B5D9-154CD32B3649}"/>
    <cellStyle name="Good 4" xfId="508" xr:uid="{5163F374-85F1-45C6-A3BF-73D9F4281B84}"/>
    <cellStyle name="Good 5" xfId="509" xr:uid="{E41196D2-18A9-4FAB-A024-99F795C3A322}"/>
    <cellStyle name="Good 6" xfId="510" xr:uid="{686E4C23-FE4E-424C-86B5-FF2A3875654A}"/>
    <cellStyle name="Good 7" xfId="511" xr:uid="{DDFE59F5-E3FE-489A-A546-D535A98225B7}"/>
    <cellStyle name="Good 8" xfId="512" xr:uid="{1D6A403A-D8BE-4EE0-AF00-FBA64FF55CB2}"/>
    <cellStyle name="Good 9" xfId="513" xr:uid="{BCA1139F-F4D8-4CFA-B409-BE5FF150E196}"/>
    <cellStyle name="Grey" xfId="57" xr:uid="{00000000-0005-0000-0000-000037000000}"/>
    <cellStyle name="Grey 2" xfId="58" xr:uid="{00000000-0005-0000-0000-000038000000}"/>
    <cellStyle name="Heading 1 10" xfId="514" xr:uid="{9E624CDE-0423-440C-A4ED-02BA57126B0A}"/>
    <cellStyle name="Heading 1 11" xfId="515" xr:uid="{420CD4AA-C500-43DA-857C-C54649CDD88B}"/>
    <cellStyle name="Heading 1 12" xfId="516" xr:uid="{ED610558-97CF-4C75-8634-AC453831E2A7}"/>
    <cellStyle name="Heading 1 13" xfId="517" xr:uid="{DF3CBB7A-DAC3-43DE-9208-7E0509BE0979}"/>
    <cellStyle name="Heading 1 14" xfId="518" xr:uid="{E35E3306-7E01-4D7E-A942-2DA12E860C2B}"/>
    <cellStyle name="Heading 1 15" xfId="519" xr:uid="{8A590370-8506-4CB7-9C25-363C8FC5ADB6}"/>
    <cellStyle name="Heading 1 16" xfId="859" xr:uid="{F31F6FF6-09B3-4267-84F6-6FFB2F75E5BE}"/>
    <cellStyle name="Heading 1 2" xfId="59" xr:uid="{00000000-0005-0000-0000-000039000000}"/>
    <cellStyle name="Heading 1 2 2" xfId="798" xr:uid="{42114794-85CD-4DC9-9E32-AF5DC4D513C5}"/>
    <cellStyle name="Heading 1 2 3" xfId="520" xr:uid="{442B69F2-4020-4257-9FF0-33B86FEEF72F}"/>
    <cellStyle name="Heading 1 3" xfId="521" xr:uid="{B734E738-71C1-413E-BBE8-89B6B36CE6B8}"/>
    <cellStyle name="Heading 1 4" xfId="522" xr:uid="{F7EF0496-19E7-4393-998C-58E5A1034A4D}"/>
    <cellStyle name="Heading 1 5" xfId="523" xr:uid="{56A7BF5C-A8A0-425C-95B1-EA1F23847572}"/>
    <cellStyle name="Heading 1 6" xfId="524" xr:uid="{C2B4BA43-BB9D-4D8F-B5DA-134E183331EF}"/>
    <cellStyle name="Heading 1 7" xfId="525" xr:uid="{9F6A45B5-23B9-47B1-AEB6-7E721373A1AC}"/>
    <cellStyle name="Heading 1 8" xfId="526" xr:uid="{798AA96D-96A8-4B59-802A-BA99B94902A4}"/>
    <cellStyle name="Heading 1 9" xfId="527" xr:uid="{EF77EB25-2DAB-4D59-921C-0131F9D0B75F}"/>
    <cellStyle name="Heading 2 10" xfId="528" xr:uid="{B5AA27F0-304F-4E99-B21C-8B8712FA4165}"/>
    <cellStyle name="Heading 2 11" xfId="529" xr:uid="{A1D4FE1F-312F-43DB-8CFD-F201869E9B3C}"/>
    <cellStyle name="Heading 2 12" xfId="530" xr:uid="{4007DB4B-D3E9-426D-A7FA-ED0A696AAAF6}"/>
    <cellStyle name="Heading 2 13" xfId="531" xr:uid="{B28FA389-45DF-4AB1-8897-277C23CC3FA7}"/>
    <cellStyle name="Heading 2 14" xfId="532" xr:uid="{5A8C742C-DB19-4EC4-835D-AFC511F93C94}"/>
    <cellStyle name="Heading 2 15" xfId="533" xr:uid="{FA6DE6E7-A037-4E73-AA35-579E61882E7D}"/>
    <cellStyle name="Heading 2 16" xfId="857" xr:uid="{BAC56A11-6A84-4DC7-8A7C-A95273358D05}"/>
    <cellStyle name="Heading 2 2" xfId="60" xr:uid="{00000000-0005-0000-0000-00003A000000}"/>
    <cellStyle name="Heading 2 2 2" xfId="797" xr:uid="{1EC90361-A88E-41E1-B673-8AE5818ECE13}"/>
    <cellStyle name="Heading 2 2 3" xfId="534" xr:uid="{7FC0C457-DBDB-41AD-BEED-45FB73286358}"/>
    <cellStyle name="Heading 2 3" xfId="535" xr:uid="{CB578845-A402-4794-8ECA-F4A5BC80A61C}"/>
    <cellStyle name="Heading 2 4" xfId="536" xr:uid="{DC34F801-A50C-4B02-8269-B1A07F547300}"/>
    <cellStyle name="Heading 2 5" xfId="537" xr:uid="{E412664C-4AC0-4537-9FDD-E07EFCA87B1B}"/>
    <cellStyle name="Heading 2 6" xfId="538" xr:uid="{D4DB2174-C562-4ADE-9FA7-0FEE935AAAB7}"/>
    <cellStyle name="Heading 2 7" xfId="539" xr:uid="{DEDC2B60-1B69-4826-9336-1B2BC2A3B799}"/>
    <cellStyle name="Heading 2 8" xfId="540" xr:uid="{ECA80A98-A669-4991-B231-3FF18FE8AE11}"/>
    <cellStyle name="Heading 2 9" xfId="541" xr:uid="{74B44C0C-BC2A-46CE-879D-E71314F03F44}"/>
    <cellStyle name="Heading 3 10" xfId="542" xr:uid="{0056499D-0B1B-48E3-AFF7-E47A76DDBBFE}"/>
    <cellStyle name="Heading 3 11" xfId="543" xr:uid="{CC48EB8F-6D56-4FAF-95CE-0BFFDB329924}"/>
    <cellStyle name="Heading 3 12" xfId="544" xr:uid="{ED196745-9F63-4C62-9954-D54724F889B3}"/>
    <cellStyle name="Heading 3 13" xfId="545" xr:uid="{2ADA19A8-28E1-4633-BE46-D04DCBD133BE}"/>
    <cellStyle name="Heading 3 14" xfId="546" xr:uid="{D269FC63-B8A0-4224-A885-4DFBDC82C17F}"/>
    <cellStyle name="Heading 3 15" xfId="547" xr:uid="{5C574794-0860-4AF0-805D-7059BDDF9022}"/>
    <cellStyle name="Heading 3 16" xfId="856" xr:uid="{F9DBED36-4DDE-44EA-B350-14A3ED9668CA}"/>
    <cellStyle name="Heading 3 2" xfId="61" xr:uid="{00000000-0005-0000-0000-00003B000000}"/>
    <cellStyle name="Heading 3 2 2" xfId="800" xr:uid="{E3A44095-41C1-4888-B770-A3C44C563613}"/>
    <cellStyle name="Heading 3 2 3" xfId="548" xr:uid="{CD0C936A-A37F-45B3-A551-1CCD5983472B}"/>
    <cellStyle name="Heading 3 3" xfId="549" xr:uid="{4B632B50-B86A-4BD6-B70A-410C94453E8F}"/>
    <cellStyle name="Heading 3 4" xfId="550" xr:uid="{A35712B7-3017-47E0-81A2-4EB9F398CD91}"/>
    <cellStyle name="Heading 3 5" xfId="551" xr:uid="{14F4B2F7-EA1B-4CD7-8338-A3B55E765F77}"/>
    <cellStyle name="Heading 3 6" xfId="552" xr:uid="{642493DE-887B-4A06-A06A-6297B3FF8999}"/>
    <cellStyle name="Heading 3 7" xfId="553" xr:uid="{6E4F8E46-5828-4BAE-A973-606B191C211D}"/>
    <cellStyle name="Heading 3 8" xfId="554" xr:uid="{DB0E6BED-7A26-4E75-B093-BD43156578FD}"/>
    <cellStyle name="Heading 3 9" xfId="555" xr:uid="{358BCA0B-38E7-4986-A011-02C672C2C349}"/>
    <cellStyle name="Heading 4 10" xfId="556" xr:uid="{8B115146-7BB8-4B81-861F-32A38D1DBE13}"/>
    <cellStyle name="Heading 4 11" xfId="557" xr:uid="{BA5FBD86-1D09-487F-B698-4D3B26279FC9}"/>
    <cellStyle name="Heading 4 12" xfId="558" xr:uid="{AE6058B7-193F-4532-A06B-9F23221B3D5D}"/>
    <cellStyle name="Heading 4 13" xfId="559" xr:uid="{7A980230-E901-4F9D-816D-5ACD164F95CD}"/>
    <cellStyle name="Heading 4 14" xfId="560" xr:uid="{F1EC93E7-7A54-45EF-B8C6-A9AACB5D888E}"/>
    <cellStyle name="Heading 4 15" xfId="561" xr:uid="{8AAD284E-8998-43F6-A97F-9397F17CCAAE}"/>
    <cellStyle name="Heading 4 16" xfId="899" xr:uid="{7CF9C2C5-5603-43A8-932A-DF6B5880F72B}"/>
    <cellStyle name="Heading 4 2" xfId="62" xr:uid="{00000000-0005-0000-0000-00003C000000}"/>
    <cellStyle name="Heading 4 2 2" xfId="801" xr:uid="{AF5481CE-3F5B-4067-AC2F-59C876B89B71}"/>
    <cellStyle name="Heading 4 2 3" xfId="562" xr:uid="{4DBCF3A6-B5C3-4771-885C-DA6694A7F581}"/>
    <cellStyle name="Heading 4 3" xfId="563" xr:uid="{53D5D40A-B907-4F0D-BBC7-B9A14AD06670}"/>
    <cellStyle name="Heading 4 4" xfId="564" xr:uid="{F6074E72-6FB2-42ED-8CA7-1E28CCAA9BD5}"/>
    <cellStyle name="Heading 4 5" xfId="565" xr:uid="{DDA30D74-ADE2-4D38-ADB8-C2E6CF93F16A}"/>
    <cellStyle name="Heading 4 6" xfId="566" xr:uid="{76AC7961-3DBE-4A30-871C-01E62F713E82}"/>
    <cellStyle name="Heading 4 7" xfId="567" xr:uid="{4974BFD7-F728-4875-9874-91F45EDDA4BB}"/>
    <cellStyle name="Heading 4 8" xfId="568" xr:uid="{BB57A0B3-EE28-4776-BAEF-6376EF2FAFC8}"/>
    <cellStyle name="Heading 4 9" xfId="569" xr:uid="{BFED68BB-B5AF-46C2-8CBF-5080D92E4AFB}"/>
    <cellStyle name="Hyperlink 2" xfId="860" xr:uid="{19815D14-47F1-4C40-8908-1673DE960848}"/>
    <cellStyle name="Hyperlink 2 2" xfId="1079" xr:uid="{B7941911-38B4-4FE7-BACD-288A82ABB0C8}"/>
    <cellStyle name="Hyperlink 3" xfId="791" xr:uid="{7A09522E-D196-42F7-B014-32412D80B9F6}"/>
    <cellStyle name="Hyperlink 4" xfId="1523" xr:uid="{235BE327-B228-457D-94C2-FC138186B686}"/>
    <cellStyle name="Hyperlink 5" xfId="1530" xr:uid="{91A199C1-5D5B-498A-9C86-73CB2DB0B42E}"/>
    <cellStyle name="Input [yellow]" xfId="63" xr:uid="{00000000-0005-0000-0000-00003D000000}"/>
    <cellStyle name="Input [yellow] 2" xfId="64" xr:uid="{00000000-0005-0000-0000-00003E000000}"/>
    <cellStyle name="Input [yellow] 3" xfId="1573" xr:uid="{D16E7B25-5563-4B06-ACDF-0D7B628DC97A}"/>
    <cellStyle name="Input [yellow] 4" xfId="1644" xr:uid="{35359276-7EED-4A9F-A48F-A426D1C05BF9}"/>
    <cellStyle name="Input 10" xfId="570" xr:uid="{069DF234-84A1-4E00-A14F-7863896AA320}"/>
    <cellStyle name="Input 11" xfId="571" xr:uid="{CE6A837F-79AF-4FC5-9784-7ED9953EC354}"/>
    <cellStyle name="Input 12" xfId="572" xr:uid="{18AB055D-95D5-40A6-B334-75565775AAAA}"/>
    <cellStyle name="Input 13" xfId="573" xr:uid="{E9EDB48C-7B77-456C-8AAE-14670AEFC864}"/>
    <cellStyle name="Input 14" xfId="574" xr:uid="{373C56A7-1B4E-4846-9B18-50CE4B182894}"/>
    <cellStyle name="Input 15" xfId="575" xr:uid="{EB3C41C1-EA4C-4F90-B9E4-615EC0280012}"/>
    <cellStyle name="Input 16" xfId="852" xr:uid="{AA092E4D-9BD3-4E34-9B51-C1A7AB92F3D9}"/>
    <cellStyle name="Input 17" xfId="928" xr:uid="{A5FC5402-8443-4CFE-B8BB-04E05BF3122A}"/>
    <cellStyle name="Input 18" xfId="927" xr:uid="{5DD1FDA6-9E91-44BF-9711-D61B26D3FD88}"/>
    <cellStyle name="Input 19" xfId="926" xr:uid="{3BB892ED-CF61-4FBA-B3DD-F8D4B74AE053}"/>
    <cellStyle name="Input 2" xfId="65" xr:uid="{00000000-0005-0000-0000-00003F000000}"/>
    <cellStyle name="Input 2 2" xfId="805" xr:uid="{E3715E8F-709E-4A08-AEF7-D54EB62A7FD8}"/>
    <cellStyle name="Input 2 3" xfId="576" xr:uid="{D34BDCDB-1998-43C6-BC40-5E036E8649E0}"/>
    <cellStyle name="Input 20" xfId="934" xr:uid="{38FAA33F-2AF3-476E-B1B1-E5248307639C}"/>
    <cellStyle name="Input 21" xfId="1540" xr:uid="{48F8FE0A-D177-44BC-AC5D-C6B1B009C84D}"/>
    <cellStyle name="Input 22" xfId="1538" xr:uid="{7AC07D71-37BC-48AF-95B4-5171B3D34CD9}"/>
    <cellStyle name="Input 23" xfId="1646" xr:uid="{C4E14F13-BFA4-45FE-9BC7-1AE1E056399D}"/>
    <cellStyle name="Input 24" xfId="1643" xr:uid="{1842796D-12E1-43C2-8712-D61AC4CD2DEA}"/>
    <cellStyle name="Input 25" xfId="1546" xr:uid="{6DFEB0B4-0CAA-48EE-B83F-B3AD170702E4}"/>
    <cellStyle name="Input 26" xfId="1557" xr:uid="{3FA2D9F5-E587-4AEA-9A78-8B0C129D5290}"/>
    <cellStyle name="Input 3" xfId="577" xr:uid="{F53E2F5D-33EB-4FE2-AF79-C2A1FAA86F0E}"/>
    <cellStyle name="Input 4" xfId="578" xr:uid="{49058892-9165-4E66-8EEA-2AFA430B8DEC}"/>
    <cellStyle name="Input 5" xfId="579" xr:uid="{A312C826-AEF1-48B7-AA47-DF7CA0243D79}"/>
    <cellStyle name="Input 6" xfId="580" xr:uid="{7D67E213-7EB0-4F3E-91C3-FA387B1DEDF1}"/>
    <cellStyle name="Input 7" xfId="581" xr:uid="{ECEB7560-00DD-4419-BBFD-1D266401279E}"/>
    <cellStyle name="Input 8" xfId="582" xr:uid="{E9882AD8-260E-4025-B4A7-6164E193ADA4}"/>
    <cellStyle name="Input 9" xfId="583" xr:uid="{A42343CE-E863-4020-9ACF-21FF6F93DA8F}"/>
    <cellStyle name="Linked Cell 10" xfId="584" xr:uid="{B21F4A40-B749-4006-BA69-DD93F4F95645}"/>
    <cellStyle name="Linked Cell 11" xfId="585" xr:uid="{7C5E111D-2754-40AF-85CF-BD920860561D}"/>
    <cellStyle name="Linked Cell 12" xfId="586" xr:uid="{67355B33-B838-4142-A59A-DA682EDD41CA}"/>
    <cellStyle name="Linked Cell 13" xfId="587" xr:uid="{C24ABC20-0F0E-42C9-A66D-46C1DF61572A}"/>
    <cellStyle name="Linked Cell 14" xfId="588" xr:uid="{7BAC505C-1347-47BB-94C1-4BF5F93D8489}"/>
    <cellStyle name="Linked Cell 15" xfId="589" xr:uid="{F2314CE8-4249-40BB-9A62-8E163E0150B8}"/>
    <cellStyle name="Linked Cell 16" xfId="893" xr:uid="{83678AE8-03BC-4101-8573-36E493C3A34D}"/>
    <cellStyle name="Linked Cell 2" xfId="66" xr:uid="{00000000-0005-0000-0000-000040000000}"/>
    <cellStyle name="Linked Cell 2 2" xfId="808" xr:uid="{CFF4BC8D-A982-40A0-B526-0EA910458D3B}"/>
    <cellStyle name="Linked Cell 2 3" xfId="590" xr:uid="{49F0270A-FD95-4073-B548-2A0E4E22E41C}"/>
    <cellStyle name="Linked Cell 3" xfId="591" xr:uid="{A4ABCC8F-849D-4690-826F-522012C9B1E0}"/>
    <cellStyle name="Linked Cell 4" xfId="592" xr:uid="{F5055E08-3357-44CC-8CA5-30AAE9D24F9C}"/>
    <cellStyle name="Linked Cell 5" xfId="593" xr:uid="{D07BE249-6F9C-440A-9641-503066FDD0F7}"/>
    <cellStyle name="Linked Cell 6" xfId="594" xr:uid="{39D6E0B0-9681-4C5A-87A3-87A5B4900297}"/>
    <cellStyle name="Linked Cell 7" xfId="595" xr:uid="{ECFB7E7E-23BD-4786-921E-428DFD12CEC7}"/>
    <cellStyle name="Linked Cell 8" xfId="596" xr:uid="{A13B6203-94E6-465B-88C0-8333B7EFF1CB}"/>
    <cellStyle name="Linked Cell 9" xfId="597" xr:uid="{814C020F-504A-49DB-B60F-40E62953FEEF}"/>
    <cellStyle name="M" xfId="67" xr:uid="{00000000-0005-0000-0000-000041000000}"/>
    <cellStyle name="M.00" xfId="68" xr:uid="{00000000-0005-0000-0000-000042000000}"/>
    <cellStyle name="M_9. Rev2Cost_GDPIPI" xfId="69" xr:uid="{00000000-0005-0000-0000-000043000000}"/>
    <cellStyle name="M_lists" xfId="70" xr:uid="{00000000-0005-0000-0000-000044000000}"/>
    <cellStyle name="M_lists_4. Current Monthly Fixed Charge" xfId="71" xr:uid="{00000000-0005-0000-0000-000045000000}"/>
    <cellStyle name="M_Sheet4" xfId="72" xr:uid="{00000000-0005-0000-0000-000046000000}"/>
    <cellStyle name="Neutral 10" xfId="598" xr:uid="{6F95EAEC-D219-47AA-818A-6412A59B782E}"/>
    <cellStyle name="Neutral 11" xfId="599" xr:uid="{AB5A434D-7685-4E7B-B984-3B12A50B68C8}"/>
    <cellStyle name="Neutral 12" xfId="600" xr:uid="{F94ACB22-8D04-4F3E-98E2-E51863D5BA55}"/>
    <cellStyle name="Neutral 13" xfId="601" xr:uid="{A23CA9BD-6F4B-4D44-82A7-D0BFD3375E7E}"/>
    <cellStyle name="Neutral 14" xfId="602" xr:uid="{4FD47164-5B43-454C-9A4A-9FDC9E9FEA35}"/>
    <cellStyle name="Neutral 15" xfId="603" xr:uid="{66C52A4E-60B4-4372-B326-1C34BBB46852}"/>
    <cellStyle name="Neutral 16" xfId="792" xr:uid="{E81E74C4-7F10-4522-AC98-50BD1DACA006}"/>
    <cellStyle name="Neutral 2" xfId="73" xr:uid="{00000000-0005-0000-0000-000047000000}"/>
    <cellStyle name="Neutral 2 2" xfId="804" xr:uid="{0A0FF0D2-A479-4191-A737-74B8277B8933}"/>
    <cellStyle name="Neutral 2 3" xfId="604" xr:uid="{94DE363B-90BE-4EC8-B725-DBD4849CAC16}"/>
    <cellStyle name="Neutral 3" xfId="605" xr:uid="{F6D2C34F-C9FB-4B15-884C-D3923FF3B004}"/>
    <cellStyle name="Neutral 4" xfId="606" xr:uid="{FB913938-7725-4FCF-B496-056091105E82}"/>
    <cellStyle name="Neutral 5" xfId="607" xr:uid="{5C7C171D-5911-4DC5-A06C-8C9929ECE242}"/>
    <cellStyle name="Neutral 6" xfId="608" xr:uid="{9FAE97F8-66CD-4CC8-BAD3-EC4497EF96E6}"/>
    <cellStyle name="Neutral 7" xfId="609" xr:uid="{8B9C3F4B-0AE1-4039-AE99-0B371EA450AC}"/>
    <cellStyle name="Neutral 8" xfId="610" xr:uid="{EBF9C081-925B-4056-AB2C-324936527996}"/>
    <cellStyle name="Neutral 9" xfId="611" xr:uid="{690673FD-C651-44D2-AAFE-9267319BA234}"/>
    <cellStyle name="Normal" xfId="0" builtinId="0"/>
    <cellStyle name="Normal - Style1" xfId="74" xr:uid="{00000000-0005-0000-0000-000049000000}"/>
    <cellStyle name="Normal 10" xfId="612" xr:uid="{352B99B7-E791-44FE-A409-3B6B22DBC66D}"/>
    <cellStyle name="Normal 10 2" xfId="1614" xr:uid="{9FDA585C-C9A8-49A2-ACEA-42CFE0957DE8}"/>
    <cellStyle name="Normal 11" xfId="613" xr:uid="{893E931D-4E9C-4905-A23B-BFF0440FB9E0}"/>
    <cellStyle name="Normal 11 2" xfId="1609" xr:uid="{DE524E45-84B4-466E-9A9E-98FAF53DA18C}"/>
    <cellStyle name="Normal 12" xfId="614" xr:uid="{8AE0198E-883C-4F6F-97E3-9C75B3AE60CE}"/>
    <cellStyle name="Normal 12 2" xfId="1613" xr:uid="{5B537B38-FD59-4F6C-B84A-A1E356E858B8}"/>
    <cellStyle name="Normal 13" xfId="615" xr:uid="{643DD5FB-F07D-4293-A038-42E059C88DDB}"/>
    <cellStyle name="Normal 13 2" xfId="1608" xr:uid="{BC588223-551B-491E-B4FF-F4EDD1F4A6AB}"/>
    <cellStyle name="Normal 14" xfId="616" xr:uid="{985BC5CD-E9C0-45ED-A7A9-F3178E7A8ACE}"/>
    <cellStyle name="Normal 14 2" xfId="1579" xr:uid="{00C23F26-461F-45C3-ACBC-06EEDF191C88}"/>
    <cellStyle name="Normal 15" xfId="617" xr:uid="{746CEED5-D31C-4B5E-B01C-999F254D400E}"/>
    <cellStyle name="Normal 15 2" xfId="1578" xr:uid="{E4793A64-8823-4FC0-806B-9DBBD0F66E99}"/>
    <cellStyle name="Normal 16" xfId="618" xr:uid="{8DB39564-67F8-484F-B1B0-00D66C338C64}"/>
    <cellStyle name="Normal 16 10" xfId="1259" xr:uid="{D11C47E5-D4E7-45C3-BB82-0A752B1F0015}"/>
    <cellStyle name="Normal 16 11" xfId="1015" xr:uid="{57D040D4-503F-40A1-90CD-1615B5E01440}"/>
    <cellStyle name="Normal 16 12" xfId="1525" xr:uid="{A8C1394D-571A-4DF2-9A7A-F3A896CB1989}"/>
    <cellStyle name="Normal 16 13" xfId="1603" xr:uid="{7393DD1E-A530-4689-AEE2-1C96D163242C}"/>
    <cellStyle name="Normal 16 2" xfId="702" xr:uid="{B5CB81A1-FB5B-4416-AC23-B698BDCF35B9}"/>
    <cellStyle name="Normal 16 2 2" xfId="719" xr:uid="{5B176D0D-6DDB-4F20-AC89-9B6D4F4B0722}"/>
    <cellStyle name="Normal 16 2 2 2" xfId="756" xr:uid="{CCED57E6-7CA4-42AD-800A-C43BD096FC98}"/>
    <cellStyle name="Normal 16 2 2 2 2" xfId="911" xr:uid="{EE8A9668-9D87-4B4A-BE05-070C101A8FA1}"/>
    <cellStyle name="Normal 16 2 2 2 2 2" xfId="1242" xr:uid="{8D2422FC-6AEF-4678-A368-A8C1CFEFEE16}"/>
    <cellStyle name="Normal 16 2 2 2 2 2 2" xfId="1475" xr:uid="{4298163A-3ADA-4F1D-AC69-9D98741656A0}"/>
    <cellStyle name="Normal 16 2 2 2 2 3" xfId="1359" xr:uid="{2E131CCB-E43A-4F00-BA88-6385D22F28ED}"/>
    <cellStyle name="Normal 16 2 2 2 2 4" xfId="1123" xr:uid="{37527739-35E6-4706-BBB9-48C6880812AD}"/>
    <cellStyle name="Normal 16 2 2 2 3" xfId="981" xr:uid="{8BCD1CF9-8159-48C3-A165-AB962B87DDD7}"/>
    <cellStyle name="Normal 16 2 2 2 3 2" xfId="1419" xr:uid="{2E9F9722-3CA5-438D-8D6D-7738B0984467}"/>
    <cellStyle name="Normal 16 2 2 2 3 3" xfId="1186" xr:uid="{0E503507-8660-44E0-94C7-F4E10870FF0B}"/>
    <cellStyle name="Normal 16 2 2 2 4" xfId="1303" xr:uid="{979F8276-91F2-47BD-99EF-32588E3605B6}"/>
    <cellStyle name="Normal 16 2 2 2 5" xfId="1066" xr:uid="{86B17F5B-CA6B-4804-949E-F7C2D7ECC56E}"/>
    <cellStyle name="Normal 16 2 2 3" xfId="878" xr:uid="{6FAF650D-7924-4E92-A807-3B59CA51A462}"/>
    <cellStyle name="Normal 16 2 2 3 2" xfId="1212" xr:uid="{BB7F1923-A612-4363-8D4D-F99B8D66B336}"/>
    <cellStyle name="Normal 16 2 2 3 2 2" xfId="1445" xr:uid="{C0CB804A-C941-42EF-8135-ACB20316F4A0}"/>
    <cellStyle name="Normal 16 2 2 3 3" xfId="1329" xr:uid="{026C5EC5-B00A-428E-B16E-AF795C02B991}"/>
    <cellStyle name="Normal 16 2 2 3 4" xfId="1093" xr:uid="{4214FC4B-0897-4487-97F8-6039ABE03C3E}"/>
    <cellStyle name="Normal 16 2 2 4" xfId="951" xr:uid="{89A58685-58FB-4DDC-81B9-B8F938BFE0FA}"/>
    <cellStyle name="Normal 16 2 2 4 2" xfId="1393" xr:uid="{1005D80C-7C29-4324-AE76-4D671E24769A}"/>
    <cellStyle name="Normal 16 2 2 4 3" xfId="1160" xr:uid="{06DDA56E-8B4F-42F1-ABFE-7C780EBB1C9A}"/>
    <cellStyle name="Normal 16 2 2 5" xfId="1277" xr:uid="{EDBECFEE-4A06-4E5F-AB9B-FDDD8FB34AA6}"/>
    <cellStyle name="Normal 16 2 2 6" xfId="1040" xr:uid="{7A69416D-089B-4BE5-8DA8-8A862B132B79}"/>
    <cellStyle name="Normal 16 2 3" xfId="727" xr:uid="{8181242A-1029-403B-A479-2C6824647F65}"/>
    <cellStyle name="Normal 16 2 3 2" xfId="764" xr:uid="{78E809B7-D6B6-4C18-A303-F0AA97DDBDF7}"/>
    <cellStyle name="Normal 16 2 3 2 2" xfId="919" xr:uid="{357A0A9F-B97F-4B6F-9EBD-E523BC482569}"/>
    <cellStyle name="Normal 16 2 3 2 2 2" xfId="1250" xr:uid="{D598DA34-F80F-4574-BBC9-6E38E030DE9C}"/>
    <cellStyle name="Normal 16 2 3 2 2 2 2" xfId="1483" xr:uid="{D252604A-7F20-4973-8D31-A5183EB044BD}"/>
    <cellStyle name="Normal 16 2 3 2 2 3" xfId="1367" xr:uid="{872C178D-A946-4E4A-A209-F681FC201A68}"/>
    <cellStyle name="Normal 16 2 3 2 2 4" xfId="1131" xr:uid="{4F94F7D6-5F4C-4C58-A10F-3D93FB5A55EC}"/>
    <cellStyle name="Normal 16 2 3 2 3" xfId="989" xr:uid="{1480CC62-9DAF-46C4-AD79-E2B7813983F4}"/>
    <cellStyle name="Normal 16 2 3 2 3 2" xfId="1427" xr:uid="{EEA6FC4A-320C-474D-9ACF-041CAE492F1E}"/>
    <cellStyle name="Normal 16 2 3 2 3 3" xfId="1194" xr:uid="{5FB7FA9C-C8C8-42E6-AE95-C79E305A6BA6}"/>
    <cellStyle name="Normal 16 2 3 2 4" xfId="1311" xr:uid="{1D1584EB-8D99-4475-80BF-CA938E0FF133}"/>
    <cellStyle name="Normal 16 2 3 2 5" xfId="1074" xr:uid="{8CE72E2A-58BB-4597-B672-E5D5D011747D}"/>
    <cellStyle name="Normal 16 2 3 3" xfId="886" xr:uid="{5DA7AE01-DF8F-4A33-A683-FA46AF0BB6FF}"/>
    <cellStyle name="Normal 16 2 3 3 2" xfId="1220" xr:uid="{83029381-99CF-447A-9F99-46DD7D22EBF4}"/>
    <cellStyle name="Normal 16 2 3 3 2 2" xfId="1453" xr:uid="{C29BBBF3-C86B-464A-8894-7BD0B0CE222E}"/>
    <cellStyle name="Normal 16 2 3 3 3" xfId="1337" xr:uid="{FC98BCE8-3FCF-4A57-A930-2B978B575E32}"/>
    <cellStyle name="Normal 16 2 3 3 4" xfId="1101" xr:uid="{7C7F496A-2C9B-4DB1-9C43-F623F0CB6591}"/>
    <cellStyle name="Normal 16 2 3 4" xfId="959" xr:uid="{FDA52B70-09C9-4EA2-A9AE-07EF412D60B4}"/>
    <cellStyle name="Normal 16 2 3 4 2" xfId="1401" xr:uid="{B01EF6BA-5909-47FB-94D8-990C9F7ABCE2}"/>
    <cellStyle name="Normal 16 2 3 4 3" xfId="1168" xr:uid="{87AAA9C8-38FB-4BA1-B6D4-52E6F91A1C4C}"/>
    <cellStyle name="Normal 16 2 3 5" xfId="1285" xr:uid="{97EE116A-7435-49E1-9080-E3B0765CF90B}"/>
    <cellStyle name="Normal 16 2 3 6" xfId="1048" xr:uid="{F1C4B3D3-061F-4A83-9412-5A316539AC10}"/>
    <cellStyle name="Normal 16 2 4" xfId="748" xr:uid="{003B8D2F-52A8-48F4-9228-654CB9468373}"/>
    <cellStyle name="Normal 16 2 4 2" xfId="903" xr:uid="{72E27FE8-97D9-4F89-AE82-E538AEEA42F2}"/>
    <cellStyle name="Normal 16 2 4 2 2" xfId="1234" xr:uid="{E797BDCF-554C-47DF-99C3-F7811DA4E312}"/>
    <cellStyle name="Normal 16 2 4 2 2 2" xfId="1467" xr:uid="{8A537419-5CB5-4956-B41F-351C1B7B1E04}"/>
    <cellStyle name="Normal 16 2 4 2 3" xfId="1351" xr:uid="{4B24532C-C426-4608-99ED-8DE66DB46408}"/>
    <cellStyle name="Normal 16 2 4 2 4" xfId="1115" xr:uid="{F96E555E-18E3-48D0-A7CF-EDFFCF8B6C48}"/>
    <cellStyle name="Normal 16 2 4 3" xfId="973" xr:uid="{80BE72E1-5B95-4FF6-81A6-5C3E36BA1281}"/>
    <cellStyle name="Normal 16 2 4 3 2" xfId="1385" xr:uid="{E1836667-345E-4348-AB82-6807F54570EB}"/>
    <cellStyle name="Normal 16 2 4 3 3" xfId="1152" xr:uid="{48A3CDD0-4359-4D55-A277-EF0A326D1B73}"/>
    <cellStyle name="Normal 16 2 4 4" xfId="1269" xr:uid="{25BE4342-2353-4828-9B45-469672BDA3F8}"/>
    <cellStyle name="Normal 16 2 4 5" xfId="1032" xr:uid="{D8FEFC3C-03C0-436A-B6F0-54ABB8426012}"/>
    <cellStyle name="Normal 16 2 5" xfId="867" xr:uid="{94397E37-06A9-4C98-8C7A-3F080653F666}"/>
    <cellStyle name="Normal 16 2 5 2" xfId="1178" xr:uid="{36857F4C-D30B-45F2-A807-D90702A26108}"/>
    <cellStyle name="Normal 16 2 5 2 2" xfId="1411" xr:uid="{57D3B334-254F-4A04-B084-BF45905564AB}"/>
    <cellStyle name="Normal 16 2 5 3" xfId="1295" xr:uid="{2EB076AC-55BB-4FAD-B567-D01CF76CD668}"/>
    <cellStyle name="Normal 16 2 5 4" xfId="1058" xr:uid="{701C20DC-C784-4E88-BCFC-3A954897E3D8}"/>
    <cellStyle name="Normal 16 2 6" xfId="943" xr:uid="{EB8BF13E-CA49-442A-A21B-491C54C4EF03}"/>
    <cellStyle name="Normal 16 2 6 2" xfId="1204" xr:uid="{6CBAC271-C332-4BB7-9C98-A5674A9D977F}"/>
    <cellStyle name="Normal 16 2 6 2 2" xfId="1437" xr:uid="{58294802-60FB-4308-8041-E761EAD08C59}"/>
    <cellStyle name="Normal 16 2 6 3" xfId="1321" xr:uid="{6AB800DB-38E9-406C-A358-173ABD9F97E2}"/>
    <cellStyle name="Normal 16 2 6 4" xfId="1085" xr:uid="{0800CD92-0CED-44DA-87C1-D87CB2577BE9}"/>
    <cellStyle name="Normal 16 2 7" xfId="1145" xr:uid="{5BEA8471-93C4-4F4A-B01A-D3C2D15F52F8}"/>
    <cellStyle name="Normal 16 2 7 2" xfId="1378" xr:uid="{E286ACE1-416B-4AE7-A618-A2950CA5912D}"/>
    <cellStyle name="Normal 16 2 8" xfId="1262" xr:uid="{9667BC3C-4D98-4C69-85D7-DF0356E78227}"/>
    <cellStyle name="Normal 16 2 9" xfId="1025" xr:uid="{F6FA6B5F-B0B8-4489-A2DF-9B1AA05F7B3E}"/>
    <cellStyle name="Normal 16 3" xfId="692" xr:uid="{75AFC1AB-C96C-4A7A-B1F8-1CBE54E53C8B}"/>
    <cellStyle name="Normal 16 3 2" xfId="745" xr:uid="{7ACC2397-C183-488E-BAB0-A35AF22A0232}"/>
    <cellStyle name="Normal 16 3 2 2" xfId="900" xr:uid="{CC56C255-3000-4976-B11A-C22C6006C2BD}"/>
    <cellStyle name="Normal 16 3 2 2 2" xfId="1231" xr:uid="{9102B0EE-CEED-4C5B-85B3-5CD58E587B30}"/>
    <cellStyle name="Normal 16 3 2 2 2 2" xfId="1464" xr:uid="{FAF5085B-5263-435D-A101-F7DA350026F5}"/>
    <cellStyle name="Normal 16 3 2 2 3" xfId="1348" xr:uid="{7A3F7C50-18E7-4F81-A568-30789E504B05}"/>
    <cellStyle name="Normal 16 3 2 2 4" xfId="1112" xr:uid="{33033AB1-B54C-4D0E-A57A-B5F4EAF19085}"/>
    <cellStyle name="Normal 16 3 2 3" xfId="970" xr:uid="{592E2029-CE45-42F4-A5F0-68CB25F990C5}"/>
    <cellStyle name="Normal 16 3 2 3 2" xfId="1408" xr:uid="{D0BB00D9-8E74-4835-8172-2500BF090980}"/>
    <cellStyle name="Normal 16 3 2 3 3" xfId="1175" xr:uid="{555F11FC-0FFA-4D50-B298-0B2BD0EC417C}"/>
    <cellStyle name="Normal 16 3 2 4" xfId="1292" xr:uid="{9EB1F452-8282-42A8-A521-AED9E558438D}"/>
    <cellStyle name="Normal 16 3 2 5" xfId="1055" xr:uid="{1ECE2BC0-98B3-4C95-9627-9350827B8964}"/>
    <cellStyle name="Normal 16 3 3" xfId="861" xr:uid="{AA74D108-1E6D-4538-BBBF-22C23DEA3B92}"/>
    <cellStyle name="Normal 16 3 3 2" xfId="1201" xr:uid="{3F2079A9-ADA6-474F-8A80-5ABBBFA141E3}"/>
    <cellStyle name="Normal 16 3 3 2 2" xfId="1434" xr:uid="{3610F4DB-46A2-4A87-9212-45C779594343}"/>
    <cellStyle name="Normal 16 3 3 3" xfId="1318" xr:uid="{40650D26-9659-4451-94DE-50DDC58FA0FC}"/>
    <cellStyle name="Normal 16 3 3 4" xfId="1082" xr:uid="{112FBEDC-618C-4338-9BE5-A0890D22D505}"/>
    <cellStyle name="Normal 16 3 4" xfId="940" xr:uid="{DF1E51C7-A3C3-441D-8D06-72D100FFB01E}"/>
    <cellStyle name="Normal 16 3 4 2" xfId="1382" xr:uid="{E5702181-C0C8-4BA9-A193-592F6C671E0E}"/>
    <cellStyle name="Normal 16 3 4 3" xfId="1149" xr:uid="{2596E483-19F4-47AA-BA41-34E801339111}"/>
    <cellStyle name="Normal 16 3 5" xfId="1266" xr:uid="{D9CE3EBE-49F0-4D58-ABE3-0F7215A9BC85}"/>
    <cellStyle name="Normal 16 3 6" xfId="1029" xr:uid="{EE401F4A-9970-4582-83DC-88A28DD98B3C}"/>
    <cellStyle name="Normal 16 4" xfId="716" xr:uid="{F94CDDB1-AC0E-45C9-9E5D-42E8F8937EC7}"/>
    <cellStyle name="Normal 16 4 2" xfId="753" xr:uid="{0F30F6BB-A628-408F-AFF4-147C9727888A}"/>
    <cellStyle name="Normal 16 4 2 2" xfId="908" xr:uid="{C2B5C1E4-D43C-48E5-B24E-A5FE2C7ADE62}"/>
    <cellStyle name="Normal 16 4 2 2 2" xfId="1239" xr:uid="{CDB9DCED-6BC2-47C6-AC63-504FA1793D4C}"/>
    <cellStyle name="Normal 16 4 2 2 2 2" xfId="1472" xr:uid="{29CD4C29-E0CA-4058-A84D-BB1FE7C39A66}"/>
    <cellStyle name="Normal 16 4 2 2 3" xfId="1356" xr:uid="{22F798B6-306F-4DF2-9EDF-C39A69EF75F7}"/>
    <cellStyle name="Normal 16 4 2 2 4" xfId="1120" xr:uid="{918BAB90-6D29-492C-8E36-770CE13C6185}"/>
    <cellStyle name="Normal 16 4 2 3" xfId="978" xr:uid="{C743BE88-30B7-4A77-BFDE-0D65DA21EDF9}"/>
    <cellStyle name="Normal 16 4 2 3 2" xfId="1416" xr:uid="{07469379-CAD4-46AD-913C-9C8844F80971}"/>
    <cellStyle name="Normal 16 4 2 3 3" xfId="1183" xr:uid="{CE51430F-DE24-4741-BF15-4356FEC478DC}"/>
    <cellStyle name="Normal 16 4 2 4" xfId="1300" xr:uid="{13188033-950F-4035-9540-8F761AB2F1BB}"/>
    <cellStyle name="Normal 16 4 2 5" xfId="1063" xr:uid="{E71989F3-B066-4A3D-9A41-D6457AA038F5}"/>
    <cellStyle name="Normal 16 4 3" xfId="875" xr:uid="{6B1972C1-3BDC-4BC2-9C6C-BE908A3AFF67}"/>
    <cellStyle name="Normal 16 4 3 2" xfId="1209" xr:uid="{C2B55D3C-6699-41B9-AB15-5A45144CEFF1}"/>
    <cellStyle name="Normal 16 4 3 2 2" xfId="1442" xr:uid="{1E535E8F-931B-40A4-B39E-B787ECC9506A}"/>
    <cellStyle name="Normal 16 4 3 3" xfId="1326" xr:uid="{BE5C968D-05EC-447B-B945-E2F3CC2206BC}"/>
    <cellStyle name="Normal 16 4 3 4" xfId="1090" xr:uid="{11A2E6CB-F2E4-4E5B-928C-62F98322B322}"/>
    <cellStyle name="Normal 16 4 4" xfId="948" xr:uid="{9B328873-1806-4082-B064-C7A23B75314F}"/>
    <cellStyle name="Normal 16 4 4 2" xfId="1390" xr:uid="{7AEB1605-5FD2-4024-91D9-891CD1546843}"/>
    <cellStyle name="Normal 16 4 4 3" xfId="1157" xr:uid="{0D92C57B-0246-46A8-A079-53C6CB3C8803}"/>
    <cellStyle name="Normal 16 4 5" xfId="1274" xr:uid="{BB64F024-BAC7-44C7-B8F7-13A1FAEC51DD}"/>
    <cellStyle name="Normal 16 4 6" xfId="1037" xr:uid="{A4933E40-6FC5-405E-A940-AA6D0C52D173}"/>
    <cellStyle name="Normal 16 5" xfId="724" xr:uid="{7ABCE511-FB84-43D8-8AFF-E536CB54C775}"/>
    <cellStyle name="Normal 16 5 2" xfId="761" xr:uid="{66781CC8-3178-4CC0-9384-C80324B91394}"/>
    <cellStyle name="Normal 16 5 2 2" xfId="916" xr:uid="{3D47E10A-E3FA-4933-AF77-389A88B36C62}"/>
    <cellStyle name="Normal 16 5 2 2 2" xfId="1247" xr:uid="{9EEE97D1-8904-4026-AFCB-1AE58CA518B4}"/>
    <cellStyle name="Normal 16 5 2 2 2 2" xfId="1480" xr:uid="{65162FBC-5C17-4D71-883C-7E26DC4617E8}"/>
    <cellStyle name="Normal 16 5 2 2 3" xfId="1364" xr:uid="{ECBD7176-25D0-4351-82B7-A206A0C35428}"/>
    <cellStyle name="Normal 16 5 2 2 4" xfId="1128" xr:uid="{B0005392-6A58-4646-9B1C-DB806894FBC0}"/>
    <cellStyle name="Normal 16 5 2 3" xfId="986" xr:uid="{2E26093C-AB4E-4760-B265-60BE2F318FB5}"/>
    <cellStyle name="Normal 16 5 2 3 2" xfId="1424" xr:uid="{1C563250-2DE2-49D5-A64A-CDC7D41AE731}"/>
    <cellStyle name="Normal 16 5 2 3 3" xfId="1191" xr:uid="{81C1BDF8-F98F-4459-AC5A-02C501FB301C}"/>
    <cellStyle name="Normal 16 5 2 4" xfId="1308" xr:uid="{34855590-3299-46E8-8AEF-DB5FAFD98962}"/>
    <cellStyle name="Normal 16 5 2 5" xfId="1071" xr:uid="{9B94545B-F5F1-4BA5-87C1-5BD7763A2A19}"/>
    <cellStyle name="Normal 16 5 3" xfId="883" xr:uid="{C7BEDDA9-3EA0-4519-8044-963237B8C57F}"/>
    <cellStyle name="Normal 16 5 3 2" xfId="1217" xr:uid="{6FD1A33E-7A6D-437F-BAAE-78F5BF240666}"/>
    <cellStyle name="Normal 16 5 3 2 2" xfId="1450" xr:uid="{6A67D5BC-98E4-4E92-A4C5-4B37B80254D6}"/>
    <cellStyle name="Normal 16 5 3 3" xfId="1334" xr:uid="{1C2E214E-6433-4C88-B51A-FCCF7270D323}"/>
    <cellStyle name="Normal 16 5 3 4" xfId="1098" xr:uid="{944A7916-B300-4BE8-92A0-56F7A459E40A}"/>
    <cellStyle name="Normal 16 5 4" xfId="956" xr:uid="{0BF55E71-56B9-4AED-B999-3F4BAD64225C}"/>
    <cellStyle name="Normal 16 5 4 2" xfId="1398" xr:uid="{9372F4C0-4C76-48A7-82FA-4E4DC2B6579C}"/>
    <cellStyle name="Normal 16 5 4 3" xfId="1165" xr:uid="{B6D83829-DBBE-44A9-A070-F40F3B710B59}"/>
    <cellStyle name="Normal 16 5 5" xfId="1282" xr:uid="{C2A1EC7C-8B6D-4FB3-8405-87E4108A8508}"/>
    <cellStyle name="Normal 16 5 6" xfId="1045" xr:uid="{7F9190FF-B1C3-4A13-AC17-4E3DCC037934}"/>
    <cellStyle name="Normal 16 6" xfId="742" xr:uid="{7C4D855B-77D0-4FD9-84A4-C646DB9A1136}"/>
    <cellStyle name="Normal 16 6 2" xfId="897" xr:uid="{92B84C2B-CD15-4FAE-ABCB-7F82DE028B7F}"/>
    <cellStyle name="Normal 16 6 2 2" xfId="1229" xr:uid="{3525B0DE-9753-4275-97BD-E94095C42BDD}"/>
    <cellStyle name="Normal 16 6 2 2 2" xfId="1462" xr:uid="{483AADAC-EDAA-4729-A915-4CFD2899E48B}"/>
    <cellStyle name="Normal 16 6 2 3" xfId="1346" xr:uid="{5E032A8D-DFE9-4B53-81BB-D6592597D222}"/>
    <cellStyle name="Normal 16 6 2 4" xfId="1110" xr:uid="{ED2CFEC9-EF56-4378-9B0A-9239B876CA55}"/>
    <cellStyle name="Normal 16 6 3" xfId="968" xr:uid="{E638FDF6-C53D-4113-883F-5F6B8E25A712}"/>
    <cellStyle name="Normal 16 6 3 2" xfId="1380" xr:uid="{5B87E875-39C3-4476-BC67-131E3C1BCF5D}"/>
    <cellStyle name="Normal 16 6 3 3" xfId="1147" xr:uid="{31A7468B-9D98-4F5A-9CFD-7A85237A6C52}"/>
    <cellStyle name="Normal 16 6 4" xfId="1264" xr:uid="{9031939C-395B-46CA-AC12-69BC813952AD}"/>
    <cellStyle name="Normal 16 6 5" xfId="1027" xr:uid="{E279AB78-14E9-4C44-882F-410D7439A979}"/>
    <cellStyle name="Normal 16 7" xfId="848" xr:uid="{E5C65F03-6086-43BE-9428-3E10061B96C8}"/>
    <cellStyle name="Normal 16 7 2" xfId="1173" xr:uid="{DF7B8223-8079-4A11-AA14-B842A1AB986C}"/>
    <cellStyle name="Normal 16 7 2 2" xfId="1406" xr:uid="{5BD90DF6-C9EE-4E63-B7B5-4243D1A33C2C}"/>
    <cellStyle name="Normal 16 7 3" xfId="1290" xr:uid="{1BB29B83-1557-44DD-829F-12EC44F3FB73}"/>
    <cellStyle name="Normal 16 7 4" xfId="1053" xr:uid="{1FD5B3C2-B6E5-42B2-B381-84051E674AED}"/>
    <cellStyle name="Normal 16 8" xfId="937" xr:uid="{DF0E4876-8E87-423C-BC2F-71A503FB00BC}"/>
    <cellStyle name="Normal 16 8 2" xfId="1199" xr:uid="{E4D6D739-EACB-4E1F-94EC-CA8554E496DF}"/>
    <cellStyle name="Normal 16 8 2 2" xfId="1432" xr:uid="{39ECDD55-84A6-4955-825C-E5B06481C532}"/>
    <cellStyle name="Normal 16 8 3" xfId="1316" xr:uid="{88801C65-8F38-43C1-AA37-1BE4356B18A7}"/>
    <cellStyle name="Normal 16 8 4" xfId="1080" xr:uid="{3D817D99-C614-4377-AB8D-D9735607212A}"/>
    <cellStyle name="Normal 16 9" xfId="1140" xr:uid="{8534E94A-8D28-48DF-973A-AC8924C02445}"/>
    <cellStyle name="Normal 16 9 2" xfId="1375" xr:uid="{7EAD7DFC-98F1-4BD8-8F03-C79EDBB3DB4C}"/>
    <cellStyle name="Normal 17" xfId="619" xr:uid="{0C8ADA19-BD56-4582-8D5B-93133CD00AB2}"/>
    <cellStyle name="Normal 17 10" xfId="1260" xr:uid="{9D0FD28E-A9D9-4E0F-9A5D-B2697CB29779}"/>
    <cellStyle name="Normal 17 11" xfId="1016" xr:uid="{0E12EE3F-6CC6-4ABA-9011-C6505CBD1CB3}"/>
    <cellStyle name="Normal 17 12" xfId="1615" xr:uid="{94E3AD69-6DC5-4B2F-A52C-BADDE5888D4E}"/>
    <cellStyle name="Normal 17 2" xfId="703" xr:uid="{CFA2D5BB-9ED6-4529-AC96-8FE18C873E09}"/>
    <cellStyle name="Normal 17 2 2" xfId="720" xr:uid="{1EBE8604-2098-4E49-B17A-54E83EAC3E11}"/>
    <cellStyle name="Normal 17 2 2 2" xfId="757" xr:uid="{3DAF6FA3-C3EF-4D1F-8BE1-3263E59AC999}"/>
    <cellStyle name="Normal 17 2 2 2 2" xfId="912" xr:uid="{ACD4999E-093B-4FE1-8F29-4A2660D07D12}"/>
    <cellStyle name="Normal 17 2 2 2 2 2" xfId="1243" xr:uid="{502652A6-FAEA-4566-9776-309606FBB2D8}"/>
    <cellStyle name="Normal 17 2 2 2 2 2 2" xfId="1476" xr:uid="{75EE7E14-43D6-4A1A-BC47-72F4E2D9CE68}"/>
    <cellStyle name="Normal 17 2 2 2 2 3" xfId="1360" xr:uid="{BE93CB78-B43F-4E69-9AB5-8A9DFD95F185}"/>
    <cellStyle name="Normal 17 2 2 2 2 4" xfId="1124" xr:uid="{2DB3CD64-076E-4A80-82B3-EF8884AFB89D}"/>
    <cellStyle name="Normal 17 2 2 2 3" xfId="982" xr:uid="{B6605F7C-8B2F-4700-BB67-4306C9A47B08}"/>
    <cellStyle name="Normal 17 2 2 2 3 2" xfId="1420" xr:uid="{B79E8AF8-9E4C-4800-B097-E2D7638853F3}"/>
    <cellStyle name="Normal 17 2 2 2 3 3" xfId="1187" xr:uid="{FD380C7F-5973-4C40-8322-842654ED9E0B}"/>
    <cellStyle name="Normal 17 2 2 2 4" xfId="1304" xr:uid="{1E2B48F7-05F7-429B-9AE4-A67EB43A46A8}"/>
    <cellStyle name="Normal 17 2 2 2 5" xfId="1067" xr:uid="{402E278B-6047-48DA-A4F6-EE347BD0179D}"/>
    <cellStyle name="Normal 17 2 2 3" xfId="879" xr:uid="{05EEBCB2-86EC-4B17-83C9-DE3E35814002}"/>
    <cellStyle name="Normal 17 2 2 3 2" xfId="1213" xr:uid="{B3E7D3E9-7A9F-4382-8FB5-B95996F878C3}"/>
    <cellStyle name="Normal 17 2 2 3 2 2" xfId="1446" xr:uid="{D5A0F440-E2C1-42C3-AA08-F8C78AF7C7DD}"/>
    <cellStyle name="Normal 17 2 2 3 3" xfId="1330" xr:uid="{EFB53BCB-A63D-4239-9B75-96911782A9D1}"/>
    <cellStyle name="Normal 17 2 2 3 4" xfId="1094" xr:uid="{09291D5B-5481-449F-8581-C71B007BA015}"/>
    <cellStyle name="Normal 17 2 2 4" xfId="952" xr:uid="{8F89E512-C697-4EB4-87D5-E20F9B8BE6C5}"/>
    <cellStyle name="Normal 17 2 2 4 2" xfId="1394" xr:uid="{62905811-7623-43EC-AF28-3997FF25E1B7}"/>
    <cellStyle name="Normal 17 2 2 4 3" xfId="1161" xr:uid="{3AE1D3FA-E391-429C-90E3-243DA4DA4CD5}"/>
    <cellStyle name="Normal 17 2 2 5" xfId="1278" xr:uid="{A06D7E4B-18CC-401C-AEF8-F55BE35F20AC}"/>
    <cellStyle name="Normal 17 2 2 6" xfId="1041" xr:uid="{B0335D1D-3383-4AB6-96D4-2C6755759FB6}"/>
    <cellStyle name="Normal 17 2 3" xfId="728" xr:uid="{A5C8C1FC-D8A5-4ABB-8CDB-365D53932044}"/>
    <cellStyle name="Normal 17 2 3 2" xfId="765" xr:uid="{13DD6223-EC1E-44C1-BE8B-37BF2213068C}"/>
    <cellStyle name="Normal 17 2 3 2 2" xfId="920" xr:uid="{337F0F65-7E7A-4069-9F28-F9B76104CDC2}"/>
    <cellStyle name="Normal 17 2 3 2 2 2" xfId="1251" xr:uid="{353A8B5D-C86D-4FD6-A322-69D8086D1BFB}"/>
    <cellStyle name="Normal 17 2 3 2 2 2 2" xfId="1484" xr:uid="{E73AC069-ADB5-42A5-8BED-1D1260F38E0E}"/>
    <cellStyle name="Normal 17 2 3 2 2 3" xfId="1368" xr:uid="{6756039F-96D3-4FF1-9D9A-6916EF4C2BC6}"/>
    <cellStyle name="Normal 17 2 3 2 2 4" xfId="1132" xr:uid="{4456BF40-DE8B-4B1C-8F07-6B5E8CFBFEF9}"/>
    <cellStyle name="Normal 17 2 3 2 3" xfId="990" xr:uid="{4B4725F8-97A7-4550-A7FD-7674EE55DECC}"/>
    <cellStyle name="Normal 17 2 3 2 3 2" xfId="1428" xr:uid="{2FBD4D6E-89E2-432B-AA58-37C443125F2A}"/>
    <cellStyle name="Normal 17 2 3 2 3 3" xfId="1195" xr:uid="{F2302B83-FA35-49F4-B655-6E419E2C146C}"/>
    <cellStyle name="Normal 17 2 3 2 4" xfId="1312" xr:uid="{03BBE647-9889-45E6-8EDE-22D34B532DF4}"/>
    <cellStyle name="Normal 17 2 3 2 5" xfId="1075" xr:uid="{37D26FD2-B030-409E-BC75-B9C9BE9031CB}"/>
    <cellStyle name="Normal 17 2 3 3" xfId="887" xr:uid="{E04AE7F0-ABAA-4296-B02E-E4974C8BF1BA}"/>
    <cellStyle name="Normal 17 2 3 3 2" xfId="1221" xr:uid="{C7C0A8C4-46E2-437A-A238-16A07BA036ED}"/>
    <cellStyle name="Normal 17 2 3 3 2 2" xfId="1454" xr:uid="{610FF6C8-6014-406B-BC99-69F61A1BBAE7}"/>
    <cellStyle name="Normal 17 2 3 3 3" xfId="1338" xr:uid="{24C071E4-3A93-46B3-94AF-F09564D638C2}"/>
    <cellStyle name="Normal 17 2 3 3 4" xfId="1102" xr:uid="{6BCB2BAD-477D-4DBB-9EE6-BE5C5ED5802B}"/>
    <cellStyle name="Normal 17 2 3 4" xfId="960" xr:uid="{FB8C2E85-0E24-45B3-B267-1EEC5CA239CF}"/>
    <cellStyle name="Normal 17 2 3 4 2" xfId="1402" xr:uid="{BD38EF6A-752D-400D-BC68-CCF1F161F409}"/>
    <cellStyle name="Normal 17 2 3 4 3" xfId="1169" xr:uid="{5893B61A-AAF4-43D7-817D-BAAFB720A6EC}"/>
    <cellStyle name="Normal 17 2 3 5" xfId="1286" xr:uid="{014A2F42-A31D-488D-BC4B-F5406149A7EA}"/>
    <cellStyle name="Normal 17 2 3 6" xfId="1049" xr:uid="{88F855C4-35BA-403E-B11A-3CE533AF9D05}"/>
    <cellStyle name="Normal 17 2 4" xfId="749" xr:uid="{3620A05B-98C5-43C6-9109-9F78263B8D89}"/>
    <cellStyle name="Normal 17 2 4 2" xfId="904" xr:uid="{8FA468AB-59EE-4DBE-9073-AB6ACC11F80F}"/>
    <cellStyle name="Normal 17 2 4 2 2" xfId="1235" xr:uid="{FFC613AE-E90A-408D-AC26-98D373A92CF0}"/>
    <cellStyle name="Normal 17 2 4 2 2 2" xfId="1468" xr:uid="{F4A75714-AC0B-4520-B5EF-338128CCE0F1}"/>
    <cellStyle name="Normal 17 2 4 2 3" xfId="1352" xr:uid="{6F86C44D-248C-47A5-BF71-384E7AB9F270}"/>
    <cellStyle name="Normal 17 2 4 2 4" xfId="1116" xr:uid="{C0A56955-4A7A-43FE-A985-1A486B07AA09}"/>
    <cellStyle name="Normal 17 2 4 3" xfId="974" xr:uid="{E07C0DBA-0A41-4290-8C7D-0005CEEF785B}"/>
    <cellStyle name="Normal 17 2 4 3 2" xfId="1386" xr:uid="{BCC36A8E-574A-469C-801E-52339ADF5917}"/>
    <cellStyle name="Normal 17 2 4 3 3" xfId="1153" xr:uid="{F0987453-FE76-41F8-B449-6AAD9F2CD659}"/>
    <cellStyle name="Normal 17 2 4 4" xfId="1270" xr:uid="{9FEBB37E-357F-455A-BEF0-719929976BF5}"/>
    <cellStyle name="Normal 17 2 4 5" xfId="1033" xr:uid="{4615AA88-DC6E-4468-A058-078599A32863}"/>
    <cellStyle name="Normal 17 2 5" xfId="868" xr:uid="{DD595C49-348E-40B5-AF66-7185CB735A47}"/>
    <cellStyle name="Normal 17 2 5 2" xfId="1179" xr:uid="{85575C0E-CFFB-44B5-B935-E86718699990}"/>
    <cellStyle name="Normal 17 2 5 2 2" xfId="1412" xr:uid="{5667843E-41FE-4245-BBAC-FC7BF7B4AFB1}"/>
    <cellStyle name="Normal 17 2 5 3" xfId="1296" xr:uid="{157B2810-8A51-4642-8977-37F15DA19DEF}"/>
    <cellStyle name="Normal 17 2 5 4" xfId="1059" xr:uid="{20F594DB-88CD-46CD-BEA6-662207481C20}"/>
    <cellStyle name="Normal 17 2 6" xfId="944" xr:uid="{AA5B70BC-C7AB-4483-8E85-6EF4B06EDA7D}"/>
    <cellStyle name="Normal 17 2 6 2" xfId="1205" xr:uid="{A522744E-6128-4326-ABDE-67EDC8A47D64}"/>
    <cellStyle name="Normal 17 2 6 2 2" xfId="1438" xr:uid="{52E2928F-B969-4ECA-975A-E325E67F422E}"/>
    <cellStyle name="Normal 17 2 6 3" xfId="1322" xr:uid="{CE4E576F-6AC8-406F-AD31-EBBC5BDF9071}"/>
    <cellStyle name="Normal 17 2 6 4" xfId="1086" xr:uid="{9D5AA504-4ECE-4186-B183-083996743460}"/>
    <cellStyle name="Normal 17 2 7" xfId="1146" xr:uid="{D3EBE66E-40A4-4180-8BA8-68688CEA24BE}"/>
    <cellStyle name="Normal 17 2 7 2" xfId="1379" xr:uid="{7256A73C-A3E1-4713-8FAF-A9C3A42D5B6D}"/>
    <cellStyle name="Normal 17 2 8" xfId="1263" xr:uid="{1F819A75-CA1B-48DC-8079-05677AE1A6E4}"/>
    <cellStyle name="Normal 17 2 9" xfId="1026" xr:uid="{8F222D93-5250-4C15-A997-2EF0D52B852C}"/>
    <cellStyle name="Normal 17 3" xfId="693" xr:uid="{68935E0D-1D5C-4414-8497-28224F03542D}"/>
    <cellStyle name="Normal 17 3 2" xfId="746" xr:uid="{206CDE47-5A3E-423C-A9C3-7B81011D390F}"/>
    <cellStyle name="Normal 17 3 2 2" xfId="901" xr:uid="{4C8DF936-1C1D-4E51-B2E9-F0007B05ACA8}"/>
    <cellStyle name="Normal 17 3 2 2 2" xfId="1232" xr:uid="{8DB694D3-9CD5-4F14-AEB9-FD83367C156C}"/>
    <cellStyle name="Normal 17 3 2 2 2 2" xfId="1465" xr:uid="{42B57218-640D-48F4-975D-DBA82F606C0C}"/>
    <cellStyle name="Normal 17 3 2 2 3" xfId="1349" xr:uid="{08C15CB4-F96C-44B2-BA2F-F254F0255E97}"/>
    <cellStyle name="Normal 17 3 2 2 4" xfId="1113" xr:uid="{698B24CD-66FD-4E57-A84E-E77E663D8542}"/>
    <cellStyle name="Normal 17 3 2 3" xfId="971" xr:uid="{16E6F15B-4210-41DB-B163-B7A34BD63DEB}"/>
    <cellStyle name="Normal 17 3 2 3 2" xfId="1409" xr:uid="{B452BCB9-47C5-459F-A327-3EA043FEA36B}"/>
    <cellStyle name="Normal 17 3 2 3 3" xfId="1176" xr:uid="{ADC19205-746F-4D16-90D9-8DCF15CFD2D9}"/>
    <cellStyle name="Normal 17 3 2 4" xfId="1293" xr:uid="{847C85AA-4340-4C83-B5FC-2DC2B5EF0FBA}"/>
    <cellStyle name="Normal 17 3 2 5" xfId="1056" xr:uid="{59588DBB-D53C-422A-86E6-D973A2EFC67D}"/>
    <cellStyle name="Normal 17 3 3" xfId="862" xr:uid="{E821CCC4-2ED2-48AF-9BE5-9DEDE9BBAA13}"/>
    <cellStyle name="Normal 17 3 3 2" xfId="1202" xr:uid="{88B82FD4-9A99-49FD-B21F-689F1DF79D8C}"/>
    <cellStyle name="Normal 17 3 3 2 2" xfId="1435" xr:uid="{EF2E9229-CECC-4276-BAEE-8672D79758B7}"/>
    <cellStyle name="Normal 17 3 3 3" xfId="1319" xr:uid="{9C8A78C1-845A-4F29-AF1D-56911F602A99}"/>
    <cellStyle name="Normal 17 3 3 4" xfId="1083" xr:uid="{FB019EEA-7D0A-469F-BC6A-1285D612795D}"/>
    <cellStyle name="Normal 17 3 4" xfId="941" xr:uid="{52867957-FFF7-48B6-9B17-A989E6C8A0B2}"/>
    <cellStyle name="Normal 17 3 4 2" xfId="1383" xr:uid="{C48C4861-227D-4B95-85DE-E4C0370B926D}"/>
    <cellStyle name="Normal 17 3 4 3" xfId="1150" xr:uid="{5EFD09B4-E4D0-46F5-90C6-E375600417DC}"/>
    <cellStyle name="Normal 17 3 5" xfId="1267" xr:uid="{62979EED-BD06-46FB-9101-F36E293C0670}"/>
    <cellStyle name="Normal 17 3 6" xfId="1030" xr:uid="{6F40A419-61CA-4C7F-95CA-044B2716B425}"/>
    <cellStyle name="Normal 17 4" xfId="717" xr:uid="{35F0E75A-F324-441A-B6E2-1D0F2335A49B}"/>
    <cellStyle name="Normal 17 4 2" xfId="754" xr:uid="{25264894-6F5F-4DDE-B8F2-8D17C95AA2E7}"/>
    <cellStyle name="Normal 17 4 2 2" xfId="909" xr:uid="{8EEB88AF-EFBC-4D1C-9C5D-E3D185023C8E}"/>
    <cellStyle name="Normal 17 4 2 2 2" xfId="1240" xr:uid="{6F9D1665-4F6D-4EA6-A822-014B836AA3C7}"/>
    <cellStyle name="Normal 17 4 2 2 2 2" xfId="1473" xr:uid="{CD23C841-4A82-4FC3-803B-E1D1DAB2CD2B}"/>
    <cellStyle name="Normal 17 4 2 2 3" xfId="1357" xr:uid="{220BA773-23DF-433E-922E-C9B85B8C8E05}"/>
    <cellStyle name="Normal 17 4 2 2 4" xfId="1121" xr:uid="{865E67F9-CBCC-42D3-9CAF-E63504F7A099}"/>
    <cellStyle name="Normal 17 4 2 3" xfId="979" xr:uid="{8E203D50-73A4-4CF3-8509-EADCB9D4FC31}"/>
    <cellStyle name="Normal 17 4 2 3 2" xfId="1417" xr:uid="{86509580-1F4F-4EAE-9176-4D556341A209}"/>
    <cellStyle name="Normal 17 4 2 3 3" xfId="1184" xr:uid="{E0474D88-2F72-4786-A49E-55F57A32B388}"/>
    <cellStyle name="Normal 17 4 2 4" xfId="1301" xr:uid="{5324FA6F-2DB8-4E3B-BC31-CEEF42E0E3CB}"/>
    <cellStyle name="Normal 17 4 2 5" xfId="1064" xr:uid="{6C4E3330-023B-4453-91BA-B4B6E22DC740}"/>
    <cellStyle name="Normal 17 4 3" xfId="876" xr:uid="{1592777B-A6B4-4F98-8804-6D326395896C}"/>
    <cellStyle name="Normal 17 4 3 2" xfId="1210" xr:uid="{2FD04ACF-6506-4C5D-89DD-748D25DD653A}"/>
    <cellStyle name="Normal 17 4 3 2 2" xfId="1443" xr:uid="{2F2BCFFD-A177-4BBA-AE1F-484628EE067D}"/>
    <cellStyle name="Normal 17 4 3 3" xfId="1327" xr:uid="{42995D10-73E0-49A5-9C20-F37A7928C69F}"/>
    <cellStyle name="Normal 17 4 3 4" xfId="1091" xr:uid="{177943BF-07D7-4559-97FC-3BA18A03138C}"/>
    <cellStyle name="Normal 17 4 4" xfId="949" xr:uid="{DFC7FAE4-3643-41C2-94B8-F090B0519A05}"/>
    <cellStyle name="Normal 17 4 4 2" xfId="1391" xr:uid="{CC7678E2-BDF9-468F-BB28-05D2134E690B}"/>
    <cellStyle name="Normal 17 4 4 3" xfId="1158" xr:uid="{4F1766F4-C329-4FBB-A0C1-7155F5D19FE0}"/>
    <cellStyle name="Normal 17 4 5" xfId="1275" xr:uid="{C8534591-2672-4F75-B65B-7DD9E55B5E39}"/>
    <cellStyle name="Normal 17 4 6" xfId="1038" xr:uid="{77F65398-7BD2-4D4F-BF5A-58102FBB3652}"/>
    <cellStyle name="Normal 17 5" xfId="725" xr:uid="{A24DFF2F-6B8A-4767-997E-88A4AFDD2B85}"/>
    <cellStyle name="Normal 17 5 2" xfId="762" xr:uid="{75CF2383-B76B-4F21-8C17-A0D363E7C3DF}"/>
    <cellStyle name="Normal 17 5 2 2" xfId="917" xr:uid="{ADEBF3E4-E659-4346-8FAE-A828D31F6B43}"/>
    <cellStyle name="Normal 17 5 2 2 2" xfId="1248" xr:uid="{F57928BE-4B83-4A2E-98F1-DB72774D2E88}"/>
    <cellStyle name="Normal 17 5 2 2 2 2" xfId="1481" xr:uid="{2FAD08A2-5C61-45BE-A519-528B62B00B02}"/>
    <cellStyle name="Normal 17 5 2 2 3" xfId="1365" xr:uid="{8B81E238-58EE-45FC-87B8-4D04211DF775}"/>
    <cellStyle name="Normal 17 5 2 2 4" xfId="1129" xr:uid="{97879DD8-2561-4A7A-B6EB-E2414F87926A}"/>
    <cellStyle name="Normal 17 5 2 3" xfId="987" xr:uid="{11F9E366-F13C-4D97-AB0F-D9FB3F32ABC9}"/>
    <cellStyle name="Normal 17 5 2 3 2" xfId="1425" xr:uid="{3E928DE1-B53B-48EF-BA4E-E7A6DD4D737F}"/>
    <cellStyle name="Normal 17 5 2 3 3" xfId="1192" xr:uid="{9FEA8468-90DD-4247-89AA-16FEA54D859D}"/>
    <cellStyle name="Normal 17 5 2 4" xfId="1309" xr:uid="{B43775D6-0ED0-41A4-99D6-150F2F2CC7CB}"/>
    <cellStyle name="Normal 17 5 2 5" xfId="1072" xr:uid="{3F5DC931-95AF-40DD-91E6-BA2EDC3555A9}"/>
    <cellStyle name="Normal 17 5 3" xfId="884" xr:uid="{163864C0-9935-40BE-A215-A01A44F0F7B6}"/>
    <cellStyle name="Normal 17 5 3 2" xfId="1218" xr:uid="{5FB9DEAE-FFF5-4FD2-BAAA-4B6F35C26FE0}"/>
    <cellStyle name="Normal 17 5 3 2 2" xfId="1451" xr:uid="{DE1A967D-9801-4126-AA85-5C8D923D3368}"/>
    <cellStyle name="Normal 17 5 3 3" xfId="1335" xr:uid="{5782A3BC-0B11-47DB-A211-BA8AD8F7FA2C}"/>
    <cellStyle name="Normal 17 5 3 4" xfId="1099" xr:uid="{B7E96E4C-FB8D-4B95-A3B1-62B343EDACF1}"/>
    <cellStyle name="Normal 17 5 4" xfId="957" xr:uid="{EC4AF60B-D2FC-4643-95C3-FEDD34ED0D2F}"/>
    <cellStyle name="Normal 17 5 4 2" xfId="1399" xr:uid="{92A4151B-4D7B-4769-8D96-4EB63D0EA207}"/>
    <cellStyle name="Normal 17 5 4 3" xfId="1166" xr:uid="{067C92E1-A9CF-43C1-BD13-690C7944B320}"/>
    <cellStyle name="Normal 17 5 5" xfId="1283" xr:uid="{065AFA6A-A4F8-464A-9C88-74A22307F767}"/>
    <cellStyle name="Normal 17 5 6" xfId="1046" xr:uid="{4700386D-A247-4FD2-B19D-0B1EA4B0E255}"/>
    <cellStyle name="Normal 17 6" xfId="743" xr:uid="{A4540657-B022-4F85-AFC4-A340C870A792}"/>
    <cellStyle name="Normal 17 6 2" xfId="898" xr:uid="{7A42F428-6670-4A18-BB59-CAFEFAE0DE1A}"/>
    <cellStyle name="Normal 17 6 2 2" xfId="1230" xr:uid="{67370C1E-DAD0-487F-B6E6-B41F8D1B508C}"/>
    <cellStyle name="Normal 17 6 2 2 2" xfId="1463" xr:uid="{0CF29D3F-9D6B-4765-B508-332F6BEE3D7D}"/>
    <cellStyle name="Normal 17 6 2 3" xfId="1347" xr:uid="{1E92CFAF-5D1E-43E9-9250-8BA75DEB512A}"/>
    <cellStyle name="Normal 17 6 2 4" xfId="1111" xr:uid="{4D229EF9-1901-4FC3-865F-ABAFD90C1AA5}"/>
    <cellStyle name="Normal 17 6 3" xfId="969" xr:uid="{EE84494F-BDA9-4741-98DD-9C7ED8C29EF0}"/>
    <cellStyle name="Normal 17 6 3 2" xfId="1381" xr:uid="{5D7C942F-AA4C-4336-B1FD-810FF7D084B2}"/>
    <cellStyle name="Normal 17 6 3 3" xfId="1148" xr:uid="{42620923-1847-4C00-9464-5952F4800321}"/>
    <cellStyle name="Normal 17 6 4" xfId="1265" xr:uid="{B873A1EC-0097-40D5-83B2-AF5FC909A94A}"/>
    <cellStyle name="Normal 17 6 5" xfId="1028" xr:uid="{AC834ABA-6672-425E-9FA4-10EBC7E2196A}"/>
    <cellStyle name="Normal 17 7" xfId="849" xr:uid="{34B84DEA-A298-4EA0-A7A7-95D392CD29F1}"/>
    <cellStyle name="Normal 17 7 2" xfId="1174" xr:uid="{04B7D608-EB86-4A13-9654-42CD872B979A}"/>
    <cellStyle name="Normal 17 7 2 2" xfId="1407" xr:uid="{1956920F-67E2-4BC9-B803-A34B5EA324CA}"/>
    <cellStyle name="Normal 17 7 3" xfId="1291" xr:uid="{B5DCE034-9942-40F8-98A6-73AEE4016414}"/>
    <cellStyle name="Normal 17 7 4" xfId="1054" xr:uid="{26FCC237-0C2F-4CB3-891B-D0324D0D6621}"/>
    <cellStyle name="Normal 17 8" xfId="938" xr:uid="{863D58B4-67A7-46A3-BE9F-33041A17C191}"/>
    <cellStyle name="Normal 17 8 2" xfId="1200" xr:uid="{90782097-25FB-4664-8A77-EEB7A3B6145A}"/>
    <cellStyle name="Normal 17 8 2 2" xfId="1433" xr:uid="{1119AC7F-CA67-43C1-9456-F7C030F2D556}"/>
    <cellStyle name="Normal 17 8 3" xfId="1317" xr:uid="{C5BD4232-BB8B-4895-BB9E-4F56BDC4CF17}"/>
    <cellStyle name="Normal 17 8 4" xfId="1081" xr:uid="{3D464836-DDE2-40A4-9965-B5AB95DD4544}"/>
    <cellStyle name="Normal 17 9" xfId="1141" xr:uid="{27FF594B-3426-4334-AC30-72A95E6ED509}"/>
    <cellStyle name="Normal 17 9 2" xfId="1376" xr:uid="{B677D755-B870-4A19-9DF0-7951320D29DD}"/>
    <cellStyle name="Normal 18" xfId="620" xr:uid="{09A9475D-00B9-41C7-B868-A5CF0338B76F}"/>
    <cellStyle name="Normal 19" xfId="621" xr:uid="{B973DB66-FA23-46B4-9FF6-CA79D11B2E33}"/>
    <cellStyle name="Normal 19 2" xfId="704" xr:uid="{225131FA-D994-4E42-B7C9-15F0E63BA725}"/>
    <cellStyle name="Normal 19 3" xfId="694" xr:uid="{36CABFBA-090E-429A-8EB8-9CF02AE4E5D3}"/>
    <cellStyle name="Normal 2" xfId="4" xr:uid="{00000000-0005-0000-0000-00004A000000}"/>
    <cellStyle name="Normal 2 2" xfId="75" xr:uid="{00000000-0005-0000-0000-00004B000000}"/>
    <cellStyle name="Normal 2 2 10" xfId="705" xr:uid="{CA1BBAB5-9838-44F4-A3C7-C547B1B82236}"/>
    <cellStyle name="Normal 2 2 11" xfId="1526" xr:uid="{57271AA0-5F05-42AE-B8D2-D414B40CCC90}"/>
    <cellStyle name="Normal 2 2 2" xfId="721" xr:uid="{81119045-5A70-4725-8384-9E5E44ABD044}"/>
    <cellStyle name="Normal 2 2 2 2" xfId="758" xr:uid="{72174117-546D-4704-8FF4-6D5F2A81DA61}"/>
    <cellStyle name="Normal 2 2 2 2 2" xfId="913" xr:uid="{0C582D7A-694B-42A9-9C38-109820C7D571}"/>
    <cellStyle name="Normal 2 2 2 2 2 2" xfId="1244" xr:uid="{077F67D4-A6C7-4473-A2D1-2FA00BAB1F66}"/>
    <cellStyle name="Normal 2 2 2 2 2 2 2" xfId="1477" xr:uid="{F38D73C5-9CB3-46AE-8555-C3D428026777}"/>
    <cellStyle name="Normal 2 2 2 2 2 3" xfId="1361" xr:uid="{4BBE02DC-4C8E-41F1-9740-627396D6E249}"/>
    <cellStyle name="Normal 2 2 2 2 2 4" xfId="1125" xr:uid="{022ABC52-05D5-4556-9219-79815A02FCBB}"/>
    <cellStyle name="Normal 2 2 2 2 3" xfId="983" xr:uid="{8BE6A34C-EAF3-4C95-A4BD-FE3EF66F6588}"/>
    <cellStyle name="Normal 2 2 2 2 3 2" xfId="1421" xr:uid="{1C613E25-3945-4ED8-AF2F-7A5E9BEF855D}"/>
    <cellStyle name="Normal 2 2 2 2 3 3" xfId="1188" xr:uid="{5EABED71-0C03-45DF-9FAE-79C064ED7440}"/>
    <cellStyle name="Normal 2 2 2 2 4" xfId="1305" xr:uid="{6EE571EA-39CF-4979-8AF0-2B337C76DAFD}"/>
    <cellStyle name="Normal 2 2 2 2 5" xfId="1068" xr:uid="{A2199429-685F-4F4C-AA7D-FC1057DD5885}"/>
    <cellStyle name="Normal 2 2 2 3" xfId="880" xr:uid="{6AA8A082-7AFA-4A11-A3F6-3B5FC3B71A4F}"/>
    <cellStyle name="Normal 2 2 2 3 2" xfId="1214" xr:uid="{FAFDC8D5-1C87-419B-9E9A-E03BF6995A88}"/>
    <cellStyle name="Normal 2 2 2 3 2 2" xfId="1447" xr:uid="{7655CE8C-3B8C-44AF-9C50-EEE8829E1B66}"/>
    <cellStyle name="Normal 2 2 2 3 3" xfId="1331" xr:uid="{4674F0CB-21D6-41E7-8B82-7F0E14278A38}"/>
    <cellStyle name="Normal 2 2 2 3 4" xfId="1095" xr:uid="{DD327DFF-F19A-4E2E-BE46-8FAC7FE49EC6}"/>
    <cellStyle name="Normal 2 2 2 4" xfId="953" xr:uid="{9DBE9E37-E803-4CBA-8F1B-10E7C19DBADD}"/>
    <cellStyle name="Normal 2 2 2 4 2" xfId="1395" xr:uid="{E70F19D2-AB14-451B-B5CD-82C50138C78F}"/>
    <cellStyle name="Normal 2 2 2 4 3" xfId="1162" xr:uid="{75E2EDE9-F4BD-4E39-AD96-7762D6DB71DB}"/>
    <cellStyle name="Normal 2 2 2 5" xfId="1279" xr:uid="{3E25AA25-8913-46C9-B689-C4FA6F331DFA}"/>
    <cellStyle name="Normal 2 2 2 6" xfId="1042" xr:uid="{5916A03E-A346-4288-B952-171E8A3E873C}"/>
    <cellStyle name="Normal 2 2 3" xfId="729" xr:uid="{5BDCD611-EE52-4191-A0FF-979F64C33CE7}"/>
    <cellStyle name="Normal 2 2 3 2" xfId="766" xr:uid="{7DB5C444-4376-462B-A22B-49898CA5BAA2}"/>
    <cellStyle name="Normal 2 2 3 2 2" xfId="921" xr:uid="{971C25AF-0870-44E1-B9CD-91DB230146E1}"/>
    <cellStyle name="Normal 2 2 3 2 2 2" xfId="1252" xr:uid="{47E5B946-CB13-4F41-89B4-499E5B9ED1CB}"/>
    <cellStyle name="Normal 2 2 3 2 2 2 2" xfId="1485" xr:uid="{B39FC8D3-28A8-4C73-BE1C-E8F278F86545}"/>
    <cellStyle name="Normal 2 2 3 2 2 3" xfId="1369" xr:uid="{5A436301-99CA-4528-962C-32004EB383A5}"/>
    <cellStyle name="Normal 2 2 3 2 2 4" xfId="1133" xr:uid="{CC378B41-ECE0-4D32-A8FF-732A3010345A}"/>
    <cellStyle name="Normal 2 2 3 2 3" xfId="991" xr:uid="{3300C1A9-2DD4-45B9-933F-C71F262FEE86}"/>
    <cellStyle name="Normal 2 2 3 2 3 2" xfId="1429" xr:uid="{EFBCE65B-5044-4357-A2EE-474FF6DD7698}"/>
    <cellStyle name="Normal 2 2 3 2 3 3" xfId="1196" xr:uid="{C9E52917-7157-4F83-AC0F-2D69E873B98D}"/>
    <cellStyle name="Normal 2 2 3 2 4" xfId="1313" xr:uid="{F83E3E6B-7162-427D-A2AF-256B98FFFFD0}"/>
    <cellStyle name="Normal 2 2 3 2 5" xfId="1076" xr:uid="{89D981D5-1E03-4E3B-B829-5FD43A7CE54D}"/>
    <cellStyle name="Normal 2 2 3 3" xfId="888" xr:uid="{5C137E0E-2634-4791-A619-089A80E8A734}"/>
    <cellStyle name="Normal 2 2 3 3 2" xfId="1222" xr:uid="{D575FA7D-06C1-4407-BED9-A03937FF2D5B}"/>
    <cellStyle name="Normal 2 2 3 3 2 2" xfId="1455" xr:uid="{952CCB6E-E946-4D79-8B84-B40AE0449FB9}"/>
    <cellStyle name="Normal 2 2 3 3 3" xfId="1339" xr:uid="{98994242-29FA-4237-9FD3-6393E280C930}"/>
    <cellStyle name="Normal 2 2 3 3 4" xfId="1103" xr:uid="{D2BEC730-BEAA-4F5F-B460-7B29AB48361E}"/>
    <cellStyle name="Normal 2 2 3 4" xfId="961" xr:uid="{491A03AB-82B4-422B-88B9-9A915CD6F0FF}"/>
    <cellStyle name="Normal 2 2 3 4 2" xfId="1403" xr:uid="{852C08CE-94B0-4E50-A4F5-0ACBDFEF0CFD}"/>
    <cellStyle name="Normal 2 2 3 4 3" xfId="1170" xr:uid="{9C3885E1-066A-4562-845E-5718110E0644}"/>
    <cellStyle name="Normal 2 2 3 5" xfId="1287" xr:uid="{76B3816F-B917-4295-8E8B-EBBEDBDFF6A2}"/>
    <cellStyle name="Normal 2 2 3 6" xfId="1050" xr:uid="{8DC77C8C-D4A5-48D2-8A41-7AB28EE08B4A}"/>
    <cellStyle name="Normal 2 2 4" xfId="750" xr:uid="{D441E215-E076-49B4-AE91-D71CE69118C7}"/>
    <cellStyle name="Normal 2 2 4 2" xfId="905" xr:uid="{B4BF33B0-A35D-41DB-88A4-A40A227B8128}"/>
    <cellStyle name="Normal 2 2 4 2 2" xfId="1236" xr:uid="{FF85D3D6-7CAC-4208-AEBA-605FC2700B14}"/>
    <cellStyle name="Normal 2 2 4 2 2 2" xfId="1469" xr:uid="{94AF6012-0CEF-41C2-8823-47C2F8676E27}"/>
    <cellStyle name="Normal 2 2 4 2 3" xfId="1353" xr:uid="{F68652A5-901F-4AAF-B36B-2B435ABC6F44}"/>
    <cellStyle name="Normal 2 2 4 2 4" xfId="1117" xr:uid="{763C6FE0-4B52-4C7A-A409-5FC2C65A5ED3}"/>
    <cellStyle name="Normal 2 2 4 3" xfId="975" xr:uid="{4EFB6F37-6FD4-4E78-AF45-8E51BA63D988}"/>
    <cellStyle name="Normal 2 2 4 3 2" xfId="1387" xr:uid="{3E3AB025-2811-4579-A30B-19E844F49AC5}"/>
    <cellStyle name="Normal 2 2 4 3 3" xfId="1154" xr:uid="{049912C6-3E80-4E6B-A150-8056E204EEFB}"/>
    <cellStyle name="Normal 2 2 4 4" xfId="1271" xr:uid="{3D78D77E-9A2F-4340-999B-9F401326FC1E}"/>
    <cellStyle name="Normal 2 2 4 5" xfId="1034" xr:uid="{648A0206-8C15-4EFC-A860-CFF636B8FC17}"/>
    <cellStyle name="Normal 2 2 5" xfId="869" xr:uid="{66A3480A-78C5-453B-9F10-540DBC43B4DF}"/>
    <cellStyle name="Normal 2 2 5 2" xfId="1180" xr:uid="{9ED73892-E0E0-4EB3-8700-F0A516FF5823}"/>
    <cellStyle name="Normal 2 2 5 2 2" xfId="1413" xr:uid="{2DCDB3B5-3B99-4F1C-82C1-7DC98D0CF14D}"/>
    <cellStyle name="Normal 2 2 5 3" xfId="1297" xr:uid="{5A0D06E8-8ACC-4875-9CE9-F2268D6C6651}"/>
    <cellStyle name="Normal 2 2 5 4" xfId="1060" xr:uid="{78493F0E-4902-4231-BB33-339A7026B37C}"/>
    <cellStyle name="Normal 2 2 6" xfId="945" xr:uid="{7F6590EE-9E2B-4222-8306-2E71B8A640C0}"/>
    <cellStyle name="Normal 2 2 6 2" xfId="1206" xr:uid="{03152B51-C091-49BC-B213-1F867D9BB45F}"/>
    <cellStyle name="Normal 2 2 6 2 2" xfId="1439" xr:uid="{BD8F962C-6F0B-42C4-818A-17AEBC707021}"/>
    <cellStyle name="Normal 2 2 6 3" xfId="1323" xr:uid="{3DA4F678-1861-4B1A-A97F-1A38C0D4D346}"/>
    <cellStyle name="Normal 2 2 6 4" xfId="1087" xr:uid="{0FD44BDA-0617-474B-980A-FC4115BFCA1F}"/>
    <cellStyle name="Normal 2 2 7" xfId="1144" xr:uid="{732CB926-CA48-43D8-8ED5-1EAEEFE07A55}"/>
    <cellStyle name="Normal 2 2 7 2" xfId="1377" xr:uid="{B4B0F0D8-9DD0-4FE8-B284-B03C330BE379}"/>
    <cellStyle name="Normal 2 2 8" xfId="1261" xr:uid="{C4A2DAD3-271A-4F32-8D36-F70E6A130CDD}"/>
    <cellStyle name="Normal 2 2 9" xfId="1023" xr:uid="{5C46BC3A-8350-4893-8274-380D32A67AD3}"/>
    <cellStyle name="Normal 2 3" xfId="736" xr:uid="{5D999D92-2638-4729-98F0-A4C5158AB11A}"/>
    <cellStyle name="Normal 2 4" xfId="796" xr:uid="{2F3DBAA9-94D0-4A22-BC64-D62E21FD8832}"/>
    <cellStyle name="Normal 2 5" xfId="622" xr:uid="{52236977-69EE-43CE-978C-781C2B31DF6B}"/>
    <cellStyle name="Normal 20" xfId="623" xr:uid="{8B19251C-5490-410D-B5FC-05DDFDB381FB}"/>
    <cellStyle name="Normal 21" xfId="706" xr:uid="{73936943-F6B4-4180-94F4-96D1E1525801}"/>
    <cellStyle name="Normal 22" xfId="732" xr:uid="{ECE93BD4-AAB9-4E01-9BC8-E553EAD11CA6}"/>
    <cellStyle name="Normal 22 2" xfId="740" xr:uid="{2C19312B-F0BD-48A8-AD4A-DCE66515DB63}"/>
    <cellStyle name="Normal 22 3" xfId="891" xr:uid="{848E9D7F-F877-40AE-A485-C2398A2606A8}"/>
    <cellStyle name="Normal 22 3 2" xfId="1458" xr:uid="{C37F1FC4-C87A-445C-AFAF-EEEC874C963F}"/>
    <cellStyle name="Normal 22 3 3" xfId="1225" xr:uid="{BBAB6D9F-8302-4C91-B202-8DB48F373F08}"/>
    <cellStyle name="Normal 22 4" xfId="964" xr:uid="{E8690419-9D5D-45F4-AA2F-45398A042D5B}"/>
    <cellStyle name="Normal 22 4 2" xfId="1342" xr:uid="{557109F6-5A9B-47CC-AC61-D1B850FF4E70}"/>
    <cellStyle name="Normal 22 5" xfId="1106" xr:uid="{8760330B-4CB1-4B35-A979-FFC0CB19D8CB}"/>
    <cellStyle name="Normal 23" xfId="737" xr:uid="{D262FC73-2B79-43E0-A9A3-3B4A1830FC31}"/>
    <cellStyle name="Normal 23 2" xfId="894" xr:uid="{29E72DC0-12C2-4E8E-8A71-1B9C79159BF4}"/>
    <cellStyle name="Normal 23 2 2" xfId="1459" xr:uid="{29B7CA17-14DB-4D2A-84CD-C618F9CB2038}"/>
    <cellStyle name="Normal 23 2 3" xfId="1226" xr:uid="{065EE220-D577-49E6-BE90-5A71E2BF8A48}"/>
    <cellStyle name="Normal 23 3" xfId="965" xr:uid="{B39082DB-010D-4A23-8DE1-FBA352901F86}"/>
    <cellStyle name="Normal 23 3 2" xfId="1343" xr:uid="{B0E63C77-E165-4CE6-876C-E9C1E79155CD}"/>
    <cellStyle name="Normal 23 4" xfId="1107" xr:uid="{ACA2EA91-9CEE-4C60-A69A-050B08813299}"/>
    <cellStyle name="Normal 24" xfId="924" xr:uid="{31235064-FEE9-42F1-A8CD-4379E59DAE0B}"/>
    <cellStyle name="Normal 24 2" xfId="1138" xr:uid="{D501E2FD-CD72-4412-88EE-8F087D437134}"/>
    <cellStyle name="Normal 25" xfId="935" xr:uid="{139ABBEC-6429-4E74-9965-C58CC1601E8E}"/>
    <cellStyle name="Normal 25 2" xfId="1374" xr:uid="{A53E9708-A192-44B2-8E94-ABB8A267ED5C}"/>
    <cellStyle name="Normal 25 3" xfId="1137" xr:uid="{15A61BF5-5478-48F7-B307-4B6226F7FDED}"/>
    <cellStyle name="Normal 26" xfId="925" xr:uid="{8F86AA81-1B5B-4B8B-B2BD-5B9D903B78F6}"/>
    <cellStyle name="Normal 26 2" xfId="1256" xr:uid="{4B7D146E-FD15-47E7-BE08-3499F7960DD7}"/>
    <cellStyle name="Normal 27" xfId="931" xr:uid="{84BFC054-4661-4393-B984-77DB8F0E82AF}"/>
    <cellStyle name="Normal 28" xfId="936" xr:uid="{C800E3AB-A60F-47CA-9833-7A49F9B65DCA}"/>
    <cellStyle name="Normal 29" xfId="1006" xr:uid="{44E895C8-637A-4FCB-BE03-C15F1784E928}"/>
    <cellStyle name="Normal 3" xfId="11" xr:uid="{00000000-0005-0000-0000-00004C000000}"/>
    <cellStyle name="Normal 3 2" xfId="707" xr:uid="{D65206B1-1563-4F4F-BEFA-71E190E67CD7}"/>
    <cellStyle name="Normal 3 2 2" xfId="1583" xr:uid="{43BC6A37-160F-4BD3-98F8-B4D62D851E8F}"/>
    <cellStyle name="Normal 3 3" xfId="708" xr:uid="{9864E9AE-E37B-4FF2-A146-6D85B6CDD8FE}"/>
    <cellStyle name="Normal 3 3 2" xfId="701" xr:uid="{1D66177E-6151-41F7-B2EE-7C5EDFE1CB71}"/>
    <cellStyle name="Normal 3 3 3" xfId="1616" xr:uid="{5CF45649-4C77-457D-B31A-7562F865F1E5}"/>
    <cellStyle name="Normal 3 4" xfId="733" xr:uid="{A7A7F0F3-8B89-4D5B-99DB-883CFA1B0AB8}"/>
    <cellStyle name="Normal 3 4 2" xfId="892" xr:uid="{DE4A5A07-29E1-4A94-BFB4-D1D13D27A01E}"/>
    <cellStyle name="Normal 3 5" xfId="799" xr:uid="{D84FD27D-4F8D-4E1F-872A-4A3BD1D16E5B}"/>
    <cellStyle name="Normal 3 6" xfId="999" xr:uid="{8202992F-BAF8-44F3-8D2C-7901D2C69288}"/>
    <cellStyle name="Normal 3 7" xfId="624" xr:uid="{CCA486E0-110F-48D0-96E3-E1B5723E5A1E}"/>
    <cellStyle name="Normal 3 8" xfId="1545" xr:uid="{BB944EB7-6483-49E9-85DA-D9C3F57A3E78}"/>
    <cellStyle name="Normal 30" xfId="1002" xr:uid="{D71AAE61-B41E-4E2E-8C79-22AC7024A045}"/>
    <cellStyle name="Normal 31" xfId="1489" xr:uid="{DDBCD9E8-0303-4EEC-9B9E-5EFF33963772}"/>
    <cellStyle name="Normal 32" xfId="1000" xr:uid="{C56C40F9-D546-4507-B411-55FF0568CD46}"/>
    <cellStyle name="Normal 33" xfId="1004" xr:uid="{27E7B7E6-176C-4087-A1AF-4428A5A31B76}"/>
    <cellStyle name="Normal 34" xfId="1014" xr:uid="{D5BF7374-D31F-4352-B495-27C26D6F44DF}"/>
    <cellStyle name="Normal 35" xfId="1498" xr:uid="{64B2E403-9017-4256-8729-C5DC6166F9E7}"/>
    <cellStyle name="Normal 36" xfId="1500" xr:uid="{36AD661F-D9FA-431A-B1C6-8F3411C2B1FB}"/>
    <cellStyle name="Normal 37" xfId="1502" xr:uid="{0CDBD015-684B-4EA7-BC9C-7C9A9885E122}"/>
    <cellStyle name="Normal 38" xfId="1504" xr:uid="{A30F1ED4-9DAE-4847-AC49-35B7B94C492E}"/>
    <cellStyle name="Normal 39" xfId="1506" xr:uid="{96FFF111-080E-4963-B1EE-62224FE61868}"/>
    <cellStyle name="Normal 4" xfId="76" xr:uid="{00000000-0005-0000-0000-00004D000000}"/>
    <cellStyle name="Normal 4 2" xfId="709" xr:uid="{81E4A1C3-85D5-4122-8A76-9BB54D819642}"/>
    <cellStyle name="Normal 4 2 2" xfId="1597" xr:uid="{3D9CD546-22F8-46AE-906A-A052E50C9D65}"/>
    <cellStyle name="Normal 4 3" xfId="838" xr:uid="{F8577DCA-F3CC-455B-9CE2-FD746A551677}"/>
    <cellStyle name="Normal 4 3 2" xfId="1630" xr:uid="{59696BD0-08BF-4A00-9DE8-DAA3A1EE4D44}"/>
    <cellStyle name="Normal 4 4" xfId="625" xr:uid="{8D21A86B-11FF-4EC6-BA39-8F59D63C9E59}"/>
    <cellStyle name="Normal 4 5" xfId="1531" xr:uid="{31923F63-10F6-4C0A-AD6B-45FE62E25968}"/>
    <cellStyle name="Normal 4 6" xfId="1562" xr:uid="{3E8CC19A-597F-4F2C-A14C-222ED5FED6F2}"/>
    <cellStyle name="Normal 40" xfId="1508" xr:uid="{0678ED52-D772-40A4-A050-8422512AC453}"/>
    <cellStyle name="Normal 41" xfId="1510" xr:uid="{7DE8DAF9-80C6-450A-904E-7A79ED52CED1}"/>
    <cellStyle name="Normal 42" xfId="1512" xr:uid="{74D01AFB-BE4F-4FEF-9279-C38C89CBA31C}"/>
    <cellStyle name="Normal 43" xfId="1514" xr:uid="{F8035CA1-C432-45B1-B491-68C37027D628}"/>
    <cellStyle name="Normal 44" xfId="1516" xr:uid="{2A029B41-DE16-46A8-9636-243F012740C6}"/>
    <cellStyle name="Normal 45" xfId="1518" xr:uid="{6146693A-C26D-48DB-ABFB-A6180A76ED26}"/>
    <cellStyle name="Normal 46" xfId="1520" xr:uid="{6D70D31A-3CE0-457F-9352-EAD798906D71}"/>
    <cellStyle name="Normal 47" xfId="103" xr:uid="{07BB6707-B6DD-4770-B647-F614C56E2EBA}"/>
    <cellStyle name="Normal 48" xfId="1524" xr:uid="{0CF4069A-DC85-425D-9C92-AEC24AB13F57}"/>
    <cellStyle name="Normal 49" xfId="1533" xr:uid="{C9EAF9DB-3F77-4EE8-A0F3-CB71506A42D0}"/>
    <cellStyle name="Normal 5" xfId="77" xr:uid="{00000000-0005-0000-0000-00004E000000}"/>
    <cellStyle name="Normal 5 2" xfId="78" xr:uid="{00000000-0005-0000-0000-00004F000000}"/>
    <cellStyle name="Normal 5 2 2" xfId="1522" xr:uid="{4F6B48E3-82A2-4FB2-A4DA-88FF8A3F24DE}"/>
    <cellStyle name="Normal 5 2 2 2" xfId="1610" xr:uid="{0B6A2321-A1FC-4A78-BCD5-BD5A0CE7EB51}"/>
    <cellStyle name="Normal 5 2 3" xfId="79" xr:uid="{00000000-0005-0000-0000-000050000000}"/>
    <cellStyle name="Normal 5 2 3 2" xfId="97" xr:uid="{00000000-0005-0000-0000-000051000000}"/>
    <cellStyle name="Normal 5 2 3 3" xfId="100" xr:uid="{00000000-0005-0000-0000-000052000000}"/>
    <cellStyle name="Normal 5 2 3 3 2" xfId="1532" xr:uid="{EDE8BB89-AB18-479F-A06D-10BB1D3F4B85}"/>
    <cellStyle name="Normal 5 2 3 4" xfId="1640" xr:uid="{2E54A4A0-3ED7-4892-9BC9-153D4262FD89}"/>
    <cellStyle name="Normal 5 2 3 5" xfId="1654" xr:uid="{8B67F920-0484-47E8-A26A-399AAB11E461}"/>
    <cellStyle name="Normal 5 2 4" xfId="844" xr:uid="{E5ED4AF3-FB2C-445E-AD98-836387592AA0}"/>
    <cellStyle name="Normal 5 2 5" xfId="1575" xr:uid="{342AFFB9-C072-4776-8B05-33A2D52D4255}"/>
    <cellStyle name="Normal 5 3" xfId="840" xr:uid="{6F900A40-2CC6-4DF6-9E52-39DACFBB9333}"/>
    <cellStyle name="Normal 5 3 2" xfId="1600" xr:uid="{016B417D-6BE7-42EE-AB41-64CF17C581FC}"/>
    <cellStyle name="Normal 5 4" xfId="626" xr:uid="{1FAB166A-B1F1-49B7-9742-8EEB87263E54}"/>
    <cellStyle name="Normal 5 4 2" xfId="1633" xr:uid="{1AEFD97D-EB08-4369-87C3-D361F9435454}"/>
    <cellStyle name="Normal 5 5" xfId="1565" xr:uid="{62BBE788-3710-4EB5-8310-379D4C8E96D6}"/>
    <cellStyle name="Normal 50" xfId="1544" xr:uid="{7A973A52-FCB0-4512-B9DE-39384F1B1582}"/>
    <cellStyle name="Normal 51" xfId="1534" xr:uid="{971FB22C-377F-4E25-A099-3FC4D9A3E693}"/>
    <cellStyle name="Normal 52" xfId="1645" xr:uid="{C8DF7F4F-3DE3-44FA-98D5-0ABB0D889318}"/>
    <cellStyle name="Normal 53" xfId="1574" xr:uid="{9C6B2AEF-42CA-44CB-A0D1-6FBFAFB60886}"/>
    <cellStyle name="Normal 54" xfId="1648" xr:uid="{B323E6AB-6F97-433F-AEB2-47F72AEB8590}"/>
    <cellStyle name="Normal 55" xfId="1649" xr:uid="{21C5970C-140A-4642-A9F6-D50D9071FC30}"/>
    <cellStyle name="Normal 56" xfId="1652" xr:uid="{2C9DE048-C87B-4D3B-9C09-3598383FF024}"/>
    <cellStyle name="Normal 57" xfId="1653" xr:uid="{39A08F8E-27C6-4195-A6BD-D8ADFCD3F772}"/>
    <cellStyle name="Normal 6" xfId="80" xr:uid="{00000000-0005-0000-0000-000053000000}"/>
    <cellStyle name="Normal 6 2" xfId="843" xr:uid="{213AA290-D736-4DDA-A4D4-2EF27A647389}"/>
    <cellStyle name="Normal 6 2 2" xfId="1604" xr:uid="{981C84C6-DE44-4C20-92CF-FB2392451696}"/>
    <cellStyle name="Normal 6 3" xfId="627" xr:uid="{4A26A58B-7FCB-41A0-981C-8E1A21369BCB}"/>
    <cellStyle name="Normal 6 3 2" xfId="1636" xr:uid="{BBBB43E1-0D6C-404F-AE2D-BEB135A28257}"/>
    <cellStyle name="Normal 6 4" xfId="1568" xr:uid="{55488A95-04F8-42C5-A919-531BF6ADDF6F}"/>
    <cellStyle name="Normal 7" xfId="81" xr:uid="{00000000-0005-0000-0000-000054000000}"/>
    <cellStyle name="Normal 7 2" xfId="628" xr:uid="{13E091AF-29C3-4863-8FB8-0E8A765159CD}"/>
    <cellStyle name="Normal 8" xfId="101" xr:uid="{947A62E7-9B13-4125-8F42-56423315674A}"/>
    <cellStyle name="Normal 8 2" xfId="629" xr:uid="{6582A769-8B2B-4D65-B887-379AD44BDFA1}"/>
    <cellStyle name="Normal 8 3" xfId="1582" xr:uid="{73F06497-77A8-4349-9DEC-CF3147FE8E4B}"/>
    <cellStyle name="Normal 9" xfId="630" xr:uid="{1308C8C4-F275-4DBD-A9E8-E228AB03DA1C}"/>
    <cellStyle name="Normal 9 2" xfId="1580" xr:uid="{A92C3FE1-8FE0-4539-A9E7-A59774DD92C3}"/>
    <cellStyle name="Note 10" xfId="631" xr:uid="{35EB5A95-A177-4B20-9CA8-FDBCC671FD84}"/>
    <cellStyle name="Note 11" xfId="632" xr:uid="{DD8908E4-84DE-45EA-B7BC-C557752625C8}"/>
    <cellStyle name="Note 12" xfId="633" xr:uid="{68F04D36-2740-4F78-83FA-8F74E024A676}"/>
    <cellStyle name="Note 13" xfId="634" xr:uid="{5D21E44C-0A5A-42B8-93C2-5BF90A920C88}"/>
    <cellStyle name="Note 14" xfId="635" xr:uid="{647CC37C-98B8-4CEF-BCF8-D50D5CDAC4E6}"/>
    <cellStyle name="Note 15" xfId="636" xr:uid="{CADABAD8-6058-424E-B810-088BEF2266A5}"/>
    <cellStyle name="Note 16" xfId="853" xr:uid="{F0178167-BA7F-43D7-A57C-AB12C251AE24}"/>
    <cellStyle name="Note 17" xfId="1541" xr:uid="{E1653CB8-264D-4A32-8DCE-5DF1C782DAE8}"/>
    <cellStyle name="Note 18" xfId="1547" xr:uid="{DEA9A86E-F245-43FF-81DB-721FD600E8AB}"/>
    <cellStyle name="Note 2" xfId="82" xr:uid="{00000000-0005-0000-0000-000055000000}"/>
    <cellStyle name="Note 2 2" xfId="811" xr:uid="{88EE9475-8459-4E92-B64E-E25ACC6A51C7}"/>
    <cellStyle name="Note 2 2 2" xfId="1584" xr:uid="{1F85A3D8-AD6E-4049-AA4B-E30F2D26ED10}"/>
    <cellStyle name="Note 2 3" xfId="637" xr:uid="{CF50727E-2C77-407C-AC31-2D4DB5D30CFE}"/>
    <cellStyle name="Note 2 3 2" xfId="1617" xr:uid="{358680A1-CE85-4911-AF8D-F2668E0509D9}"/>
    <cellStyle name="Note 2 4" xfId="1548" xr:uid="{C93E4656-5D6E-461E-9195-344D5ED1B639}"/>
    <cellStyle name="Note 3" xfId="638" xr:uid="{19CEE5A5-BE22-42FF-910F-F069B3250C44}"/>
    <cellStyle name="Note 3 2" xfId="1581" xr:uid="{9E9807CA-B7C2-43A0-A5FA-A97763CD76DE}"/>
    <cellStyle name="Note 3 3" xfId="1647" xr:uid="{E633B5F4-851F-4DFA-94F4-BB0394006E03}"/>
    <cellStyle name="Note 4" xfId="639" xr:uid="{7AAED23A-34C0-4215-94F7-C4B1D21960EC}"/>
    <cellStyle name="Note 5" xfId="640" xr:uid="{3103A930-B420-44AE-8895-D819302C9BDA}"/>
    <cellStyle name="Note 6" xfId="641" xr:uid="{C572E38B-6B5D-494E-8559-22C9EAB31C47}"/>
    <cellStyle name="Note 7" xfId="642" xr:uid="{3E7F198A-42F7-4B61-99ED-E2D3DCC08E12}"/>
    <cellStyle name="Note 8" xfId="643" xr:uid="{25454A26-39A3-4DBB-88AA-CA12323CA64D}"/>
    <cellStyle name="Note 9" xfId="644" xr:uid="{00A3A72B-FBB4-4FAD-806E-3FCEF69DB47B}"/>
    <cellStyle name="Output 10" xfId="645" xr:uid="{948DCE6F-F3AD-49C7-90BE-C0A77BA0A473}"/>
    <cellStyle name="Output 11" xfId="646" xr:uid="{41BB4598-CBAA-49B3-BCA1-F91656EA7BA5}"/>
    <cellStyle name="Output 12" xfId="647" xr:uid="{D44A6A04-6B8C-4AC3-8451-ACF4F4536437}"/>
    <cellStyle name="Output 13" xfId="648" xr:uid="{A1C840EB-126E-476B-9DB7-9F9FD513C45C}"/>
    <cellStyle name="Output 14" xfId="649" xr:uid="{209CA6CB-EBC5-4833-A448-26231E2C1D8F}"/>
    <cellStyle name="Output 15" xfId="650" xr:uid="{E30BF09A-1449-4208-A811-33F74229B6CB}"/>
    <cellStyle name="Output 16" xfId="850" xr:uid="{09A8C6D2-A18C-40CA-ADA3-B844F231D36B}"/>
    <cellStyle name="Output 17" xfId="1542" xr:uid="{64AB2EF3-E341-4D11-9281-8032EB7008D0}"/>
    <cellStyle name="Output 18" xfId="1537" xr:uid="{C9E53BC3-C0FE-4A2A-82A1-60E937FF9C47}"/>
    <cellStyle name="Output 2" xfId="83" xr:uid="{00000000-0005-0000-0000-000056000000}"/>
    <cellStyle name="Output 2 2" xfId="806" xr:uid="{868B9F9B-667E-4F4E-AC42-FC4F489CB68D}"/>
    <cellStyle name="Output 2 3" xfId="651" xr:uid="{B5A3D20B-4584-4D4F-B9C7-E8488A6C23BE}"/>
    <cellStyle name="Output 3" xfId="652" xr:uid="{06436D1D-8BB7-4628-9EA9-12D6FC22BB0A}"/>
    <cellStyle name="Output 4" xfId="653" xr:uid="{6FD8334D-DB5B-4630-81A8-BD868D298189}"/>
    <cellStyle name="Output 5" xfId="654" xr:uid="{1D3CCAC3-AAD0-459B-B647-1D3C3BE34F01}"/>
    <cellStyle name="Output 6" xfId="655" xr:uid="{26FD6B34-F510-4192-9020-53C7C8AA0209}"/>
    <cellStyle name="Output 7" xfId="656" xr:uid="{E462345A-6513-4121-9711-FF362BF6DCF1}"/>
    <cellStyle name="Output 8" xfId="657" xr:uid="{94957617-06E5-49AE-AB00-F8F922E700A8}"/>
    <cellStyle name="Output 9" xfId="658" xr:uid="{9DC6D9F4-C9EC-4F7E-B76A-0C28FDD3DEC9}"/>
    <cellStyle name="Percent" xfId="2" builtinId="5"/>
    <cellStyle name="Percent [2]" xfId="84" xr:uid="{00000000-0005-0000-0000-000058000000}"/>
    <cellStyle name="Percent 10" xfId="932" xr:uid="{FB1570F1-7578-4FAD-BB88-C18527592552}"/>
    <cellStyle name="Percent 11" xfId="939" xr:uid="{7AE6E81E-F411-42C0-A1D6-589223235D82}"/>
    <cellStyle name="Percent 12" xfId="1017" xr:uid="{13BBC6A7-4A41-4785-B24C-CEC1AD4782DA}"/>
    <cellStyle name="Percent 13" xfId="1001" xr:uid="{11B89A78-EBF2-4925-A9DD-72416425FF84}"/>
    <cellStyle name="Percent 14" xfId="1005" xr:uid="{315724E4-062B-4765-9C10-C07216F846DA}"/>
    <cellStyle name="Percent 15" xfId="994" xr:uid="{7DB09506-9926-4C30-A23C-6154A44DC063}"/>
    <cellStyle name="Percent 16" xfId="1490" xr:uid="{C4D6394C-3D02-4661-9E8C-77AA478929E7}"/>
    <cellStyle name="Percent 17" xfId="1010" xr:uid="{1F9FB357-76B2-48C6-9E1F-444336BFB2C0}"/>
    <cellStyle name="Percent 18" xfId="1019" xr:uid="{276BE303-10C9-4C7C-AD95-CCB0C7BDCA45}"/>
    <cellStyle name="Percent 19" xfId="996" xr:uid="{5CEBFF43-1967-4B66-A658-E098DB32EC52}"/>
    <cellStyle name="Percent 2" xfId="85" xr:uid="{00000000-0005-0000-0000-000059000000}"/>
    <cellStyle name="Percent 2 2" xfId="710" xr:uid="{5F566A33-788D-4491-BA80-85773E6ABBA7}"/>
    <cellStyle name="Percent 2 2 2" xfId="722" xr:uid="{BDD03D9D-A05C-45DE-B7D8-9F969CC45511}"/>
    <cellStyle name="Percent 2 2 2 2" xfId="759" xr:uid="{7D0A15BA-9EB9-4B73-89D5-75F2F55338A9}"/>
    <cellStyle name="Percent 2 2 2 2 2" xfId="914" xr:uid="{99B3F488-4664-4E01-BFAB-C0FABD9C30A8}"/>
    <cellStyle name="Percent 2 2 2 2 2 2" xfId="1245" xr:uid="{41688BAB-4B30-4E89-969D-FD0B5B4D6AEB}"/>
    <cellStyle name="Percent 2 2 2 2 2 2 2" xfId="1478" xr:uid="{AAD5EAEB-A357-42D6-86FB-6D478523F5C3}"/>
    <cellStyle name="Percent 2 2 2 2 2 3" xfId="1362" xr:uid="{0FB9F9BB-5D75-4020-82D7-2C4364DA421F}"/>
    <cellStyle name="Percent 2 2 2 2 2 4" xfId="1126" xr:uid="{EF1AA621-7718-46D6-AC53-D2FB3F60416D}"/>
    <cellStyle name="Percent 2 2 2 2 3" xfId="984" xr:uid="{B1F05F6C-B390-40EA-B343-C566D8DD604C}"/>
    <cellStyle name="Percent 2 2 2 2 3 2" xfId="1422" xr:uid="{BBD119E7-0FC4-4E68-B34A-A90D652EEE0C}"/>
    <cellStyle name="Percent 2 2 2 2 3 3" xfId="1189" xr:uid="{6C317745-1C34-4BBA-82D2-4F24D0D8C069}"/>
    <cellStyle name="Percent 2 2 2 2 4" xfId="1306" xr:uid="{8A14BC25-43A7-47D0-8C1C-78F2081802AB}"/>
    <cellStyle name="Percent 2 2 2 2 5" xfId="1069" xr:uid="{CB0CE082-3FD8-4C7A-BC45-D657324A4C73}"/>
    <cellStyle name="Percent 2 2 2 3" xfId="881" xr:uid="{79E3FAC0-D3ED-4B7C-8C40-AAF91A32B3F2}"/>
    <cellStyle name="Percent 2 2 2 3 2" xfId="1215" xr:uid="{16D41656-864B-4625-85C3-899CC98BD310}"/>
    <cellStyle name="Percent 2 2 2 3 2 2" xfId="1448" xr:uid="{E1453BE3-5FF1-4B5C-887E-F8C2872DC576}"/>
    <cellStyle name="Percent 2 2 2 3 3" xfId="1332" xr:uid="{C36D18BC-0C1A-4676-B3D9-8FEFF81F12E3}"/>
    <cellStyle name="Percent 2 2 2 3 4" xfId="1096" xr:uid="{E9D05171-8549-4045-95DE-D2677DB08E9D}"/>
    <cellStyle name="Percent 2 2 2 4" xfId="954" xr:uid="{2BC70880-FB56-4C6D-B3C1-D1D222A4FF4B}"/>
    <cellStyle name="Percent 2 2 2 4 2" xfId="1396" xr:uid="{DE582128-E9D5-4F43-923A-E3CD7F05F6D4}"/>
    <cellStyle name="Percent 2 2 2 4 3" xfId="1163" xr:uid="{FFC31374-59B4-461A-B16A-6A38C5AF4DCB}"/>
    <cellStyle name="Percent 2 2 2 5" xfId="1280" xr:uid="{BDB68D74-C350-4EDC-A83C-9006A8FA1F85}"/>
    <cellStyle name="Percent 2 2 2 6" xfId="1043" xr:uid="{F79B9E8B-24CA-419A-A2E1-D4C5134BA55B}"/>
    <cellStyle name="Percent 2 2 3" xfId="730" xr:uid="{F32A737C-2306-44ED-9157-B3D163846A14}"/>
    <cellStyle name="Percent 2 2 3 2" xfId="767" xr:uid="{E657F6D9-E0AA-4D8B-92C4-EABED89B476E}"/>
    <cellStyle name="Percent 2 2 3 2 2" xfId="922" xr:uid="{BC6D34E9-33EF-433C-902A-20A87DE028F5}"/>
    <cellStyle name="Percent 2 2 3 2 2 2" xfId="1253" xr:uid="{DC2D2E41-3FC5-4180-B6BA-4B927EA723B8}"/>
    <cellStyle name="Percent 2 2 3 2 2 2 2" xfId="1486" xr:uid="{4B7EA963-8402-4E59-8139-012705EA26BE}"/>
    <cellStyle name="Percent 2 2 3 2 2 3" xfId="1370" xr:uid="{A1B37527-05B3-46E3-A0A4-DAC5ABBF2FBF}"/>
    <cellStyle name="Percent 2 2 3 2 2 4" xfId="1134" xr:uid="{77B232BD-EF62-4D0A-B9C3-B0DF78598044}"/>
    <cellStyle name="Percent 2 2 3 2 3" xfId="992" xr:uid="{B690CDB8-EDC9-44D9-8D4E-39F1E9A35023}"/>
    <cellStyle name="Percent 2 2 3 2 3 2" xfId="1430" xr:uid="{08EEE802-44F5-4F43-96F8-92A9476EE4D6}"/>
    <cellStyle name="Percent 2 2 3 2 3 3" xfId="1197" xr:uid="{5C1C04E1-7084-4333-910C-D20285CC2BE5}"/>
    <cellStyle name="Percent 2 2 3 2 4" xfId="1314" xr:uid="{D823029D-21EE-41FC-B92C-38976A279C31}"/>
    <cellStyle name="Percent 2 2 3 2 5" xfId="1077" xr:uid="{955D8B21-0F5E-4361-8715-390646E07FE5}"/>
    <cellStyle name="Percent 2 2 3 3" xfId="889" xr:uid="{9EF5348F-4454-449B-89AE-C2C15C4F53A9}"/>
    <cellStyle name="Percent 2 2 3 3 2" xfId="1223" xr:uid="{558A92A8-DE44-42E9-911A-14AA6455D021}"/>
    <cellStyle name="Percent 2 2 3 3 2 2" xfId="1456" xr:uid="{B97C0724-5A35-409F-846A-809D6DF8C35E}"/>
    <cellStyle name="Percent 2 2 3 3 3" xfId="1340" xr:uid="{DC1F1817-3C6B-4CEC-A655-7E63A634A07D}"/>
    <cellStyle name="Percent 2 2 3 3 4" xfId="1104" xr:uid="{D1860A29-6BD6-451F-A9B3-CEF347F16220}"/>
    <cellStyle name="Percent 2 2 3 4" xfId="962" xr:uid="{95D78603-66E8-4024-A783-3BEEEFD9FEC0}"/>
    <cellStyle name="Percent 2 2 3 4 2" xfId="1404" xr:uid="{3EAB58BA-5BA4-44A8-B4EE-E6301138CFFF}"/>
    <cellStyle name="Percent 2 2 3 4 3" xfId="1171" xr:uid="{F500D14E-AF25-4979-8E0F-8A6D777664FF}"/>
    <cellStyle name="Percent 2 2 3 5" xfId="1288" xr:uid="{6B444173-8074-4761-BC65-0A84B7BA2D3D}"/>
    <cellStyle name="Percent 2 2 3 6" xfId="1051" xr:uid="{61119096-C3F9-47C9-872A-BABE34AA5001}"/>
    <cellStyle name="Percent 2 2 4" xfId="751" xr:uid="{67C08EE6-CC85-474D-9333-46CD53D7D965}"/>
    <cellStyle name="Percent 2 2 4 2" xfId="906" xr:uid="{78D525A1-AB0A-4D6B-A580-B5C2B6A2642F}"/>
    <cellStyle name="Percent 2 2 4 2 2" xfId="1237" xr:uid="{AD0C68EA-2396-4546-802F-535480E3F6A7}"/>
    <cellStyle name="Percent 2 2 4 2 2 2" xfId="1470" xr:uid="{E39EABB1-29B7-43EA-ABBE-7A912A3DA402}"/>
    <cellStyle name="Percent 2 2 4 2 3" xfId="1354" xr:uid="{7EF0AEBC-96D9-464F-91AE-11582A21A53C}"/>
    <cellStyle name="Percent 2 2 4 2 4" xfId="1118" xr:uid="{FEA682B3-D045-43DA-8BE3-B1C208A16ED9}"/>
    <cellStyle name="Percent 2 2 4 3" xfId="976" xr:uid="{E82A8719-362B-4533-8AE7-243A3A10BCEB}"/>
    <cellStyle name="Percent 2 2 4 3 2" xfId="1414" xr:uid="{0D65EABF-9039-4F52-AAD7-86DA9F5E03E7}"/>
    <cellStyle name="Percent 2 2 4 3 3" xfId="1181" xr:uid="{2027761D-7285-42B4-8E52-FD7608B4230C}"/>
    <cellStyle name="Percent 2 2 4 4" xfId="1298" xr:uid="{3B1A5A77-BF21-48C5-B3F7-88AFD7439F34}"/>
    <cellStyle name="Percent 2 2 4 5" xfId="1061" xr:uid="{9C590336-6991-43C1-88EC-9D1707BC96EC}"/>
    <cellStyle name="Percent 2 2 5" xfId="873" xr:uid="{67F12982-8CCE-43D4-8570-78EB238B02D4}"/>
    <cellStyle name="Percent 2 2 5 2" xfId="1207" xr:uid="{24FBBF85-8E4B-4274-9838-CE4688F9E7F0}"/>
    <cellStyle name="Percent 2 2 5 2 2" xfId="1440" xr:uid="{1B8C678E-AC22-4A1F-B582-54F3A8909F73}"/>
    <cellStyle name="Percent 2 2 5 3" xfId="1324" xr:uid="{DCC78229-2BE3-40E8-84E4-1CBCF46CBB87}"/>
    <cellStyle name="Percent 2 2 5 4" xfId="1088" xr:uid="{CCBEFCB9-7912-450F-A502-47923A3928A2}"/>
    <cellStyle name="Percent 2 2 6" xfId="946" xr:uid="{9C4479DA-E787-427F-85A9-A4F58C5AAED7}"/>
    <cellStyle name="Percent 2 2 6 2" xfId="1388" xr:uid="{0668FD38-92E8-479D-86DA-C347453AA5FC}"/>
    <cellStyle name="Percent 2 2 6 3" xfId="1155" xr:uid="{C3634280-881D-4D54-AFF1-030BE9D03180}"/>
    <cellStyle name="Percent 2 2 7" xfId="1272" xr:uid="{EDC9D8FF-2B90-40E7-A280-8190504072A1}"/>
    <cellStyle name="Percent 2 2 8" xfId="1035" xr:uid="{F1CC9E9A-C24E-4D2A-AF01-744365E7B526}"/>
    <cellStyle name="Percent 2 2 9" xfId="1599" xr:uid="{11076CA7-C845-40CF-A3DC-D75A2058016F}"/>
    <cellStyle name="Percent 2 3" xfId="715" xr:uid="{957618BB-BB17-4599-B407-40F2504A0070}"/>
    <cellStyle name="Percent 2 3 2" xfId="723" xr:uid="{C334603A-CB93-4693-802B-1C5DE4FBA56B}"/>
    <cellStyle name="Percent 2 3 2 2" xfId="760" xr:uid="{3D0EB092-A6B4-4128-AF1C-12541BBD9A4F}"/>
    <cellStyle name="Percent 2 3 2 2 2" xfId="915" xr:uid="{3F02A74B-E453-40FC-9FB3-EC91A9EC293C}"/>
    <cellStyle name="Percent 2 3 2 2 2 2" xfId="1246" xr:uid="{ADE6962A-0F5E-4A0E-8526-21507C0C1CE2}"/>
    <cellStyle name="Percent 2 3 2 2 2 2 2" xfId="1479" xr:uid="{20AC5FD3-EE33-4452-B98E-610C5F113420}"/>
    <cellStyle name="Percent 2 3 2 2 2 3" xfId="1363" xr:uid="{8D03E115-34CE-4D64-93FD-487BF1B13253}"/>
    <cellStyle name="Percent 2 3 2 2 2 4" xfId="1127" xr:uid="{2FDBD90E-2E53-432D-97D4-96D689759883}"/>
    <cellStyle name="Percent 2 3 2 2 3" xfId="985" xr:uid="{BB0FB4EE-AE37-4CB9-B3E3-60A6A3E7CA87}"/>
    <cellStyle name="Percent 2 3 2 2 3 2" xfId="1423" xr:uid="{F64ED0DD-0205-438D-B588-ECE37A6A79A6}"/>
    <cellStyle name="Percent 2 3 2 2 3 3" xfId="1190" xr:uid="{45DA7050-7CA6-4E37-883F-A7FA850BCBAA}"/>
    <cellStyle name="Percent 2 3 2 2 4" xfId="1307" xr:uid="{85CC6D77-C8BF-4997-856A-36C792984BC9}"/>
    <cellStyle name="Percent 2 3 2 2 5" xfId="1070" xr:uid="{01CD960F-60E3-4B38-A068-DBECC530CCCB}"/>
    <cellStyle name="Percent 2 3 2 3" xfId="882" xr:uid="{1A56FA07-B24A-4458-ABB7-6A359A1EDDCC}"/>
    <cellStyle name="Percent 2 3 2 3 2" xfId="1216" xr:uid="{9B1E6F73-4710-4375-BD5A-EFF527D46207}"/>
    <cellStyle name="Percent 2 3 2 3 2 2" xfId="1449" xr:uid="{505B5699-6BE1-4703-A3B8-85EACD8AC3DF}"/>
    <cellStyle name="Percent 2 3 2 3 3" xfId="1333" xr:uid="{47773169-E417-4DD5-BE8E-B367EAAC66B7}"/>
    <cellStyle name="Percent 2 3 2 3 4" xfId="1097" xr:uid="{2F36AFF0-A868-453E-9820-59363BF4605B}"/>
    <cellStyle name="Percent 2 3 2 4" xfId="955" xr:uid="{85BACFE1-8D9D-4C9D-B21D-8006B00DF0A3}"/>
    <cellStyle name="Percent 2 3 2 4 2" xfId="1397" xr:uid="{DA623913-9CF7-4071-A1B8-267A5DDBF6F8}"/>
    <cellStyle name="Percent 2 3 2 4 3" xfId="1164" xr:uid="{C90ECF37-3C70-4B50-A8A5-16B86102142B}"/>
    <cellStyle name="Percent 2 3 2 5" xfId="1281" xr:uid="{7801F8DD-CD8B-4ECF-AEE1-D2B6A7D3CE61}"/>
    <cellStyle name="Percent 2 3 2 6" xfId="1044" xr:uid="{25644436-848F-4D06-8082-AC8096CEBBAB}"/>
    <cellStyle name="Percent 2 3 3" xfId="731" xr:uid="{8B53BB45-03F5-45F9-8DFF-41A7D01DF75F}"/>
    <cellStyle name="Percent 2 3 3 2" xfId="768" xr:uid="{B1C85827-EF7C-42A2-9763-9802B30DD390}"/>
    <cellStyle name="Percent 2 3 3 2 2" xfId="923" xr:uid="{484E0AE3-8EB5-4742-9CE6-D005770C2BEC}"/>
    <cellStyle name="Percent 2 3 3 2 2 2" xfId="1254" xr:uid="{5DB3A0DD-8A14-4585-A864-C6B49B4357DE}"/>
    <cellStyle name="Percent 2 3 3 2 2 2 2" xfId="1487" xr:uid="{2865ADB8-6236-479C-B012-F90D868943BE}"/>
    <cellStyle name="Percent 2 3 3 2 2 3" xfId="1371" xr:uid="{D30FF093-2737-41F8-8E8F-A19BC2F3774D}"/>
    <cellStyle name="Percent 2 3 3 2 2 4" xfId="1135" xr:uid="{CFAE250A-5ACB-45AE-800B-4ECD631A2251}"/>
    <cellStyle name="Percent 2 3 3 2 3" xfId="993" xr:uid="{1D9A29FE-9C6E-46DC-9A77-B89E3F3CBDAB}"/>
    <cellStyle name="Percent 2 3 3 2 3 2" xfId="1431" xr:uid="{010D03B1-4B47-44DA-A3AE-EB8FDDD30EC5}"/>
    <cellStyle name="Percent 2 3 3 2 3 3" xfId="1198" xr:uid="{41DCA3EF-8577-4C49-953F-C059C10267E5}"/>
    <cellStyle name="Percent 2 3 3 2 4" xfId="1315" xr:uid="{F63763CF-C887-48B4-A431-E5E833571B72}"/>
    <cellStyle name="Percent 2 3 3 2 5" xfId="1078" xr:uid="{748DDF15-5AF1-41A0-9367-3E4D45F8D759}"/>
    <cellStyle name="Percent 2 3 3 3" xfId="890" xr:uid="{1AB42011-F939-4163-8F76-49C89E7DB62C}"/>
    <cellStyle name="Percent 2 3 3 3 2" xfId="1224" xr:uid="{C677F1C4-0F2E-4219-8507-AB3DF04B2F87}"/>
    <cellStyle name="Percent 2 3 3 3 2 2" xfId="1457" xr:uid="{DCF1D279-FD00-4A7A-B071-A76E8D35B2AE}"/>
    <cellStyle name="Percent 2 3 3 3 3" xfId="1341" xr:uid="{4972E8A8-9A4C-4A17-BD8A-4949B375C5C0}"/>
    <cellStyle name="Percent 2 3 3 3 4" xfId="1105" xr:uid="{165CE284-A2FC-49C7-B2B5-59C4B3A90D7E}"/>
    <cellStyle name="Percent 2 3 3 4" xfId="963" xr:uid="{D211CE6A-38EE-4318-B1FA-11236953FD93}"/>
    <cellStyle name="Percent 2 3 3 4 2" xfId="1405" xr:uid="{1F8B2815-722A-4306-8EA5-152EC4C53F99}"/>
    <cellStyle name="Percent 2 3 3 4 3" xfId="1172" xr:uid="{9A17229A-0A23-42FB-A386-6025C0AF1AA0}"/>
    <cellStyle name="Percent 2 3 3 5" xfId="1289" xr:uid="{B69FA835-8DA6-4470-B8B5-4F2EC6C92574}"/>
    <cellStyle name="Percent 2 3 3 6" xfId="1052" xr:uid="{4229D542-344F-4FED-9745-1DCB82C2A25B}"/>
    <cellStyle name="Percent 2 3 4" xfId="752" xr:uid="{A06D54FA-1BE7-4EC7-A4CE-2E5ED86DC7F8}"/>
    <cellStyle name="Percent 2 3 4 2" xfId="907" xr:uid="{C9A63241-03B1-4A5F-B3A3-82EAB8F1E8B6}"/>
    <cellStyle name="Percent 2 3 4 2 2" xfId="1238" xr:uid="{06666921-8819-4BAD-BB2E-C28B6D172465}"/>
    <cellStyle name="Percent 2 3 4 2 2 2" xfId="1471" xr:uid="{75245791-C09F-4E64-90AF-4CC00FEAC8C5}"/>
    <cellStyle name="Percent 2 3 4 2 3" xfId="1355" xr:uid="{1753C37D-B412-4B6E-89EA-CA9A85CB8A9C}"/>
    <cellStyle name="Percent 2 3 4 2 4" xfId="1119" xr:uid="{FA2C178F-FECC-4FF1-B1CF-092C95D56237}"/>
    <cellStyle name="Percent 2 3 4 3" xfId="977" xr:uid="{15CDCB16-6A58-45E5-98A8-0FB701935A23}"/>
    <cellStyle name="Percent 2 3 4 3 2" xfId="1415" xr:uid="{40D3D8C4-31D1-4158-950F-E62F909951EC}"/>
    <cellStyle name="Percent 2 3 4 3 3" xfId="1182" xr:uid="{8BF9878D-6AD9-4640-86F8-6381C4488A5E}"/>
    <cellStyle name="Percent 2 3 4 4" xfId="1299" xr:uid="{EA845108-13B8-4213-8F1E-022A1DFBE373}"/>
    <cellStyle name="Percent 2 3 4 5" xfId="1062" xr:uid="{585185B1-1F12-41A8-8768-5FF189C2F07A}"/>
    <cellStyle name="Percent 2 3 5" xfId="874" xr:uid="{5E82E133-C67A-4986-A03F-CF24947BB3F0}"/>
    <cellStyle name="Percent 2 3 5 2" xfId="1208" xr:uid="{FD1FE9F1-D9B3-4F5A-98AC-8ABCD1A80B0C}"/>
    <cellStyle name="Percent 2 3 5 2 2" xfId="1441" xr:uid="{4382CE8D-E9E4-4259-8E9E-98D00809D4DE}"/>
    <cellStyle name="Percent 2 3 5 3" xfId="1325" xr:uid="{D6D89290-7914-4588-AA44-ED4448B728D9}"/>
    <cellStyle name="Percent 2 3 5 4" xfId="1089" xr:uid="{8F0C975D-EACE-4C08-A195-E228E14156E8}"/>
    <cellStyle name="Percent 2 3 6" xfId="947" xr:uid="{3B956D36-FB19-4557-8C02-9B43DC27B55B}"/>
    <cellStyle name="Percent 2 3 6 2" xfId="1389" xr:uid="{E2417F6D-06E6-4402-A2F3-3C36E3214CEE}"/>
    <cellStyle name="Percent 2 3 6 3" xfId="1156" xr:uid="{BD8B0B01-D36E-4B3B-BCF0-186DC0A359ED}"/>
    <cellStyle name="Percent 2 3 7" xfId="1273" xr:uid="{1E4F2552-9B0C-4E02-AD0B-3FA68BA722F5}"/>
    <cellStyle name="Percent 2 3 8" xfId="1036" xr:uid="{504F4993-2E2D-41CB-A02A-94ACD62B22AD}"/>
    <cellStyle name="Percent 2 3 9" xfId="1632" xr:uid="{328C826B-3EE9-4765-A4C9-86C8DA2B2B26}"/>
    <cellStyle name="Percent 2 4" xfId="1491" xr:uid="{63A4295F-CB30-4A18-B766-1E2FF7F4C0D1}"/>
    <cellStyle name="Percent 2 5" xfId="660" xr:uid="{4942AEF8-1E46-4CCB-B071-0521E2369A69}"/>
    <cellStyle name="Percent 2 6" xfId="1564" xr:uid="{ED940744-9E62-4A76-A09E-3BCDC8013F72}"/>
    <cellStyle name="Percent 20" xfId="995" xr:uid="{88286FDA-7BF1-4A87-994E-478ECAFFCA49}"/>
    <cellStyle name="Percent 21" xfId="997" xr:uid="{DF070F17-16A0-4CF6-8DC2-A1F7AEF91A35}"/>
    <cellStyle name="Percent 22" xfId="1008" xr:uid="{072A6A8E-01B0-4277-9BF1-06FF2876414E}"/>
    <cellStyle name="Percent 23" xfId="1492" xr:uid="{59092509-D486-4035-A998-EF1E88800E41}"/>
    <cellStyle name="Percent 24" xfId="1011" xr:uid="{E2BF0BF1-3FF5-4A5B-B1B1-5DE1DD784078}"/>
    <cellStyle name="Percent 25" xfId="1494" xr:uid="{0ADD595E-96F4-45BC-9CFA-23D5819380C5}"/>
    <cellStyle name="Percent 26" xfId="1021" xr:uid="{152B16FB-9AAC-47DA-BB25-B6E03715D3AB}"/>
    <cellStyle name="Percent 27" xfId="998" xr:uid="{B053958A-9854-45B4-932F-35BD075BE6CC}"/>
    <cellStyle name="Percent 28" xfId="1007" xr:uid="{CA176766-B462-4A0E-8185-4B333BBC4162}"/>
    <cellStyle name="Percent 29" xfId="1496" xr:uid="{E80A7E8B-47C6-4E4B-AF4D-7F99345B9FDD}"/>
    <cellStyle name="Percent 3" xfId="86" xr:uid="{00000000-0005-0000-0000-00005A000000}"/>
    <cellStyle name="Percent 3 2" xfId="87" xr:uid="{00000000-0005-0000-0000-00005B000000}"/>
    <cellStyle name="Percent 3 2 2" xfId="846" xr:uid="{3040551E-A83F-4526-9243-69DD6D01574C}"/>
    <cellStyle name="Percent 3 2 2 2" xfId="1612" xr:uid="{CE8721E5-7D04-4B51-A390-52D49BD5D2E9}"/>
    <cellStyle name="Percent 3 2 3" xfId="99" xr:uid="{00000000-0005-0000-0000-00005C000000}"/>
    <cellStyle name="Percent 3 2 3 2" xfId="1642" xr:uid="{C7B43141-A610-4E55-81D9-4A9C57B8E057}"/>
    <cellStyle name="Percent 3 2 4" xfId="711" xr:uid="{CFAB68E3-4DA1-4B36-806A-2EF59B608AF7}"/>
    <cellStyle name="Percent 3 2 5" xfId="1577" xr:uid="{9662C7D4-AD5C-4DD7-B4E7-A0AB5F3E568A}"/>
    <cellStyle name="Percent 3 3" xfId="735" xr:uid="{B1055DFC-E471-4EEA-9D50-1A88F26CD4BA}"/>
    <cellStyle name="Percent 3 3 2" xfId="1602" xr:uid="{57305F4D-EDB2-4D36-8225-FA5A165900D4}"/>
    <cellStyle name="Percent 3 4" xfId="842" xr:uid="{18429C23-B04A-4925-B20D-809EF7B2CD13}"/>
    <cellStyle name="Percent 3 4 2" xfId="1635" xr:uid="{1DDF8FEE-45D4-4CB0-AB31-1185FCC7F460}"/>
    <cellStyle name="Percent 3 5" xfId="661" xr:uid="{4A961E52-7858-4D07-90B6-5933D4465ABC}"/>
    <cellStyle name="Percent 3 6" xfId="1567" xr:uid="{70458123-3BD2-4E89-975D-DB9530A3D3BE}"/>
    <cellStyle name="Percent 30" xfId="1018" xr:uid="{F10D3621-BAA6-4330-8044-79E95329A343}"/>
    <cellStyle name="Percent 31" xfId="1020" xr:uid="{3E4921C8-B9E3-47DF-8C3B-46F7F146FFFC}"/>
    <cellStyle name="Percent 32" xfId="1009" xr:uid="{9617C96B-923A-46D2-BD6C-665997BF16C1}"/>
    <cellStyle name="Percent 33" xfId="1495" xr:uid="{BDCA4C26-8227-48E4-8115-35D488F4B99B}"/>
    <cellStyle name="Percent 34" xfId="1003" xr:uid="{60C11D62-61CC-45E3-9415-54E833E12B30}"/>
    <cellStyle name="Percent 35" xfId="1493" xr:uid="{DC2BAC89-00D5-4A3B-B29A-B39718E8F0C6}"/>
    <cellStyle name="Percent 36" xfId="1497" xr:uid="{02F7BAE4-5DEA-494F-9256-E9442B1864E3}"/>
    <cellStyle name="Percent 37" xfId="1499" xr:uid="{C81CE211-9D11-4567-9F40-51E90814147B}"/>
    <cellStyle name="Percent 38" xfId="1501" xr:uid="{68B9045E-FE4E-45DA-8A94-460D0B107C41}"/>
    <cellStyle name="Percent 39" xfId="1503" xr:uid="{BBB9BA4E-CEBE-4741-8055-9095E4630484}"/>
    <cellStyle name="Percent 4" xfId="88" xr:uid="{00000000-0005-0000-0000-00005D000000}"/>
    <cellStyle name="Percent 4 2" xfId="864" xr:uid="{C729B1F8-E543-471E-8920-B5EFAA934FCB}"/>
    <cellStyle name="Percent 4 2 2" xfId="1605" xr:uid="{FC82A935-AE04-4B1B-B96C-D26214972BFC}"/>
    <cellStyle name="Percent 4 3" xfId="712" xr:uid="{55D2CD74-19FC-40BE-B10B-80E3CC32F985}"/>
    <cellStyle name="Percent 4 3 2" xfId="1637" xr:uid="{E466A553-F57C-4915-B33E-AC2031F53E0C}"/>
    <cellStyle name="Percent 4 4" xfId="1569" xr:uid="{8C18DBF0-E732-42B7-98C6-0B0E42ADB1FD}"/>
    <cellStyle name="Percent 40" xfId="1505" xr:uid="{6186B9CC-7DF7-4DE1-B26B-37F54E2FE527}"/>
    <cellStyle name="Percent 41" xfId="1507" xr:uid="{C3FE416F-455E-427D-BF1E-166A567ACECC}"/>
    <cellStyle name="Percent 42" xfId="1509" xr:uid="{17975B7A-5585-4B35-AD6C-A95C737F6F36}"/>
    <cellStyle name="Percent 43" xfId="1511" xr:uid="{ED3CC2E2-376F-4E95-B580-3998411C884D}"/>
    <cellStyle name="Percent 44" xfId="1513" xr:uid="{7E48C945-A29D-45B4-8D15-6B4E5E396A36}"/>
    <cellStyle name="Percent 45" xfId="1515" xr:uid="{8AA11831-538B-4C4C-8842-9B72706654B5}"/>
    <cellStyle name="Percent 46" xfId="1517" xr:uid="{A02A0402-8161-4A49-9DC6-0D06618F876A}"/>
    <cellStyle name="Percent 47" xfId="1519" xr:uid="{A6709786-5F9B-4B09-B051-65D55B309133}"/>
    <cellStyle name="Percent 48" xfId="1521" xr:uid="{23263B67-DA48-4959-A266-D04B85B13A50}"/>
    <cellStyle name="Percent 49" xfId="659" xr:uid="{A9361BA9-887F-4091-9842-A632E38243DD}"/>
    <cellStyle name="Percent 5" xfId="89" xr:uid="{00000000-0005-0000-0000-00005E000000}"/>
    <cellStyle name="Percent 5 2" xfId="744" xr:uid="{C51EA53D-BD39-4949-B029-F588B38C9096}"/>
    <cellStyle name="Percent 6" xfId="739" xr:uid="{00E4EDF4-04AE-4A8A-A445-3F1770962B6D}"/>
    <cellStyle name="Percent 6 2" xfId="896" xr:uid="{133A4BC4-9BF1-4B85-9B40-BC456A15AB6C}"/>
    <cellStyle name="Percent 6 2 2" xfId="1461" xr:uid="{E3077FF0-236A-462E-A858-57FA2C3BC860}"/>
    <cellStyle name="Percent 6 2 3" xfId="1228" xr:uid="{A7EDCDC1-20D6-435E-870C-68C5F715E7C6}"/>
    <cellStyle name="Percent 6 3" xfId="967" xr:uid="{89B06886-1275-4116-8A5C-BAE4447F47F1}"/>
    <cellStyle name="Percent 6 3 2" xfId="1345" xr:uid="{D312287E-6135-4A4E-B1DC-83B1838D1694}"/>
    <cellStyle name="Percent 6 4" xfId="1109" xr:uid="{38ECC924-6877-4C16-8D0F-B18EF5D0A5CC}"/>
    <cellStyle name="Percent 7" xfId="929" xr:uid="{E3721F02-5F4C-4E9C-9734-E0FFFDC69449}"/>
    <cellStyle name="Percent 7 2" xfId="1142" xr:uid="{06CD519F-2993-4E2E-BEEC-92D8F5DA0F5F}"/>
    <cellStyle name="Percent 8" xfId="930" xr:uid="{B03B89C8-5F04-4F53-8156-073A14975EDC}"/>
    <cellStyle name="Percent 8 2" xfId="1258" xr:uid="{757B7B4C-F691-4D83-BEE6-CC035DAC7294}"/>
    <cellStyle name="Percent 9" xfId="933" xr:uid="{9A749FCD-075B-4097-874D-65B6CE283A39}"/>
    <cellStyle name="Style 23" xfId="3" xr:uid="{00000000-0005-0000-0000-00005F000000}"/>
    <cellStyle name="Style 23 2" xfId="714" xr:uid="{58BF3198-1938-4CE3-8788-C79370C43328}"/>
    <cellStyle name="Style 23 3" xfId="713" xr:uid="{7D65EC76-69C8-40B7-9320-37CD6834A8FC}"/>
    <cellStyle name="STYLE1" xfId="90" xr:uid="{00000000-0005-0000-0000-000060000000}"/>
    <cellStyle name="STYLE2" xfId="91" xr:uid="{00000000-0005-0000-0000-000061000000}"/>
    <cellStyle name="STYLE4" xfId="92" xr:uid="{00000000-0005-0000-0000-000062000000}"/>
    <cellStyle name="Subtotal" xfId="93" xr:uid="{00000000-0005-0000-0000-000063000000}"/>
    <cellStyle name="Title 2" xfId="94" xr:uid="{00000000-0005-0000-0000-000064000000}"/>
    <cellStyle name="Title 2 2" xfId="1022" xr:uid="{0CB3792D-C93A-46FD-BA8F-B2566CC7F30E}"/>
    <cellStyle name="Title 3" xfId="793" xr:uid="{00A40A86-F2D4-46E7-BC07-5190D5DAED0C}"/>
    <cellStyle name="Total 10" xfId="662" xr:uid="{B8C97E61-A9F6-4417-B045-67D836D6A9E9}"/>
    <cellStyle name="Total 11" xfId="663" xr:uid="{4AFD8423-901D-4C1F-9483-BFF2E575BAF2}"/>
    <cellStyle name="Total 12" xfId="664" xr:uid="{03F47C12-3FB6-4CC5-8599-93F0CE2E6212}"/>
    <cellStyle name="Total 13" xfId="665" xr:uid="{40376B34-1598-432D-849E-19D337D84FAB}"/>
    <cellStyle name="Total 14" xfId="666" xr:uid="{E0EC608F-D44D-4DA9-8508-F7B07A6D62C3}"/>
    <cellStyle name="Total 15" xfId="667" xr:uid="{47B510AC-5742-44FB-8E21-028FBFA1CE2D}"/>
    <cellStyle name="Total 16" xfId="794" xr:uid="{0AD3E2A5-2193-4C63-B928-834750545801}"/>
    <cellStyle name="Total 17" xfId="1543" xr:uid="{3EC4D3CD-718E-41FA-9386-6749F39F03AD}"/>
    <cellStyle name="Total 18" xfId="1535" xr:uid="{CF971472-34CA-4B8A-B909-EA590493A870}"/>
    <cellStyle name="Total 2" xfId="95" xr:uid="{00000000-0005-0000-0000-000065000000}"/>
    <cellStyle name="Total 2 2" xfId="813" xr:uid="{28FAF2D3-4A09-434B-BD0C-CA27F6C494BC}"/>
    <cellStyle name="Total 2 3" xfId="668" xr:uid="{EC04D9DC-5173-4E4A-A489-F66F37367CE0}"/>
    <cellStyle name="Total 3" xfId="669" xr:uid="{BD127B31-8186-4B6D-8D0E-706E3F42F845}"/>
    <cellStyle name="Total 4" xfId="670" xr:uid="{A4DD1224-D6AA-40BD-806E-86C4453F2752}"/>
    <cellStyle name="Total 5" xfId="671" xr:uid="{EAE319E5-2D49-4304-92BB-167E6B681D0C}"/>
    <cellStyle name="Total 6" xfId="672" xr:uid="{A15C169C-84D9-47ED-8D17-D0385D36B226}"/>
    <cellStyle name="Total 7" xfId="673" xr:uid="{001D1633-CA86-4CA9-A6F6-68C601CA5879}"/>
    <cellStyle name="Total 8" xfId="674" xr:uid="{218F9980-F3A4-458A-9A94-FAE3D15DAB05}"/>
    <cellStyle name="Total 9" xfId="675" xr:uid="{B0DC51FE-90E2-46C3-9684-9FBDAA24DFF5}"/>
    <cellStyle name="Warning Text 10" xfId="676" xr:uid="{9D27EA6C-1766-4A37-B121-CA1B3ECB5E10}"/>
    <cellStyle name="Warning Text 11" xfId="677" xr:uid="{96E5491B-6C27-43BA-8188-BF6514EAF449}"/>
    <cellStyle name="Warning Text 12" xfId="678" xr:uid="{B9487338-0B7E-406F-913B-9087095D8D55}"/>
    <cellStyle name="Warning Text 13" xfId="679" xr:uid="{C4D2BB42-FB9F-4845-8E8F-6C5172FFC117}"/>
    <cellStyle name="Warning Text 14" xfId="680" xr:uid="{61778BEC-7724-4B4C-87C2-D72F67BE4508}"/>
    <cellStyle name="Warning Text 15" xfId="681" xr:uid="{2851631C-9765-4B86-B376-AEA1567F9E81}"/>
    <cellStyle name="Warning Text 16" xfId="795" xr:uid="{733EE28F-3587-4E0F-8BFA-69D5A0401452}"/>
    <cellStyle name="Warning Text 2" xfId="96" xr:uid="{00000000-0005-0000-0000-000066000000}"/>
    <cellStyle name="Warning Text 2 2" xfId="810" xr:uid="{2B837EDB-828B-4983-B609-910661F9A201}"/>
    <cellStyle name="Warning Text 2 3" xfId="682" xr:uid="{5B3BC198-7405-44C4-9AC4-99FF46EBC9BD}"/>
    <cellStyle name="Warning Text 3" xfId="683" xr:uid="{A5BA6059-1DE1-47EF-A0D4-B76430AED1F7}"/>
    <cellStyle name="Warning Text 4" xfId="684" xr:uid="{7F31B44A-BE13-4D1F-85C8-5DFE23E7654B}"/>
    <cellStyle name="Warning Text 5" xfId="685" xr:uid="{968A673C-2DBC-4706-B115-EB4C7B1B7AF0}"/>
    <cellStyle name="Warning Text 6" xfId="686" xr:uid="{3B092DE0-F827-405B-90DE-31D01E1505C0}"/>
    <cellStyle name="Warning Text 7" xfId="687" xr:uid="{BDED9789-8E45-4E4A-AD10-EB0825BE44E9}"/>
    <cellStyle name="Warning Text 8" xfId="688" xr:uid="{0708A765-B026-48C5-AF8A-0EAAC65DA0A0}"/>
    <cellStyle name="Warning Text 9" xfId="689" xr:uid="{9C40819F-8CFD-4A5D-B22B-6FD37B9AECC8}"/>
  </cellStyles>
  <dxfs count="0"/>
  <tableStyles count="0" defaultTableStyle="TableStyleMedium2" defaultPivotStyle="PivotStyleLight16"/>
  <colors>
    <mruColors>
      <color rgb="FFFF99FF"/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96AF-C035-4C8C-A8D1-A57E5B3DA071}">
  <sheetPr codeName="Sheet4">
    <tabColor rgb="FFFFFF00"/>
    <pageSetUpPr fitToPage="1"/>
  </sheetPr>
  <dimension ref="A1:Z159"/>
  <sheetViews>
    <sheetView topLeftCell="D75" zoomScale="85" zoomScaleNormal="85" workbookViewId="0">
      <selection activeCell="H159" sqref="H159"/>
    </sheetView>
  </sheetViews>
  <sheetFormatPr defaultRowHeight="12.75" x14ac:dyDescent="0.2"/>
  <cols>
    <col min="1" max="3" width="14.5703125" style="54" customWidth="1"/>
    <col min="4" max="6" width="14.5703125" style="57" customWidth="1"/>
    <col min="7" max="8" width="14.5703125" style="54" customWidth="1"/>
    <col min="9" max="12" width="14" style="54" customWidth="1"/>
    <col min="13" max="13" width="14.5703125" style="55" bestFit="1" customWidth="1"/>
    <col min="14" max="14" width="12.140625" style="55" bestFit="1" customWidth="1"/>
    <col min="15" max="24" width="14" style="54" customWidth="1"/>
    <col min="25" max="26" width="13.28515625" style="54" customWidth="1"/>
    <col min="27" max="251" width="9.140625" style="54"/>
    <col min="252" max="252" width="31" style="54" customWidth="1"/>
    <col min="253" max="253" width="18.5703125" style="54" customWidth="1"/>
    <col min="254" max="254" width="3.85546875" style="54" customWidth="1"/>
    <col min="255" max="255" width="18.7109375" style="54" customWidth="1"/>
    <col min="256" max="264" width="14" style="54" customWidth="1"/>
    <col min="265" max="265" width="13" style="54" bestFit="1" customWidth="1"/>
    <col min="266" max="266" width="14.5703125" style="54" bestFit="1" customWidth="1"/>
    <col min="267" max="267" width="12.140625" style="54" bestFit="1" customWidth="1"/>
    <col min="268" max="278" width="14" style="54" customWidth="1"/>
    <col min="279" max="282" width="13.28515625" style="54" customWidth="1"/>
    <col min="283" max="507" width="9.140625" style="54"/>
    <col min="508" max="508" width="31" style="54" customWidth="1"/>
    <col min="509" max="509" width="18.5703125" style="54" customWidth="1"/>
    <col min="510" max="510" width="3.85546875" style="54" customWidth="1"/>
    <col min="511" max="511" width="18.7109375" style="54" customWidth="1"/>
    <col min="512" max="520" width="14" style="54" customWidth="1"/>
    <col min="521" max="521" width="13" style="54" bestFit="1" customWidth="1"/>
    <col min="522" max="522" width="14.5703125" style="54" bestFit="1" customWidth="1"/>
    <col min="523" max="523" width="12.140625" style="54" bestFit="1" customWidth="1"/>
    <col min="524" max="534" width="14" style="54" customWidth="1"/>
    <col min="535" max="538" width="13.28515625" style="54" customWidth="1"/>
    <col min="539" max="763" width="9.140625" style="54"/>
    <col min="764" max="764" width="31" style="54" customWidth="1"/>
    <col min="765" max="765" width="18.5703125" style="54" customWidth="1"/>
    <col min="766" max="766" width="3.85546875" style="54" customWidth="1"/>
    <col min="767" max="767" width="18.7109375" style="54" customWidth="1"/>
    <col min="768" max="776" width="14" style="54" customWidth="1"/>
    <col min="777" max="777" width="13" style="54" bestFit="1" customWidth="1"/>
    <col min="778" max="778" width="14.5703125" style="54" bestFit="1" customWidth="1"/>
    <col min="779" max="779" width="12.140625" style="54" bestFit="1" customWidth="1"/>
    <col min="780" max="790" width="14" style="54" customWidth="1"/>
    <col min="791" max="794" width="13.28515625" style="54" customWidth="1"/>
    <col min="795" max="1019" width="9.140625" style="54"/>
    <col min="1020" max="1020" width="31" style="54" customWidth="1"/>
    <col min="1021" max="1021" width="18.5703125" style="54" customWidth="1"/>
    <col min="1022" max="1022" width="3.85546875" style="54" customWidth="1"/>
    <col min="1023" max="1023" width="18.7109375" style="54" customWidth="1"/>
    <col min="1024" max="1032" width="14" style="54" customWidth="1"/>
    <col min="1033" max="1033" width="13" style="54" bestFit="1" customWidth="1"/>
    <col min="1034" max="1034" width="14.5703125" style="54" bestFit="1" customWidth="1"/>
    <col min="1035" max="1035" width="12.140625" style="54" bestFit="1" customWidth="1"/>
    <col min="1036" max="1046" width="14" style="54" customWidth="1"/>
    <col min="1047" max="1050" width="13.28515625" style="54" customWidth="1"/>
    <col min="1051" max="1275" width="9.140625" style="54"/>
    <col min="1276" max="1276" width="31" style="54" customWidth="1"/>
    <col min="1277" max="1277" width="18.5703125" style="54" customWidth="1"/>
    <col min="1278" max="1278" width="3.85546875" style="54" customWidth="1"/>
    <col min="1279" max="1279" width="18.7109375" style="54" customWidth="1"/>
    <col min="1280" max="1288" width="14" style="54" customWidth="1"/>
    <col min="1289" max="1289" width="13" style="54" bestFit="1" customWidth="1"/>
    <col min="1290" max="1290" width="14.5703125" style="54" bestFit="1" customWidth="1"/>
    <col min="1291" max="1291" width="12.140625" style="54" bestFit="1" customWidth="1"/>
    <col min="1292" max="1302" width="14" style="54" customWidth="1"/>
    <col min="1303" max="1306" width="13.28515625" style="54" customWidth="1"/>
    <col min="1307" max="1531" width="9.140625" style="54"/>
    <col min="1532" max="1532" width="31" style="54" customWidth="1"/>
    <col min="1533" max="1533" width="18.5703125" style="54" customWidth="1"/>
    <col min="1534" max="1534" width="3.85546875" style="54" customWidth="1"/>
    <col min="1535" max="1535" width="18.7109375" style="54" customWidth="1"/>
    <col min="1536" max="1544" width="14" style="54" customWidth="1"/>
    <col min="1545" max="1545" width="13" style="54" bestFit="1" customWidth="1"/>
    <col min="1546" max="1546" width="14.5703125" style="54" bestFit="1" customWidth="1"/>
    <col min="1547" max="1547" width="12.140625" style="54" bestFit="1" customWidth="1"/>
    <col min="1548" max="1558" width="14" style="54" customWidth="1"/>
    <col min="1559" max="1562" width="13.28515625" style="54" customWidth="1"/>
    <col min="1563" max="1787" width="9.140625" style="54"/>
    <col min="1788" max="1788" width="31" style="54" customWidth="1"/>
    <col min="1789" max="1789" width="18.5703125" style="54" customWidth="1"/>
    <col min="1790" max="1790" width="3.85546875" style="54" customWidth="1"/>
    <col min="1791" max="1791" width="18.7109375" style="54" customWidth="1"/>
    <col min="1792" max="1800" width="14" style="54" customWidth="1"/>
    <col min="1801" max="1801" width="13" style="54" bestFit="1" customWidth="1"/>
    <col min="1802" max="1802" width="14.5703125" style="54" bestFit="1" customWidth="1"/>
    <col min="1803" max="1803" width="12.140625" style="54" bestFit="1" customWidth="1"/>
    <col min="1804" max="1814" width="14" style="54" customWidth="1"/>
    <col min="1815" max="1818" width="13.28515625" style="54" customWidth="1"/>
    <col min="1819" max="2043" width="9.140625" style="54"/>
    <col min="2044" max="2044" width="31" style="54" customWidth="1"/>
    <col min="2045" max="2045" width="18.5703125" style="54" customWidth="1"/>
    <col min="2046" max="2046" width="3.85546875" style="54" customWidth="1"/>
    <col min="2047" max="2047" width="18.7109375" style="54" customWidth="1"/>
    <col min="2048" max="2056" width="14" style="54" customWidth="1"/>
    <col min="2057" max="2057" width="13" style="54" bestFit="1" customWidth="1"/>
    <col min="2058" max="2058" width="14.5703125" style="54" bestFit="1" customWidth="1"/>
    <col min="2059" max="2059" width="12.140625" style="54" bestFit="1" customWidth="1"/>
    <col min="2060" max="2070" width="14" style="54" customWidth="1"/>
    <col min="2071" max="2074" width="13.28515625" style="54" customWidth="1"/>
    <col min="2075" max="2299" width="9.140625" style="54"/>
    <col min="2300" max="2300" width="31" style="54" customWidth="1"/>
    <col min="2301" max="2301" width="18.5703125" style="54" customWidth="1"/>
    <col min="2302" max="2302" width="3.85546875" style="54" customWidth="1"/>
    <col min="2303" max="2303" width="18.7109375" style="54" customWidth="1"/>
    <col min="2304" max="2312" width="14" style="54" customWidth="1"/>
    <col min="2313" max="2313" width="13" style="54" bestFit="1" customWidth="1"/>
    <col min="2314" max="2314" width="14.5703125" style="54" bestFit="1" customWidth="1"/>
    <col min="2315" max="2315" width="12.140625" style="54" bestFit="1" customWidth="1"/>
    <col min="2316" max="2326" width="14" style="54" customWidth="1"/>
    <col min="2327" max="2330" width="13.28515625" style="54" customWidth="1"/>
    <col min="2331" max="2555" width="9.140625" style="54"/>
    <col min="2556" max="2556" width="31" style="54" customWidth="1"/>
    <col min="2557" max="2557" width="18.5703125" style="54" customWidth="1"/>
    <col min="2558" max="2558" width="3.85546875" style="54" customWidth="1"/>
    <col min="2559" max="2559" width="18.7109375" style="54" customWidth="1"/>
    <col min="2560" max="2568" width="14" style="54" customWidth="1"/>
    <col min="2569" max="2569" width="13" style="54" bestFit="1" customWidth="1"/>
    <col min="2570" max="2570" width="14.5703125" style="54" bestFit="1" customWidth="1"/>
    <col min="2571" max="2571" width="12.140625" style="54" bestFit="1" customWidth="1"/>
    <col min="2572" max="2582" width="14" style="54" customWidth="1"/>
    <col min="2583" max="2586" width="13.28515625" style="54" customWidth="1"/>
    <col min="2587" max="2811" width="9.140625" style="54"/>
    <col min="2812" max="2812" width="31" style="54" customWidth="1"/>
    <col min="2813" max="2813" width="18.5703125" style="54" customWidth="1"/>
    <col min="2814" max="2814" width="3.85546875" style="54" customWidth="1"/>
    <col min="2815" max="2815" width="18.7109375" style="54" customWidth="1"/>
    <col min="2816" max="2824" width="14" style="54" customWidth="1"/>
    <col min="2825" max="2825" width="13" style="54" bestFit="1" customWidth="1"/>
    <col min="2826" max="2826" width="14.5703125" style="54" bestFit="1" customWidth="1"/>
    <col min="2827" max="2827" width="12.140625" style="54" bestFit="1" customWidth="1"/>
    <col min="2828" max="2838" width="14" style="54" customWidth="1"/>
    <col min="2839" max="2842" width="13.28515625" style="54" customWidth="1"/>
    <col min="2843" max="3067" width="9.140625" style="54"/>
    <col min="3068" max="3068" width="31" style="54" customWidth="1"/>
    <col min="3069" max="3069" width="18.5703125" style="54" customWidth="1"/>
    <col min="3070" max="3070" width="3.85546875" style="54" customWidth="1"/>
    <col min="3071" max="3071" width="18.7109375" style="54" customWidth="1"/>
    <col min="3072" max="3080" width="14" style="54" customWidth="1"/>
    <col min="3081" max="3081" width="13" style="54" bestFit="1" customWidth="1"/>
    <col min="3082" max="3082" width="14.5703125" style="54" bestFit="1" customWidth="1"/>
    <col min="3083" max="3083" width="12.140625" style="54" bestFit="1" customWidth="1"/>
    <col min="3084" max="3094" width="14" style="54" customWidth="1"/>
    <col min="3095" max="3098" width="13.28515625" style="54" customWidth="1"/>
    <col min="3099" max="3323" width="9.140625" style="54"/>
    <col min="3324" max="3324" width="31" style="54" customWidth="1"/>
    <col min="3325" max="3325" width="18.5703125" style="54" customWidth="1"/>
    <col min="3326" max="3326" width="3.85546875" style="54" customWidth="1"/>
    <col min="3327" max="3327" width="18.7109375" style="54" customWidth="1"/>
    <col min="3328" max="3336" width="14" style="54" customWidth="1"/>
    <col min="3337" max="3337" width="13" style="54" bestFit="1" customWidth="1"/>
    <col min="3338" max="3338" width="14.5703125" style="54" bestFit="1" customWidth="1"/>
    <col min="3339" max="3339" width="12.140625" style="54" bestFit="1" customWidth="1"/>
    <col min="3340" max="3350" width="14" style="54" customWidth="1"/>
    <col min="3351" max="3354" width="13.28515625" style="54" customWidth="1"/>
    <col min="3355" max="3579" width="9.140625" style="54"/>
    <col min="3580" max="3580" width="31" style="54" customWidth="1"/>
    <col min="3581" max="3581" width="18.5703125" style="54" customWidth="1"/>
    <col min="3582" max="3582" width="3.85546875" style="54" customWidth="1"/>
    <col min="3583" max="3583" width="18.7109375" style="54" customWidth="1"/>
    <col min="3584" max="3592" width="14" style="54" customWidth="1"/>
    <col min="3593" max="3593" width="13" style="54" bestFit="1" customWidth="1"/>
    <col min="3594" max="3594" width="14.5703125" style="54" bestFit="1" customWidth="1"/>
    <col min="3595" max="3595" width="12.140625" style="54" bestFit="1" customWidth="1"/>
    <col min="3596" max="3606" width="14" style="54" customWidth="1"/>
    <col min="3607" max="3610" width="13.28515625" style="54" customWidth="1"/>
    <col min="3611" max="3835" width="9.140625" style="54"/>
    <col min="3836" max="3836" width="31" style="54" customWidth="1"/>
    <col min="3837" max="3837" width="18.5703125" style="54" customWidth="1"/>
    <col min="3838" max="3838" width="3.85546875" style="54" customWidth="1"/>
    <col min="3839" max="3839" width="18.7109375" style="54" customWidth="1"/>
    <col min="3840" max="3848" width="14" style="54" customWidth="1"/>
    <col min="3849" max="3849" width="13" style="54" bestFit="1" customWidth="1"/>
    <col min="3850" max="3850" width="14.5703125" style="54" bestFit="1" customWidth="1"/>
    <col min="3851" max="3851" width="12.140625" style="54" bestFit="1" customWidth="1"/>
    <col min="3852" max="3862" width="14" style="54" customWidth="1"/>
    <col min="3863" max="3866" width="13.28515625" style="54" customWidth="1"/>
    <col min="3867" max="4091" width="9.140625" style="54"/>
    <col min="4092" max="4092" width="31" style="54" customWidth="1"/>
    <col min="4093" max="4093" width="18.5703125" style="54" customWidth="1"/>
    <col min="4094" max="4094" width="3.85546875" style="54" customWidth="1"/>
    <col min="4095" max="4095" width="18.7109375" style="54" customWidth="1"/>
    <col min="4096" max="4104" width="14" style="54" customWidth="1"/>
    <col min="4105" max="4105" width="13" style="54" bestFit="1" customWidth="1"/>
    <col min="4106" max="4106" width="14.5703125" style="54" bestFit="1" customWidth="1"/>
    <col min="4107" max="4107" width="12.140625" style="54" bestFit="1" customWidth="1"/>
    <col min="4108" max="4118" width="14" style="54" customWidth="1"/>
    <col min="4119" max="4122" width="13.28515625" style="54" customWidth="1"/>
    <col min="4123" max="4347" width="9.140625" style="54"/>
    <col min="4348" max="4348" width="31" style="54" customWidth="1"/>
    <col min="4349" max="4349" width="18.5703125" style="54" customWidth="1"/>
    <col min="4350" max="4350" width="3.85546875" style="54" customWidth="1"/>
    <col min="4351" max="4351" width="18.7109375" style="54" customWidth="1"/>
    <col min="4352" max="4360" width="14" style="54" customWidth="1"/>
    <col min="4361" max="4361" width="13" style="54" bestFit="1" customWidth="1"/>
    <col min="4362" max="4362" width="14.5703125" style="54" bestFit="1" customWidth="1"/>
    <col min="4363" max="4363" width="12.140625" style="54" bestFit="1" customWidth="1"/>
    <col min="4364" max="4374" width="14" style="54" customWidth="1"/>
    <col min="4375" max="4378" width="13.28515625" style="54" customWidth="1"/>
    <col min="4379" max="4603" width="9.140625" style="54"/>
    <col min="4604" max="4604" width="31" style="54" customWidth="1"/>
    <col min="4605" max="4605" width="18.5703125" style="54" customWidth="1"/>
    <col min="4606" max="4606" width="3.85546875" style="54" customWidth="1"/>
    <col min="4607" max="4607" width="18.7109375" style="54" customWidth="1"/>
    <col min="4608" max="4616" width="14" style="54" customWidth="1"/>
    <col min="4617" max="4617" width="13" style="54" bestFit="1" customWidth="1"/>
    <col min="4618" max="4618" width="14.5703125" style="54" bestFit="1" customWidth="1"/>
    <col min="4619" max="4619" width="12.140625" style="54" bestFit="1" customWidth="1"/>
    <col min="4620" max="4630" width="14" style="54" customWidth="1"/>
    <col min="4631" max="4634" width="13.28515625" style="54" customWidth="1"/>
    <col min="4635" max="4859" width="9.140625" style="54"/>
    <col min="4860" max="4860" width="31" style="54" customWidth="1"/>
    <col min="4861" max="4861" width="18.5703125" style="54" customWidth="1"/>
    <col min="4862" max="4862" width="3.85546875" style="54" customWidth="1"/>
    <col min="4863" max="4863" width="18.7109375" style="54" customWidth="1"/>
    <col min="4864" max="4872" width="14" style="54" customWidth="1"/>
    <col min="4873" max="4873" width="13" style="54" bestFit="1" customWidth="1"/>
    <col min="4874" max="4874" width="14.5703125" style="54" bestFit="1" customWidth="1"/>
    <col min="4875" max="4875" width="12.140625" style="54" bestFit="1" customWidth="1"/>
    <col min="4876" max="4886" width="14" style="54" customWidth="1"/>
    <col min="4887" max="4890" width="13.28515625" style="54" customWidth="1"/>
    <col min="4891" max="5115" width="9.140625" style="54"/>
    <col min="5116" max="5116" width="31" style="54" customWidth="1"/>
    <col min="5117" max="5117" width="18.5703125" style="54" customWidth="1"/>
    <col min="5118" max="5118" width="3.85546875" style="54" customWidth="1"/>
    <col min="5119" max="5119" width="18.7109375" style="54" customWidth="1"/>
    <col min="5120" max="5128" width="14" style="54" customWidth="1"/>
    <col min="5129" max="5129" width="13" style="54" bestFit="1" customWidth="1"/>
    <col min="5130" max="5130" width="14.5703125" style="54" bestFit="1" customWidth="1"/>
    <col min="5131" max="5131" width="12.140625" style="54" bestFit="1" customWidth="1"/>
    <col min="5132" max="5142" width="14" style="54" customWidth="1"/>
    <col min="5143" max="5146" width="13.28515625" style="54" customWidth="1"/>
    <col min="5147" max="5371" width="9.140625" style="54"/>
    <col min="5372" max="5372" width="31" style="54" customWidth="1"/>
    <col min="5373" max="5373" width="18.5703125" style="54" customWidth="1"/>
    <col min="5374" max="5374" width="3.85546875" style="54" customWidth="1"/>
    <col min="5375" max="5375" width="18.7109375" style="54" customWidth="1"/>
    <col min="5376" max="5384" width="14" style="54" customWidth="1"/>
    <col min="5385" max="5385" width="13" style="54" bestFit="1" customWidth="1"/>
    <col min="5386" max="5386" width="14.5703125" style="54" bestFit="1" customWidth="1"/>
    <col min="5387" max="5387" width="12.140625" style="54" bestFit="1" customWidth="1"/>
    <col min="5388" max="5398" width="14" style="54" customWidth="1"/>
    <col min="5399" max="5402" width="13.28515625" style="54" customWidth="1"/>
    <col min="5403" max="5627" width="9.140625" style="54"/>
    <col min="5628" max="5628" width="31" style="54" customWidth="1"/>
    <col min="5629" max="5629" width="18.5703125" style="54" customWidth="1"/>
    <col min="5630" max="5630" width="3.85546875" style="54" customWidth="1"/>
    <col min="5631" max="5631" width="18.7109375" style="54" customWidth="1"/>
    <col min="5632" max="5640" width="14" style="54" customWidth="1"/>
    <col min="5641" max="5641" width="13" style="54" bestFit="1" customWidth="1"/>
    <col min="5642" max="5642" width="14.5703125" style="54" bestFit="1" customWidth="1"/>
    <col min="5643" max="5643" width="12.140625" style="54" bestFit="1" customWidth="1"/>
    <col min="5644" max="5654" width="14" style="54" customWidth="1"/>
    <col min="5655" max="5658" width="13.28515625" style="54" customWidth="1"/>
    <col min="5659" max="5883" width="9.140625" style="54"/>
    <col min="5884" max="5884" width="31" style="54" customWidth="1"/>
    <col min="5885" max="5885" width="18.5703125" style="54" customWidth="1"/>
    <col min="5886" max="5886" width="3.85546875" style="54" customWidth="1"/>
    <col min="5887" max="5887" width="18.7109375" style="54" customWidth="1"/>
    <col min="5888" max="5896" width="14" style="54" customWidth="1"/>
    <col min="5897" max="5897" width="13" style="54" bestFit="1" customWidth="1"/>
    <col min="5898" max="5898" width="14.5703125" style="54" bestFit="1" customWidth="1"/>
    <col min="5899" max="5899" width="12.140625" style="54" bestFit="1" customWidth="1"/>
    <col min="5900" max="5910" width="14" style="54" customWidth="1"/>
    <col min="5911" max="5914" width="13.28515625" style="54" customWidth="1"/>
    <col min="5915" max="6139" width="9.140625" style="54"/>
    <col min="6140" max="6140" width="31" style="54" customWidth="1"/>
    <col min="6141" max="6141" width="18.5703125" style="54" customWidth="1"/>
    <col min="6142" max="6142" width="3.85546875" style="54" customWidth="1"/>
    <col min="6143" max="6143" width="18.7109375" style="54" customWidth="1"/>
    <col min="6144" max="6152" width="14" style="54" customWidth="1"/>
    <col min="6153" max="6153" width="13" style="54" bestFit="1" customWidth="1"/>
    <col min="6154" max="6154" width="14.5703125" style="54" bestFit="1" customWidth="1"/>
    <col min="6155" max="6155" width="12.140625" style="54" bestFit="1" customWidth="1"/>
    <col min="6156" max="6166" width="14" style="54" customWidth="1"/>
    <col min="6167" max="6170" width="13.28515625" style="54" customWidth="1"/>
    <col min="6171" max="6395" width="9.140625" style="54"/>
    <col min="6396" max="6396" width="31" style="54" customWidth="1"/>
    <col min="6397" max="6397" width="18.5703125" style="54" customWidth="1"/>
    <col min="6398" max="6398" width="3.85546875" style="54" customWidth="1"/>
    <col min="6399" max="6399" width="18.7109375" style="54" customWidth="1"/>
    <col min="6400" max="6408" width="14" style="54" customWidth="1"/>
    <col min="6409" max="6409" width="13" style="54" bestFit="1" customWidth="1"/>
    <col min="6410" max="6410" width="14.5703125" style="54" bestFit="1" customWidth="1"/>
    <col min="6411" max="6411" width="12.140625" style="54" bestFit="1" customWidth="1"/>
    <col min="6412" max="6422" width="14" style="54" customWidth="1"/>
    <col min="6423" max="6426" width="13.28515625" style="54" customWidth="1"/>
    <col min="6427" max="6651" width="9.140625" style="54"/>
    <col min="6652" max="6652" width="31" style="54" customWidth="1"/>
    <col min="6653" max="6653" width="18.5703125" style="54" customWidth="1"/>
    <col min="6654" max="6654" width="3.85546875" style="54" customWidth="1"/>
    <col min="6655" max="6655" width="18.7109375" style="54" customWidth="1"/>
    <col min="6656" max="6664" width="14" style="54" customWidth="1"/>
    <col min="6665" max="6665" width="13" style="54" bestFit="1" customWidth="1"/>
    <col min="6666" max="6666" width="14.5703125" style="54" bestFit="1" customWidth="1"/>
    <col min="6667" max="6667" width="12.140625" style="54" bestFit="1" customWidth="1"/>
    <col min="6668" max="6678" width="14" style="54" customWidth="1"/>
    <col min="6679" max="6682" width="13.28515625" style="54" customWidth="1"/>
    <col min="6683" max="6907" width="9.140625" style="54"/>
    <col min="6908" max="6908" width="31" style="54" customWidth="1"/>
    <col min="6909" max="6909" width="18.5703125" style="54" customWidth="1"/>
    <col min="6910" max="6910" width="3.85546875" style="54" customWidth="1"/>
    <col min="6911" max="6911" width="18.7109375" style="54" customWidth="1"/>
    <col min="6912" max="6920" width="14" style="54" customWidth="1"/>
    <col min="6921" max="6921" width="13" style="54" bestFit="1" customWidth="1"/>
    <col min="6922" max="6922" width="14.5703125" style="54" bestFit="1" customWidth="1"/>
    <col min="6923" max="6923" width="12.140625" style="54" bestFit="1" customWidth="1"/>
    <col min="6924" max="6934" width="14" style="54" customWidth="1"/>
    <col min="6935" max="6938" width="13.28515625" style="54" customWidth="1"/>
    <col min="6939" max="7163" width="9.140625" style="54"/>
    <col min="7164" max="7164" width="31" style="54" customWidth="1"/>
    <col min="7165" max="7165" width="18.5703125" style="54" customWidth="1"/>
    <col min="7166" max="7166" width="3.85546875" style="54" customWidth="1"/>
    <col min="7167" max="7167" width="18.7109375" style="54" customWidth="1"/>
    <col min="7168" max="7176" width="14" style="54" customWidth="1"/>
    <col min="7177" max="7177" width="13" style="54" bestFit="1" customWidth="1"/>
    <col min="7178" max="7178" width="14.5703125" style="54" bestFit="1" customWidth="1"/>
    <col min="7179" max="7179" width="12.140625" style="54" bestFit="1" customWidth="1"/>
    <col min="7180" max="7190" width="14" style="54" customWidth="1"/>
    <col min="7191" max="7194" width="13.28515625" style="54" customWidth="1"/>
    <col min="7195" max="7419" width="9.140625" style="54"/>
    <col min="7420" max="7420" width="31" style="54" customWidth="1"/>
    <col min="7421" max="7421" width="18.5703125" style="54" customWidth="1"/>
    <col min="7422" max="7422" width="3.85546875" style="54" customWidth="1"/>
    <col min="7423" max="7423" width="18.7109375" style="54" customWidth="1"/>
    <col min="7424" max="7432" width="14" style="54" customWidth="1"/>
    <col min="7433" max="7433" width="13" style="54" bestFit="1" customWidth="1"/>
    <col min="7434" max="7434" width="14.5703125" style="54" bestFit="1" customWidth="1"/>
    <col min="7435" max="7435" width="12.140625" style="54" bestFit="1" customWidth="1"/>
    <col min="7436" max="7446" width="14" style="54" customWidth="1"/>
    <col min="7447" max="7450" width="13.28515625" style="54" customWidth="1"/>
    <col min="7451" max="7675" width="9.140625" style="54"/>
    <col min="7676" max="7676" width="31" style="54" customWidth="1"/>
    <col min="7677" max="7677" width="18.5703125" style="54" customWidth="1"/>
    <col min="7678" max="7678" width="3.85546875" style="54" customWidth="1"/>
    <col min="7679" max="7679" width="18.7109375" style="54" customWidth="1"/>
    <col min="7680" max="7688" width="14" style="54" customWidth="1"/>
    <col min="7689" max="7689" width="13" style="54" bestFit="1" customWidth="1"/>
    <col min="7690" max="7690" width="14.5703125" style="54" bestFit="1" customWidth="1"/>
    <col min="7691" max="7691" width="12.140625" style="54" bestFit="1" customWidth="1"/>
    <col min="7692" max="7702" width="14" style="54" customWidth="1"/>
    <col min="7703" max="7706" width="13.28515625" style="54" customWidth="1"/>
    <col min="7707" max="7931" width="9.140625" style="54"/>
    <col min="7932" max="7932" width="31" style="54" customWidth="1"/>
    <col min="7933" max="7933" width="18.5703125" style="54" customWidth="1"/>
    <col min="7934" max="7934" width="3.85546875" style="54" customWidth="1"/>
    <col min="7935" max="7935" width="18.7109375" style="54" customWidth="1"/>
    <col min="7936" max="7944" width="14" style="54" customWidth="1"/>
    <col min="7945" max="7945" width="13" style="54" bestFit="1" customWidth="1"/>
    <col min="7946" max="7946" width="14.5703125" style="54" bestFit="1" customWidth="1"/>
    <col min="7947" max="7947" width="12.140625" style="54" bestFit="1" customWidth="1"/>
    <col min="7948" max="7958" width="14" style="54" customWidth="1"/>
    <col min="7959" max="7962" width="13.28515625" style="54" customWidth="1"/>
    <col min="7963" max="8187" width="9.140625" style="54"/>
    <col min="8188" max="8188" width="31" style="54" customWidth="1"/>
    <col min="8189" max="8189" width="18.5703125" style="54" customWidth="1"/>
    <col min="8190" max="8190" width="3.85546875" style="54" customWidth="1"/>
    <col min="8191" max="8191" width="18.7109375" style="54" customWidth="1"/>
    <col min="8192" max="8200" width="14" style="54" customWidth="1"/>
    <col min="8201" max="8201" width="13" style="54" bestFit="1" customWidth="1"/>
    <col min="8202" max="8202" width="14.5703125" style="54" bestFit="1" customWidth="1"/>
    <col min="8203" max="8203" width="12.140625" style="54" bestFit="1" customWidth="1"/>
    <col min="8204" max="8214" width="14" style="54" customWidth="1"/>
    <col min="8215" max="8218" width="13.28515625" style="54" customWidth="1"/>
    <col min="8219" max="8443" width="9.140625" style="54"/>
    <col min="8444" max="8444" width="31" style="54" customWidth="1"/>
    <col min="8445" max="8445" width="18.5703125" style="54" customWidth="1"/>
    <col min="8446" max="8446" width="3.85546875" style="54" customWidth="1"/>
    <col min="8447" max="8447" width="18.7109375" style="54" customWidth="1"/>
    <col min="8448" max="8456" width="14" style="54" customWidth="1"/>
    <col min="8457" max="8457" width="13" style="54" bestFit="1" customWidth="1"/>
    <col min="8458" max="8458" width="14.5703125" style="54" bestFit="1" customWidth="1"/>
    <col min="8459" max="8459" width="12.140625" style="54" bestFit="1" customWidth="1"/>
    <col min="8460" max="8470" width="14" style="54" customWidth="1"/>
    <col min="8471" max="8474" width="13.28515625" style="54" customWidth="1"/>
    <col min="8475" max="8699" width="9.140625" style="54"/>
    <col min="8700" max="8700" width="31" style="54" customWidth="1"/>
    <col min="8701" max="8701" width="18.5703125" style="54" customWidth="1"/>
    <col min="8702" max="8702" width="3.85546875" style="54" customWidth="1"/>
    <col min="8703" max="8703" width="18.7109375" style="54" customWidth="1"/>
    <col min="8704" max="8712" width="14" style="54" customWidth="1"/>
    <col min="8713" max="8713" width="13" style="54" bestFit="1" customWidth="1"/>
    <col min="8714" max="8714" width="14.5703125" style="54" bestFit="1" customWidth="1"/>
    <col min="8715" max="8715" width="12.140625" style="54" bestFit="1" customWidth="1"/>
    <col min="8716" max="8726" width="14" style="54" customWidth="1"/>
    <col min="8727" max="8730" width="13.28515625" style="54" customWidth="1"/>
    <col min="8731" max="8955" width="9.140625" style="54"/>
    <col min="8956" max="8956" width="31" style="54" customWidth="1"/>
    <col min="8957" max="8957" width="18.5703125" style="54" customWidth="1"/>
    <col min="8958" max="8958" width="3.85546875" style="54" customWidth="1"/>
    <col min="8959" max="8959" width="18.7109375" style="54" customWidth="1"/>
    <col min="8960" max="8968" width="14" style="54" customWidth="1"/>
    <col min="8969" max="8969" width="13" style="54" bestFit="1" customWidth="1"/>
    <col min="8970" max="8970" width="14.5703125" style="54" bestFit="1" customWidth="1"/>
    <col min="8971" max="8971" width="12.140625" style="54" bestFit="1" customWidth="1"/>
    <col min="8972" max="8982" width="14" style="54" customWidth="1"/>
    <col min="8983" max="8986" width="13.28515625" style="54" customWidth="1"/>
    <col min="8987" max="9211" width="9.140625" style="54"/>
    <col min="9212" max="9212" width="31" style="54" customWidth="1"/>
    <col min="9213" max="9213" width="18.5703125" style="54" customWidth="1"/>
    <col min="9214" max="9214" width="3.85546875" style="54" customWidth="1"/>
    <col min="9215" max="9215" width="18.7109375" style="54" customWidth="1"/>
    <col min="9216" max="9224" width="14" style="54" customWidth="1"/>
    <col min="9225" max="9225" width="13" style="54" bestFit="1" customWidth="1"/>
    <col min="9226" max="9226" width="14.5703125" style="54" bestFit="1" customWidth="1"/>
    <col min="9227" max="9227" width="12.140625" style="54" bestFit="1" customWidth="1"/>
    <col min="9228" max="9238" width="14" style="54" customWidth="1"/>
    <col min="9239" max="9242" width="13.28515625" style="54" customWidth="1"/>
    <col min="9243" max="9467" width="9.140625" style="54"/>
    <col min="9468" max="9468" width="31" style="54" customWidth="1"/>
    <col min="9469" max="9469" width="18.5703125" style="54" customWidth="1"/>
    <col min="9470" max="9470" width="3.85546875" style="54" customWidth="1"/>
    <col min="9471" max="9471" width="18.7109375" style="54" customWidth="1"/>
    <col min="9472" max="9480" width="14" style="54" customWidth="1"/>
    <col min="9481" max="9481" width="13" style="54" bestFit="1" customWidth="1"/>
    <col min="9482" max="9482" width="14.5703125" style="54" bestFit="1" customWidth="1"/>
    <col min="9483" max="9483" width="12.140625" style="54" bestFit="1" customWidth="1"/>
    <col min="9484" max="9494" width="14" style="54" customWidth="1"/>
    <col min="9495" max="9498" width="13.28515625" style="54" customWidth="1"/>
    <col min="9499" max="9723" width="9.140625" style="54"/>
    <col min="9724" max="9724" width="31" style="54" customWidth="1"/>
    <col min="9725" max="9725" width="18.5703125" style="54" customWidth="1"/>
    <col min="9726" max="9726" width="3.85546875" style="54" customWidth="1"/>
    <col min="9727" max="9727" width="18.7109375" style="54" customWidth="1"/>
    <col min="9728" max="9736" width="14" style="54" customWidth="1"/>
    <col min="9737" max="9737" width="13" style="54" bestFit="1" customWidth="1"/>
    <col min="9738" max="9738" width="14.5703125" style="54" bestFit="1" customWidth="1"/>
    <col min="9739" max="9739" width="12.140625" style="54" bestFit="1" customWidth="1"/>
    <col min="9740" max="9750" width="14" style="54" customWidth="1"/>
    <col min="9751" max="9754" width="13.28515625" style="54" customWidth="1"/>
    <col min="9755" max="9979" width="9.140625" style="54"/>
    <col min="9980" max="9980" width="31" style="54" customWidth="1"/>
    <col min="9981" max="9981" width="18.5703125" style="54" customWidth="1"/>
    <col min="9982" max="9982" width="3.85546875" style="54" customWidth="1"/>
    <col min="9983" max="9983" width="18.7109375" style="54" customWidth="1"/>
    <col min="9984" max="9992" width="14" style="54" customWidth="1"/>
    <col min="9993" max="9993" width="13" style="54" bestFit="1" customWidth="1"/>
    <col min="9994" max="9994" width="14.5703125" style="54" bestFit="1" customWidth="1"/>
    <col min="9995" max="9995" width="12.140625" style="54" bestFit="1" customWidth="1"/>
    <col min="9996" max="10006" width="14" style="54" customWidth="1"/>
    <col min="10007" max="10010" width="13.28515625" style="54" customWidth="1"/>
    <col min="10011" max="10235" width="9.140625" style="54"/>
    <col min="10236" max="10236" width="31" style="54" customWidth="1"/>
    <col min="10237" max="10237" width="18.5703125" style="54" customWidth="1"/>
    <col min="10238" max="10238" width="3.85546875" style="54" customWidth="1"/>
    <col min="10239" max="10239" width="18.7109375" style="54" customWidth="1"/>
    <col min="10240" max="10248" width="14" style="54" customWidth="1"/>
    <col min="10249" max="10249" width="13" style="54" bestFit="1" customWidth="1"/>
    <col min="10250" max="10250" width="14.5703125" style="54" bestFit="1" customWidth="1"/>
    <col min="10251" max="10251" width="12.140625" style="54" bestFit="1" customWidth="1"/>
    <col min="10252" max="10262" width="14" style="54" customWidth="1"/>
    <col min="10263" max="10266" width="13.28515625" style="54" customWidth="1"/>
    <col min="10267" max="10491" width="9.140625" style="54"/>
    <col min="10492" max="10492" width="31" style="54" customWidth="1"/>
    <col min="10493" max="10493" width="18.5703125" style="54" customWidth="1"/>
    <col min="10494" max="10494" width="3.85546875" style="54" customWidth="1"/>
    <col min="10495" max="10495" width="18.7109375" style="54" customWidth="1"/>
    <col min="10496" max="10504" width="14" style="54" customWidth="1"/>
    <col min="10505" max="10505" width="13" style="54" bestFit="1" customWidth="1"/>
    <col min="10506" max="10506" width="14.5703125" style="54" bestFit="1" customWidth="1"/>
    <col min="10507" max="10507" width="12.140625" style="54" bestFit="1" customWidth="1"/>
    <col min="10508" max="10518" width="14" style="54" customWidth="1"/>
    <col min="10519" max="10522" width="13.28515625" style="54" customWidth="1"/>
    <col min="10523" max="10747" width="9.140625" style="54"/>
    <col min="10748" max="10748" width="31" style="54" customWidth="1"/>
    <col min="10749" max="10749" width="18.5703125" style="54" customWidth="1"/>
    <col min="10750" max="10750" width="3.85546875" style="54" customWidth="1"/>
    <col min="10751" max="10751" width="18.7109375" style="54" customWidth="1"/>
    <col min="10752" max="10760" width="14" style="54" customWidth="1"/>
    <col min="10761" max="10761" width="13" style="54" bestFit="1" customWidth="1"/>
    <col min="10762" max="10762" width="14.5703125" style="54" bestFit="1" customWidth="1"/>
    <col min="10763" max="10763" width="12.140625" style="54" bestFit="1" customWidth="1"/>
    <col min="10764" max="10774" width="14" style="54" customWidth="1"/>
    <col min="10775" max="10778" width="13.28515625" style="54" customWidth="1"/>
    <col min="10779" max="11003" width="9.140625" style="54"/>
    <col min="11004" max="11004" width="31" style="54" customWidth="1"/>
    <col min="11005" max="11005" width="18.5703125" style="54" customWidth="1"/>
    <col min="11006" max="11006" width="3.85546875" style="54" customWidth="1"/>
    <col min="11007" max="11007" width="18.7109375" style="54" customWidth="1"/>
    <col min="11008" max="11016" width="14" style="54" customWidth="1"/>
    <col min="11017" max="11017" width="13" style="54" bestFit="1" customWidth="1"/>
    <col min="11018" max="11018" width="14.5703125" style="54" bestFit="1" customWidth="1"/>
    <col min="11019" max="11019" width="12.140625" style="54" bestFit="1" customWidth="1"/>
    <col min="11020" max="11030" width="14" style="54" customWidth="1"/>
    <col min="11031" max="11034" width="13.28515625" style="54" customWidth="1"/>
    <col min="11035" max="11259" width="9.140625" style="54"/>
    <col min="11260" max="11260" width="31" style="54" customWidth="1"/>
    <col min="11261" max="11261" width="18.5703125" style="54" customWidth="1"/>
    <col min="11262" max="11262" width="3.85546875" style="54" customWidth="1"/>
    <col min="11263" max="11263" width="18.7109375" style="54" customWidth="1"/>
    <col min="11264" max="11272" width="14" style="54" customWidth="1"/>
    <col min="11273" max="11273" width="13" style="54" bestFit="1" customWidth="1"/>
    <col min="11274" max="11274" width="14.5703125" style="54" bestFit="1" customWidth="1"/>
    <col min="11275" max="11275" width="12.140625" style="54" bestFit="1" customWidth="1"/>
    <col min="11276" max="11286" width="14" style="54" customWidth="1"/>
    <col min="11287" max="11290" width="13.28515625" style="54" customWidth="1"/>
    <col min="11291" max="11515" width="9.140625" style="54"/>
    <col min="11516" max="11516" width="31" style="54" customWidth="1"/>
    <col min="11517" max="11517" width="18.5703125" style="54" customWidth="1"/>
    <col min="11518" max="11518" width="3.85546875" style="54" customWidth="1"/>
    <col min="11519" max="11519" width="18.7109375" style="54" customWidth="1"/>
    <col min="11520" max="11528" width="14" style="54" customWidth="1"/>
    <col min="11529" max="11529" width="13" style="54" bestFit="1" customWidth="1"/>
    <col min="11530" max="11530" width="14.5703125" style="54" bestFit="1" customWidth="1"/>
    <col min="11531" max="11531" width="12.140625" style="54" bestFit="1" customWidth="1"/>
    <col min="11532" max="11542" width="14" style="54" customWidth="1"/>
    <col min="11543" max="11546" width="13.28515625" style="54" customWidth="1"/>
    <col min="11547" max="11771" width="9.140625" style="54"/>
    <col min="11772" max="11772" width="31" style="54" customWidth="1"/>
    <col min="11773" max="11773" width="18.5703125" style="54" customWidth="1"/>
    <col min="11774" max="11774" width="3.85546875" style="54" customWidth="1"/>
    <col min="11775" max="11775" width="18.7109375" style="54" customWidth="1"/>
    <col min="11776" max="11784" width="14" style="54" customWidth="1"/>
    <col min="11785" max="11785" width="13" style="54" bestFit="1" customWidth="1"/>
    <col min="11786" max="11786" width="14.5703125" style="54" bestFit="1" customWidth="1"/>
    <col min="11787" max="11787" width="12.140625" style="54" bestFit="1" customWidth="1"/>
    <col min="11788" max="11798" width="14" style="54" customWidth="1"/>
    <col min="11799" max="11802" width="13.28515625" style="54" customWidth="1"/>
    <col min="11803" max="12027" width="9.140625" style="54"/>
    <col min="12028" max="12028" width="31" style="54" customWidth="1"/>
    <col min="12029" max="12029" width="18.5703125" style="54" customWidth="1"/>
    <col min="12030" max="12030" width="3.85546875" style="54" customWidth="1"/>
    <col min="12031" max="12031" width="18.7109375" style="54" customWidth="1"/>
    <col min="12032" max="12040" width="14" style="54" customWidth="1"/>
    <col min="12041" max="12041" width="13" style="54" bestFit="1" customWidth="1"/>
    <col min="12042" max="12042" width="14.5703125" style="54" bestFit="1" customWidth="1"/>
    <col min="12043" max="12043" width="12.140625" style="54" bestFit="1" customWidth="1"/>
    <col min="12044" max="12054" width="14" style="54" customWidth="1"/>
    <col min="12055" max="12058" width="13.28515625" style="54" customWidth="1"/>
    <col min="12059" max="12283" width="9.140625" style="54"/>
    <col min="12284" max="12284" width="31" style="54" customWidth="1"/>
    <col min="12285" max="12285" width="18.5703125" style="54" customWidth="1"/>
    <col min="12286" max="12286" width="3.85546875" style="54" customWidth="1"/>
    <col min="12287" max="12287" width="18.7109375" style="54" customWidth="1"/>
    <col min="12288" max="12296" width="14" style="54" customWidth="1"/>
    <col min="12297" max="12297" width="13" style="54" bestFit="1" customWidth="1"/>
    <col min="12298" max="12298" width="14.5703125" style="54" bestFit="1" customWidth="1"/>
    <col min="12299" max="12299" width="12.140625" style="54" bestFit="1" customWidth="1"/>
    <col min="12300" max="12310" width="14" style="54" customWidth="1"/>
    <col min="12311" max="12314" width="13.28515625" style="54" customWidth="1"/>
    <col min="12315" max="12539" width="9.140625" style="54"/>
    <col min="12540" max="12540" width="31" style="54" customWidth="1"/>
    <col min="12541" max="12541" width="18.5703125" style="54" customWidth="1"/>
    <col min="12542" max="12542" width="3.85546875" style="54" customWidth="1"/>
    <col min="12543" max="12543" width="18.7109375" style="54" customWidth="1"/>
    <col min="12544" max="12552" width="14" style="54" customWidth="1"/>
    <col min="12553" max="12553" width="13" style="54" bestFit="1" customWidth="1"/>
    <col min="12554" max="12554" width="14.5703125" style="54" bestFit="1" customWidth="1"/>
    <col min="12555" max="12555" width="12.140625" style="54" bestFit="1" customWidth="1"/>
    <col min="12556" max="12566" width="14" style="54" customWidth="1"/>
    <col min="12567" max="12570" width="13.28515625" style="54" customWidth="1"/>
    <col min="12571" max="12795" width="9.140625" style="54"/>
    <col min="12796" max="12796" width="31" style="54" customWidth="1"/>
    <col min="12797" max="12797" width="18.5703125" style="54" customWidth="1"/>
    <col min="12798" max="12798" width="3.85546875" style="54" customWidth="1"/>
    <col min="12799" max="12799" width="18.7109375" style="54" customWidth="1"/>
    <col min="12800" max="12808" width="14" style="54" customWidth="1"/>
    <col min="12809" max="12809" width="13" style="54" bestFit="1" customWidth="1"/>
    <col min="12810" max="12810" width="14.5703125" style="54" bestFit="1" customWidth="1"/>
    <col min="12811" max="12811" width="12.140625" style="54" bestFit="1" customWidth="1"/>
    <col min="12812" max="12822" width="14" style="54" customWidth="1"/>
    <col min="12823" max="12826" width="13.28515625" style="54" customWidth="1"/>
    <col min="12827" max="13051" width="9.140625" style="54"/>
    <col min="13052" max="13052" width="31" style="54" customWidth="1"/>
    <col min="13053" max="13053" width="18.5703125" style="54" customWidth="1"/>
    <col min="13054" max="13054" width="3.85546875" style="54" customWidth="1"/>
    <col min="13055" max="13055" width="18.7109375" style="54" customWidth="1"/>
    <col min="13056" max="13064" width="14" style="54" customWidth="1"/>
    <col min="13065" max="13065" width="13" style="54" bestFit="1" customWidth="1"/>
    <col min="13066" max="13066" width="14.5703125" style="54" bestFit="1" customWidth="1"/>
    <col min="13067" max="13067" width="12.140625" style="54" bestFit="1" customWidth="1"/>
    <col min="13068" max="13078" width="14" style="54" customWidth="1"/>
    <col min="13079" max="13082" width="13.28515625" style="54" customWidth="1"/>
    <col min="13083" max="13307" width="9.140625" style="54"/>
    <col min="13308" max="13308" width="31" style="54" customWidth="1"/>
    <col min="13309" max="13309" width="18.5703125" style="54" customWidth="1"/>
    <col min="13310" max="13310" width="3.85546875" style="54" customWidth="1"/>
    <col min="13311" max="13311" width="18.7109375" style="54" customWidth="1"/>
    <col min="13312" max="13320" width="14" style="54" customWidth="1"/>
    <col min="13321" max="13321" width="13" style="54" bestFit="1" customWidth="1"/>
    <col min="13322" max="13322" width="14.5703125" style="54" bestFit="1" customWidth="1"/>
    <col min="13323" max="13323" width="12.140625" style="54" bestFit="1" customWidth="1"/>
    <col min="13324" max="13334" width="14" style="54" customWidth="1"/>
    <col min="13335" max="13338" width="13.28515625" style="54" customWidth="1"/>
    <col min="13339" max="13563" width="9.140625" style="54"/>
    <col min="13564" max="13564" width="31" style="54" customWidth="1"/>
    <col min="13565" max="13565" width="18.5703125" style="54" customWidth="1"/>
    <col min="13566" max="13566" width="3.85546875" style="54" customWidth="1"/>
    <col min="13567" max="13567" width="18.7109375" style="54" customWidth="1"/>
    <col min="13568" max="13576" width="14" style="54" customWidth="1"/>
    <col min="13577" max="13577" width="13" style="54" bestFit="1" customWidth="1"/>
    <col min="13578" max="13578" width="14.5703125" style="54" bestFit="1" customWidth="1"/>
    <col min="13579" max="13579" width="12.140625" style="54" bestFit="1" customWidth="1"/>
    <col min="13580" max="13590" width="14" style="54" customWidth="1"/>
    <col min="13591" max="13594" width="13.28515625" style="54" customWidth="1"/>
    <col min="13595" max="13819" width="9.140625" style="54"/>
    <col min="13820" max="13820" width="31" style="54" customWidth="1"/>
    <col min="13821" max="13821" width="18.5703125" style="54" customWidth="1"/>
    <col min="13822" max="13822" width="3.85546875" style="54" customWidth="1"/>
    <col min="13823" max="13823" width="18.7109375" style="54" customWidth="1"/>
    <col min="13824" max="13832" width="14" style="54" customWidth="1"/>
    <col min="13833" max="13833" width="13" style="54" bestFit="1" customWidth="1"/>
    <col min="13834" max="13834" width="14.5703125" style="54" bestFit="1" customWidth="1"/>
    <col min="13835" max="13835" width="12.140625" style="54" bestFit="1" customWidth="1"/>
    <col min="13836" max="13846" width="14" style="54" customWidth="1"/>
    <col min="13847" max="13850" width="13.28515625" style="54" customWidth="1"/>
    <col min="13851" max="14075" width="9.140625" style="54"/>
    <col min="14076" max="14076" width="31" style="54" customWidth="1"/>
    <col min="14077" max="14077" width="18.5703125" style="54" customWidth="1"/>
    <col min="14078" max="14078" width="3.85546875" style="54" customWidth="1"/>
    <col min="14079" max="14079" width="18.7109375" style="54" customWidth="1"/>
    <col min="14080" max="14088" width="14" style="54" customWidth="1"/>
    <col min="14089" max="14089" width="13" style="54" bestFit="1" customWidth="1"/>
    <col min="14090" max="14090" width="14.5703125" style="54" bestFit="1" customWidth="1"/>
    <col min="14091" max="14091" width="12.140625" style="54" bestFit="1" customWidth="1"/>
    <col min="14092" max="14102" width="14" style="54" customWidth="1"/>
    <col min="14103" max="14106" width="13.28515625" style="54" customWidth="1"/>
    <col min="14107" max="14331" width="9.140625" style="54"/>
    <col min="14332" max="14332" width="31" style="54" customWidth="1"/>
    <col min="14333" max="14333" width="18.5703125" style="54" customWidth="1"/>
    <col min="14334" max="14334" width="3.85546875" style="54" customWidth="1"/>
    <col min="14335" max="14335" width="18.7109375" style="54" customWidth="1"/>
    <col min="14336" max="14344" width="14" style="54" customWidth="1"/>
    <col min="14345" max="14345" width="13" style="54" bestFit="1" customWidth="1"/>
    <col min="14346" max="14346" width="14.5703125" style="54" bestFit="1" customWidth="1"/>
    <col min="14347" max="14347" width="12.140625" style="54" bestFit="1" customWidth="1"/>
    <col min="14348" max="14358" width="14" style="54" customWidth="1"/>
    <col min="14359" max="14362" width="13.28515625" style="54" customWidth="1"/>
    <col min="14363" max="14587" width="9.140625" style="54"/>
    <col min="14588" max="14588" width="31" style="54" customWidth="1"/>
    <col min="14589" max="14589" width="18.5703125" style="54" customWidth="1"/>
    <col min="14590" max="14590" width="3.85546875" style="54" customWidth="1"/>
    <col min="14591" max="14591" width="18.7109375" style="54" customWidth="1"/>
    <col min="14592" max="14600" width="14" style="54" customWidth="1"/>
    <col min="14601" max="14601" width="13" style="54" bestFit="1" customWidth="1"/>
    <col min="14602" max="14602" width="14.5703125" style="54" bestFit="1" customWidth="1"/>
    <col min="14603" max="14603" width="12.140625" style="54" bestFit="1" customWidth="1"/>
    <col min="14604" max="14614" width="14" style="54" customWidth="1"/>
    <col min="14615" max="14618" width="13.28515625" style="54" customWidth="1"/>
    <col min="14619" max="14843" width="9.140625" style="54"/>
    <col min="14844" max="14844" width="31" style="54" customWidth="1"/>
    <col min="14845" max="14845" width="18.5703125" style="54" customWidth="1"/>
    <col min="14846" max="14846" width="3.85546875" style="54" customWidth="1"/>
    <col min="14847" max="14847" width="18.7109375" style="54" customWidth="1"/>
    <col min="14848" max="14856" width="14" style="54" customWidth="1"/>
    <col min="14857" max="14857" width="13" style="54" bestFit="1" customWidth="1"/>
    <col min="14858" max="14858" width="14.5703125" style="54" bestFit="1" customWidth="1"/>
    <col min="14859" max="14859" width="12.140625" style="54" bestFit="1" customWidth="1"/>
    <col min="14860" max="14870" width="14" style="54" customWidth="1"/>
    <col min="14871" max="14874" width="13.28515625" style="54" customWidth="1"/>
    <col min="14875" max="15099" width="9.140625" style="54"/>
    <col min="15100" max="15100" width="31" style="54" customWidth="1"/>
    <col min="15101" max="15101" width="18.5703125" style="54" customWidth="1"/>
    <col min="15102" max="15102" width="3.85546875" style="54" customWidth="1"/>
    <col min="15103" max="15103" width="18.7109375" style="54" customWidth="1"/>
    <col min="15104" max="15112" width="14" style="54" customWidth="1"/>
    <col min="15113" max="15113" width="13" style="54" bestFit="1" customWidth="1"/>
    <col min="15114" max="15114" width="14.5703125" style="54" bestFit="1" customWidth="1"/>
    <col min="15115" max="15115" width="12.140625" style="54" bestFit="1" customWidth="1"/>
    <col min="15116" max="15126" width="14" style="54" customWidth="1"/>
    <col min="15127" max="15130" width="13.28515625" style="54" customWidth="1"/>
    <col min="15131" max="15355" width="9.140625" style="54"/>
    <col min="15356" max="15356" width="31" style="54" customWidth="1"/>
    <col min="15357" max="15357" width="18.5703125" style="54" customWidth="1"/>
    <col min="15358" max="15358" width="3.85546875" style="54" customWidth="1"/>
    <col min="15359" max="15359" width="18.7109375" style="54" customWidth="1"/>
    <col min="15360" max="15368" width="14" style="54" customWidth="1"/>
    <col min="15369" max="15369" width="13" style="54" bestFit="1" customWidth="1"/>
    <col min="15370" max="15370" width="14.5703125" style="54" bestFit="1" customWidth="1"/>
    <col min="15371" max="15371" width="12.140625" style="54" bestFit="1" customWidth="1"/>
    <col min="15372" max="15382" width="14" style="54" customWidth="1"/>
    <col min="15383" max="15386" width="13.28515625" style="54" customWidth="1"/>
    <col min="15387" max="15611" width="9.140625" style="54"/>
    <col min="15612" max="15612" width="31" style="54" customWidth="1"/>
    <col min="15613" max="15613" width="18.5703125" style="54" customWidth="1"/>
    <col min="15614" max="15614" width="3.85546875" style="54" customWidth="1"/>
    <col min="15615" max="15615" width="18.7109375" style="54" customWidth="1"/>
    <col min="15616" max="15624" width="14" style="54" customWidth="1"/>
    <col min="15625" max="15625" width="13" style="54" bestFit="1" customWidth="1"/>
    <col min="15626" max="15626" width="14.5703125" style="54" bestFit="1" customWidth="1"/>
    <col min="15627" max="15627" width="12.140625" style="54" bestFit="1" customWidth="1"/>
    <col min="15628" max="15638" width="14" style="54" customWidth="1"/>
    <col min="15639" max="15642" width="13.28515625" style="54" customWidth="1"/>
    <col min="15643" max="15867" width="9.140625" style="54"/>
    <col min="15868" max="15868" width="31" style="54" customWidth="1"/>
    <col min="15869" max="15869" width="18.5703125" style="54" customWidth="1"/>
    <col min="15870" max="15870" width="3.85546875" style="54" customWidth="1"/>
    <col min="15871" max="15871" width="18.7109375" style="54" customWidth="1"/>
    <col min="15872" max="15880" width="14" style="54" customWidth="1"/>
    <col min="15881" max="15881" width="13" style="54" bestFit="1" customWidth="1"/>
    <col min="15882" max="15882" width="14.5703125" style="54" bestFit="1" customWidth="1"/>
    <col min="15883" max="15883" width="12.140625" style="54" bestFit="1" customWidth="1"/>
    <col min="15884" max="15894" width="14" style="54" customWidth="1"/>
    <col min="15895" max="15898" width="13.28515625" style="54" customWidth="1"/>
    <col min="15899" max="16123" width="9.140625" style="54"/>
    <col min="16124" max="16124" width="31" style="54" customWidth="1"/>
    <col min="16125" max="16125" width="18.5703125" style="54" customWidth="1"/>
    <col min="16126" max="16126" width="3.85546875" style="54" customWidth="1"/>
    <col min="16127" max="16127" width="18.7109375" style="54" customWidth="1"/>
    <col min="16128" max="16136" width="14" style="54" customWidth="1"/>
    <col min="16137" max="16137" width="13" style="54" bestFit="1" customWidth="1"/>
    <col min="16138" max="16138" width="14.5703125" style="54" bestFit="1" customWidth="1"/>
    <col min="16139" max="16139" width="12.140625" style="54" bestFit="1" customWidth="1"/>
    <col min="16140" max="16150" width="14" style="54" customWidth="1"/>
    <col min="16151" max="16154" width="13.28515625" style="54" customWidth="1"/>
    <col min="16155" max="16384" width="9.140625" style="54"/>
  </cols>
  <sheetData>
    <row r="1" spans="1:21" x14ac:dyDescent="0.2">
      <c r="D1" s="54"/>
      <c r="E1" s="54"/>
      <c r="F1" s="54"/>
    </row>
    <row r="2" spans="1:21" x14ac:dyDescent="0.2">
      <c r="D2" s="54"/>
      <c r="E2" s="54"/>
      <c r="F2" s="54"/>
      <c r="Q2"/>
      <c r="R2"/>
      <c r="S2"/>
      <c r="T2"/>
      <c r="U2"/>
    </row>
    <row r="3" spans="1:21" s="56" customFormat="1" ht="15.75" customHeight="1" x14ac:dyDescent="0.2">
      <c r="A3" s="135" t="s">
        <v>103</v>
      </c>
      <c r="B3" s="135"/>
      <c r="C3" s="135"/>
      <c r="D3" s="135"/>
      <c r="E3" s="135"/>
      <c r="F3" s="135"/>
      <c r="G3" s="135"/>
      <c r="H3" s="135"/>
      <c r="I3"/>
      <c r="J3"/>
      <c r="K3"/>
      <c r="L3"/>
    </row>
    <row r="4" spans="1:21" ht="44.25" customHeight="1" x14ac:dyDescent="0.2">
      <c r="A4" s="115" t="s">
        <v>65</v>
      </c>
      <c r="B4" s="115" t="s">
        <v>59</v>
      </c>
      <c r="C4" s="115" t="s">
        <v>66</v>
      </c>
      <c r="D4" s="115" t="s">
        <v>67</v>
      </c>
      <c r="E4" s="115" t="s">
        <v>68</v>
      </c>
      <c r="F4" s="115" t="s">
        <v>69</v>
      </c>
      <c r="G4" s="115" t="s">
        <v>70</v>
      </c>
      <c r="H4" s="115" t="s">
        <v>114</v>
      </c>
      <c r="I4"/>
      <c r="J4"/>
      <c r="K4"/>
      <c r="L4"/>
      <c r="M4" s="54"/>
      <c r="N4" s="54"/>
    </row>
    <row r="5" spans="1:21" x14ac:dyDescent="0.2">
      <c r="A5" s="118">
        <v>2014</v>
      </c>
      <c r="B5" s="116">
        <f>AVERAGE($G$24:$G$35)</f>
        <v>20472.166666666668</v>
      </c>
      <c r="C5" s="116">
        <f>AVERAGE($I$24:$I$35)</f>
        <v>1742.8333333333333</v>
      </c>
      <c r="D5" s="116">
        <f>AVERAGE($L$24:$L$35)</f>
        <v>165.33333333333334</v>
      </c>
      <c r="E5" s="117">
        <f>AVERAGE($O$24:$O$35)</f>
        <v>519.16666666666663</v>
      </c>
      <c r="F5" s="116">
        <f>AVERAGE($R$24:$R$35)</f>
        <v>6784.333333333333</v>
      </c>
      <c r="G5" s="116">
        <f>AVERAGE($U$24:$U$35)</f>
        <v>259.33333333333331</v>
      </c>
      <c r="H5" s="116">
        <f>AVERAGE($X$24:$X$35)</f>
        <v>1</v>
      </c>
      <c r="I5" s="42"/>
      <c r="J5"/>
      <c r="K5"/>
      <c r="L5"/>
      <c r="M5" s="54"/>
      <c r="N5" s="54"/>
    </row>
    <row r="6" spans="1:21" x14ac:dyDescent="0.2">
      <c r="A6" s="118">
        <v>2015</v>
      </c>
      <c r="B6" s="116">
        <f>AVERAGE($G$36:$G$47)</f>
        <v>20635.5</v>
      </c>
      <c r="C6" s="116">
        <f>AVERAGE($I$36:$I$47)</f>
        <v>1769.0833333333333</v>
      </c>
      <c r="D6" s="116">
        <f>AVERAGE($L$36:$L$47)</f>
        <v>158.83333333333334</v>
      </c>
      <c r="E6" s="116">
        <f>AVERAGE($O$36:$O$47)</f>
        <v>515.08333333333337</v>
      </c>
      <c r="F6" s="116">
        <f>AVERAGE($R$36:$R$47)</f>
        <v>6792.583333333333</v>
      </c>
      <c r="G6" s="116">
        <f>AVERAGE($U$36:$U$47)</f>
        <v>256.66666666666669</v>
      </c>
      <c r="H6" s="116">
        <f>AVERAGE($X$36:$X$47)</f>
        <v>0</v>
      </c>
      <c r="I6" s="42"/>
      <c r="J6"/>
      <c r="K6"/>
      <c r="L6"/>
      <c r="M6" s="54"/>
      <c r="N6" s="54"/>
    </row>
    <row r="7" spans="1:21" x14ac:dyDescent="0.2">
      <c r="A7" s="118">
        <v>2016</v>
      </c>
      <c r="B7" s="116">
        <f>AVERAGE($G$48:$G$59)</f>
        <v>20822.5</v>
      </c>
      <c r="C7" s="116">
        <f>AVERAGE($I$48:$I$59)</f>
        <v>1770.5833333333333</v>
      </c>
      <c r="D7" s="116">
        <f>AVERAGE($L$48:$L$59)</f>
        <v>159</v>
      </c>
      <c r="E7" s="116">
        <f>AVERAGE($O$48:$O$59)</f>
        <v>508.75</v>
      </c>
      <c r="F7" s="116">
        <f>AVERAGE($R$48:$R$59)</f>
        <v>6825</v>
      </c>
      <c r="G7" s="116">
        <f>AVERAGE($U$48:$U$59)</f>
        <v>261.33333333333331</v>
      </c>
      <c r="H7" s="116">
        <f>AVERAGE($X$48:$X$59)</f>
        <v>0</v>
      </c>
      <c r="I7" s="42"/>
      <c r="J7"/>
      <c r="K7"/>
      <c r="L7"/>
      <c r="M7" s="54"/>
      <c r="N7" s="54"/>
    </row>
    <row r="8" spans="1:21" x14ac:dyDescent="0.2">
      <c r="A8" s="118">
        <v>2017</v>
      </c>
      <c r="B8" s="116">
        <f>AVERAGE($G$60:$G$71)</f>
        <v>20986.583333333332</v>
      </c>
      <c r="C8" s="116">
        <f>AVERAGE($I$60:$I$71)</f>
        <v>1791.4166666666667</v>
      </c>
      <c r="D8" s="116">
        <f>AVERAGE($L$60:$L$71)</f>
        <v>159.16666666666666</v>
      </c>
      <c r="E8" s="116">
        <f>AVERAGE($O$60:$O$71)</f>
        <v>500.08333333333331</v>
      </c>
      <c r="F8" s="116">
        <f>AVERAGE($R$60:$R$71)</f>
        <v>6865.333333333333</v>
      </c>
      <c r="G8" s="116">
        <f>AVERAGE($U$60:$U$71)</f>
        <v>261.91666666666669</v>
      </c>
      <c r="H8" s="116">
        <f>AVERAGE($X$60:$X$71)</f>
        <v>0</v>
      </c>
      <c r="I8" s="42"/>
      <c r="J8"/>
      <c r="K8"/>
      <c r="L8"/>
      <c r="M8" s="54"/>
      <c r="N8" s="54"/>
    </row>
    <row r="9" spans="1:21" x14ac:dyDescent="0.2">
      <c r="A9" s="118">
        <v>2018</v>
      </c>
      <c r="B9" s="116">
        <f>AVERAGE($G$72:$G$83)</f>
        <v>21242.333333333332</v>
      </c>
      <c r="C9" s="116">
        <f>AVERAGE($I$72:$I$83)</f>
        <v>1798.25</v>
      </c>
      <c r="D9" s="116">
        <f>AVERAGE($L$72:$L$83)</f>
        <v>164</v>
      </c>
      <c r="E9" s="116">
        <f>AVERAGE($O$72:$O$83)</f>
        <v>486.5</v>
      </c>
      <c r="F9" s="116">
        <f>AVERAGE($R$72:$R$83)</f>
        <v>6956.25</v>
      </c>
      <c r="G9" s="116">
        <f>AVERAGE($U$72:$U$83)</f>
        <v>262.83333333333331</v>
      </c>
      <c r="H9" s="116">
        <f>AVERAGE($X$72:$X$83)</f>
        <v>0</v>
      </c>
      <c r="I9" s="42"/>
      <c r="J9"/>
      <c r="K9"/>
      <c r="L9"/>
      <c r="M9" s="54"/>
      <c r="N9" s="54"/>
    </row>
    <row r="10" spans="1:21" x14ac:dyDescent="0.2">
      <c r="A10" s="118">
        <v>2019</v>
      </c>
      <c r="B10" s="116">
        <f>AVERAGE($G$84:$G$95)</f>
        <v>21580</v>
      </c>
      <c r="C10" s="116">
        <f>AVERAGE($I$84:$I$95)</f>
        <v>1797.3333333333333</v>
      </c>
      <c r="D10" s="116">
        <f>AVERAGE($L$84:$L$95)</f>
        <v>166.16666666666666</v>
      </c>
      <c r="E10" s="116">
        <f>AVERAGE($O$84:$O$95)</f>
        <v>453.58333333333331</v>
      </c>
      <c r="F10" s="116">
        <f>AVERAGE($R$84:$R$95)</f>
        <v>7006.75</v>
      </c>
      <c r="G10" s="116">
        <f>AVERAGE($U$84:$U$95)</f>
        <v>261.83333333333331</v>
      </c>
      <c r="H10" s="116">
        <f>AVERAGE($X$84:$X$95)</f>
        <v>0</v>
      </c>
      <c r="I10" s="42"/>
      <c r="J10"/>
      <c r="K10"/>
      <c r="L10"/>
      <c r="M10" s="54"/>
      <c r="N10" s="54"/>
    </row>
    <row r="11" spans="1:21" x14ac:dyDescent="0.2">
      <c r="A11" s="118">
        <v>2020</v>
      </c>
      <c r="B11" s="116">
        <f>AVERAGE($G$96:$G$107)</f>
        <v>21926.833333333332</v>
      </c>
      <c r="C11" s="116">
        <f>AVERAGE($I$96:$I$107)</f>
        <v>1787.5</v>
      </c>
      <c r="D11" s="116">
        <f>AVERAGE($L$96:$L$107)</f>
        <v>161.08333333333334</v>
      </c>
      <c r="E11" s="116">
        <f>AVERAGE($O$96:$O$107)</f>
        <v>405.75</v>
      </c>
      <c r="F11" s="116">
        <f>AVERAGE($R$96:$R$107)</f>
        <v>7066.75</v>
      </c>
      <c r="G11" s="116">
        <f>AVERAGE($U$96:$U$107)</f>
        <v>258.25</v>
      </c>
      <c r="H11" s="116">
        <f>AVERAGE($X$96:$X$107)</f>
        <v>0</v>
      </c>
      <c r="I11" s="42"/>
      <c r="J11"/>
      <c r="K11"/>
      <c r="L11"/>
      <c r="M11" s="54"/>
      <c r="N11" s="54"/>
    </row>
    <row r="12" spans="1:21" x14ac:dyDescent="0.2">
      <c r="A12" s="118">
        <v>2021</v>
      </c>
      <c r="B12" s="116">
        <f>AVERAGE($G$108:$G$119)</f>
        <v>22395.666666666668</v>
      </c>
      <c r="C12" s="116">
        <f>AVERAGE($I$108:$I$119)</f>
        <v>1836.5</v>
      </c>
      <c r="D12" s="116">
        <f>AVERAGE($L$108:$L$119)</f>
        <v>139.75</v>
      </c>
      <c r="E12" s="116">
        <f>AVERAGE($O$108:$O$119)</f>
        <v>377.66666666666669</v>
      </c>
      <c r="F12" s="116">
        <f>AVERAGE($R$108:$R$119)</f>
        <v>7115.166666666667</v>
      </c>
      <c r="G12" s="116">
        <f>AVERAGE($U$108:$U$119)</f>
        <v>255.83333333333334</v>
      </c>
      <c r="H12" s="116">
        <f>AVERAGE($X$108:$X$119)</f>
        <v>0</v>
      </c>
      <c r="I12" s="42"/>
      <c r="J12"/>
      <c r="K12"/>
      <c r="L12"/>
      <c r="M12" s="54"/>
      <c r="N12" s="54"/>
    </row>
    <row r="13" spans="1:21" x14ac:dyDescent="0.2">
      <c r="A13" s="118">
        <v>2022</v>
      </c>
      <c r="B13" s="116">
        <f>AVERAGE($G$120:$G$131)</f>
        <v>22849</v>
      </c>
      <c r="C13" s="116">
        <f>AVERAGE($I$120:$I$131)</f>
        <v>1838.0833333333333</v>
      </c>
      <c r="D13" s="116">
        <f>AVERAGE($L$120:$L$131)</f>
        <v>138.75</v>
      </c>
      <c r="E13" s="116">
        <f>AVERAGE($O$120:$O$131)</f>
        <v>344.91666666666669</v>
      </c>
      <c r="F13" s="116">
        <f>AVERAGE($R$120:$R$131)</f>
        <v>7186.166666666667</v>
      </c>
      <c r="G13" s="116">
        <f>AVERAGE($U$120:$U$131)</f>
        <v>252.08333333333334</v>
      </c>
      <c r="H13" s="116">
        <f>AVERAGE($X$120:$X$131)</f>
        <v>0</v>
      </c>
      <c r="I13" s="42"/>
      <c r="J13"/>
      <c r="K13"/>
      <c r="L13"/>
      <c r="M13" s="54"/>
      <c r="N13" s="54"/>
    </row>
    <row r="14" spans="1:21" x14ac:dyDescent="0.2">
      <c r="A14" s="118">
        <v>2023</v>
      </c>
      <c r="B14" s="116">
        <f>AVERAGE($G$132:$G$143)</f>
        <v>23410.333333333332</v>
      </c>
      <c r="C14" s="116">
        <f>AVERAGE($I$132:$I$143)</f>
        <v>1845.3333333333333</v>
      </c>
      <c r="D14" s="116">
        <f>AVERAGE($L$132:$L$143)</f>
        <v>142</v>
      </c>
      <c r="E14" s="116">
        <f>AVERAGE($O$132:$O$143)</f>
        <v>341.75</v>
      </c>
      <c r="F14" s="116">
        <f>AVERAGE($R$132:$R$143)</f>
        <v>7335.916666666667</v>
      </c>
      <c r="G14" s="116">
        <f>AVERAGE($U$132:$U$143)</f>
        <v>200.16666666666666</v>
      </c>
      <c r="H14" s="116">
        <f>AVERAGE($X$132:$X$143)</f>
        <v>0</v>
      </c>
      <c r="I14" s="42"/>
      <c r="J14"/>
      <c r="K14"/>
      <c r="L14"/>
      <c r="M14" s="54"/>
      <c r="N14" s="54"/>
    </row>
    <row r="15" spans="1:21" x14ac:dyDescent="0.2">
      <c r="A15" s="118" t="s">
        <v>140</v>
      </c>
      <c r="B15" s="116">
        <f>AVERAGE($G$144:$G$152)</f>
        <v>23876.222222222223</v>
      </c>
      <c r="C15" s="116">
        <f>AVERAGE($I$144:$I$152)</f>
        <v>1858.7777777777778</v>
      </c>
      <c r="D15" s="116">
        <f>AVERAGE($L$144:$L$152)</f>
        <v>148.22222222222223</v>
      </c>
      <c r="E15" s="116">
        <f>AVERAGE($O$144:$O$152)</f>
        <v>340.88888888888891</v>
      </c>
      <c r="F15" s="116">
        <f>AVERAGE($R$144:$R$152)</f>
        <v>7301.1111111111113</v>
      </c>
      <c r="G15" s="116">
        <f>AVERAGE($U$144:$U$152)</f>
        <v>196.33333333333334</v>
      </c>
      <c r="H15" s="116">
        <f>AVERAGE($X$144:$X$152)</f>
        <v>0</v>
      </c>
      <c r="I15"/>
      <c r="J15"/>
      <c r="K15"/>
      <c r="L15"/>
      <c r="M15"/>
      <c r="N15"/>
      <c r="O15"/>
      <c r="P15"/>
      <c r="Q15"/>
      <c r="R15"/>
      <c r="S15"/>
      <c r="T15"/>
    </row>
    <row r="16" spans="1:21" x14ac:dyDescent="0.2">
      <c r="A16"/>
      <c r="B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6" ht="16.5" customHeight="1" x14ac:dyDescent="0.2">
      <c r="A17"/>
      <c r="B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6" x14ac:dyDescent="0.2">
      <c r="A18"/>
      <c r="B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20" spans="1:26" ht="15.75" x14ac:dyDescent="0.2">
      <c r="A20" s="184" t="s">
        <v>72</v>
      </c>
      <c r="B20" s="184"/>
      <c r="C20" s="58"/>
      <c r="D20" s="184" t="s">
        <v>73</v>
      </c>
      <c r="E20" s="184"/>
      <c r="F20" s="184" t="s">
        <v>74</v>
      </c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</row>
    <row r="21" spans="1:26" ht="23.25" thickBot="1" x14ac:dyDescent="0.25">
      <c r="A21" s="119"/>
      <c r="B21" s="119"/>
      <c r="C21" s="60"/>
      <c r="D21" s="120" t="s">
        <v>75</v>
      </c>
      <c r="E21" s="121"/>
      <c r="F21" s="186" t="str">
        <f>B4</f>
        <v>Residential</v>
      </c>
      <c r="G21" s="187"/>
      <c r="H21" s="191" t="str">
        <f>C4</f>
        <v>General Service &lt; 50 kW</v>
      </c>
      <c r="I21" s="187"/>
      <c r="J21" s="191" t="str">
        <f>D4</f>
        <v>General Service &gt; 50 to 4999 kW</v>
      </c>
      <c r="K21" s="186"/>
      <c r="L21" s="187"/>
      <c r="M21" s="191" t="s">
        <v>68</v>
      </c>
      <c r="N21" s="186"/>
      <c r="O21" s="187"/>
      <c r="P21" s="191" t="s">
        <v>69</v>
      </c>
      <c r="Q21" s="186"/>
      <c r="R21" s="187"/>
      <c r="S21" s="185" t="s">
        <v>70</v>
      </c>
      <c r="T21" s="186"/>
      <c r="U21" s="187"/>
      <c r="V21" s="188" t="s">
        <v>114</v>
      </c>
      <c r="W21" s="189"/>
      <c r="X21" s="190" t="s">
        <v>71</v>
      </c>
    </row>
    <row r="22" spans="1:26" ht="34.5" thickBot="1" x14ac:dyDescent="0.25">
      <c r="A22" s="59"/>
      <c r="B22" s="59"/>
      <c r="C22" s="61"/>
      <c r="D22" s="122"/>
      <c r="E22" s="123"/>
      <c r="F22" s="124" t="s">
        <v>48</v>
      </c>
      <c r="G22" s="125" t="s">
        <v>76</v>
      </c>
      <c r="H22" s="122" t="s">
        <v>48</v>
      </c>
      <c r="I22" s="125" t="s">
        <v>76</v>
      </c>
      <c r="J22" s="122" t="s">
        <v>48</v>
      </c>
      <c r="K22" s="126" t="s">
        <v>49</v>
      </c>
      <c r="L22" s="125" t="s">
        <v>76</v>
      </c>
      <c r="M22" s="122" t="s">
        <v>48</v>
      </c>
      <c r="N22" s="126" t="s">
        <v>49</v>
      </c>
      <c r="O22" s="125" t="s">
        <v>77</v>
      </c>
      <c r="P22" s="122" t="s">
        <v>48</v>
      </c>
      <c r="Q22" s="126" t="s">
        <v>49</v>
      </c>
      <c r="R22" s="125" t="s">
        <v>76</v>
      </c>
      <c r="S22" s="122" t="s">
        <v>48</v>
      </c>
      <c r="T22" s="126" t="s">
        <v>49</v>
      </c>
      <c r="U22" s="125" t="s">
        <v>76</v>
      </c>
      <c r="V22" s="127" t="s">
        <v>48</v>
      </c>
      <c r="W22" s="128" t="s">
        <v>49</v>
      </c>
      <c r="X22" s="129" t="s">
        <v>76</v>
      </c>
    </row>
    <row r="23" spans="1:26" x14ac:dyDescent="0.2">
      <c r="A23" s="62" t="s">
        <v>60</v>
      </c>
      <c r="B23" s="62" t="s">
        <v>104</v>
      </c>
      <c r="C23" s="61"/>
      <c r="D23" s="63"/>
      <c r="E23" s="64"/>
      <c r="F23" s="65"/>
      <c r="G23" s="66"/>
      <c r="H23" s="67"/>
      <c r="I23" s="66"/>
      <c r="J23" s="67"/>
      <c r="K23" s="68"/>
      <c r="L23" s="69"/>
      <c r="M23" s="71"/>
      <c r="N23" s="72"/>
      <c r="O23" s="70"/>
      <c r="P23" s="71"/>
      <c r="Q23" s="73"/>
      <c r="R23" s="74"/>
      <c r="S23" s="71"/>
      <c r="T23" s="72"/>
      <c r="U23" s="66"/>
      <c r="V23" s="71"/>
      <c r="W23" s="72"/>
      <c r="X23" s="66"/>
    </row>
    <row r="24" spans="1:26" x14ac:dyDescent="0.2">
      <c r="A24" s="75">
        <v>2014</v>
      </c>
      <c r="B24" s="76" t="s">
        <v>78</v>
      </c>
      <c r="C24" s="77"/>
      <c r="D24" s="78">
        <v>40172298.198266663</v>
      </c>
      <c r="E24" s="78"/>
      <c r="F24" s="79"/>
      <c r="G24" s="80">
        <v>20441</v>
      </c>
      <c r="H24" s="78"/>
      <c r="I24" s="80">
        <v>1718</v>
      </c>
      <c r="J24" s="81"/>
      <c r="K24" s="82"/>
      <c r="L24" s="80">
        <v>169</v>
      </c>
      <c r="M24" s="78"/>
      <c r="N24" s="83"/>
      <c r="O24" s="80">
        <v>526</v>
      </c>
      <c r="P24" s="81"/>
      <c r="Q24" s="84"/>
      <c r="R24" s="80">
        <v>6776</v>
      </c>
      <c r="S24" s="81"/>
      <c r="T24" s="82"/>
      <c r="U24" s="80">
        <v>259</v>
      </c>
      <c r="V24" s="81"/>
      <c r="W24" s="82"/>
      <c r="X24" s="80">
        <v>1</v>
      </c>
      <c r="Z24" s="131"/>
    </row>
    <row r="25" spans="1:26" x14ac:dyDescent="0.2">
      <c r="A25" s="75">
        <v>2014</v>
      </c>
      <c r="B25" s="76" t="s">
        <v>79</v>
      </c>
      <c r="C25" s="85"/>
      <c r="D25" s="86">
        <v>35904108.981466666</v>
      </c>
      <c r="E25" s="86"/>
      <c r="F25" s="87"/>
      <c r="G25" s="88">
        <v>20438</v>
      </c>
      <c r="H25" s="86"/>
      <c r="I25" s="88">
        <v>1718</v>
      </c>
      <c r="J25" s="89"/>
      <c r="K25" s="90"/>
      <c r="L25" s="88">
        <v>169</v>
      </c>
      <c r="M25" s="86"/>
      <c r="N25" s="91"/>
      <c r="O25" s="88">
        <v>520</v>
      </c>
      <c r="P25" s="89"/>
      <c r="Q25" s="92"/>
      <c r="R25" s="88">
        <v>6772</v>
      </c>
      <c r="S25" s="89"/>
      <c r="T25" s="90"/>
      <c r="U25" s="88">
        <v>259</v>
      </c>
      <c r="V25" s="89"/>
      <c r="W25" s="90"/>
      <c r="X25" s="88">
        <v>1</v>
      </c>
      <c r="Z25" s="131"/>
    </row>
    <row r="26" spans="1:26" x14ac:dyDescent="0.2">
      <c r="A26" s="75">
        <v>2014</v>
      </c>
      <c r="B26" s="76" t="s">
        <v>80</v>
      </c>
      <c r="C26" s="85"/>
      <c r="D26" s="86">
        <v>37359874.474666663</v>
      </c>
      <c r="E26" s="86"/>
      <c r="F26" s="87"/>
      <c r="G26" s="88">
        <v>20443</v>
      </c>
      <c r="H26" s="86"/>
      <c r="I26" s="88">
        <v>1727</v>
      </c>
      <c r="J26" s="89"/>
      <c r="K26" s="90"/>
      <c r="L26" s="88">
        <v>169</v>
      </c>
      <c r="M26" s="86"/>
      <c r="N26" s="91"/>
      <c r="O26" s="88">
        <v>520</v>
      </c>
      <c r="P26" s="89"/>
      <c r="Q26" s="92"/>
      <c r="R26" s="88">
        <v>6772</v>
      </c>
      <c r="S26" s="89"/>
      <c r="T26" s="90"/>
      <c r="U26" s="88">
        <v>259</v>
      </c>
      <c r="V26" s="89"/>
      <c r="W26" s="90"/>
      <c r="X26" s="88">
        <v>1</v>
      </c>
      <c r="Z26" s="131"/>
    </row>
    <row r="27" spans="1:26" x14ac:dyDescent="0.2">
      <c r="A27" s="75">
        <v>2014</v>
      </c>
      <c r="B27" s="76" t="s">
        <v>81</v>
      </c>
      <c r="C27" s="85"/>
      <c r="D27" s="86">
        <v>29870903.297066666</v>
      </c>
      <c r="E27" s="86"/>
      <c r="F27" s="87"/>
      <c r="G27" s="88">
        <v>20434</v>
      </c>
      <c r="H27" s="86"/>
      <c r="I27" s="88">
        <v>1729</v>
      </c>
      <c r="J27" s="89"/>
      <c r="K27" s="90"/>
      <c r="L27" s="88">
        <v>170</v>
      </c>
      <c r="M27" s="86"/>
      <c r="N27" s="91"/>
      <c r="O27" s="88">
        <v>520</v>
      </c>
      <c r="P27" s="89"/>
      <c r="Q27" s="92"/>
      <c r="R27" s="88">
        <v>6775</v>
      </c>
      <c r="S27" s="89"/>
      <c r="T27" s="90"/>
      <c r="U27" s="88">
        <v>259</v>
      </c>
      <c r="V27" s="89"/>
      <c r="W27" s="90"/>
      <c r="X27" s="88">
        <v>1</v>
      </c>
      <c r="Z27" s="131"/>
    </row>
    <row r="28" spans="1:26" x14ac:dyDescent="0.2">
      <c r="A28" s="75">
        <v>2014</v>
      </c>
      <c r="B28" s="76" t="s">
        <v>47</v>
      </c>
      <c r="C28" s="85"/>
      <c r="D28" s="86">
        <v>27607357.325866669</v>
      </c>
      <c r="E28" s="86"/>
      <c r="F28" s="87"/>
      <c r="G28" s="88">
        <v>20431</v>
      </c>
      <c r="H28" s="86"/>
      <c r="I28" s="88">
        <v>1739</v>
      </c>
      <c r="J28" s="89"/>
      <c r="K28" s="90"/>
      <c r="L28" s="88">
        <v>165</v>
      </c>
      <c r="M28" s="86"/>
      <c r="N28" s="91"/>
      <c r="O28" s="88">
        <v>520</v>
      </c>
      <c r="P28" s="89"/>
      <c r="Q28" s="92"/>
      <c r="R28" s="88">
        <v>6784</v>
      </c>
      <c r="S28" s="89"/>
      <c r="T28" s="90"/>
      <c r="U28" s="88">
        <v>259</v>
      </c>
      <c r="V28" s="89"/>
      <c r="W28" s="90"/>
      <c r="X28" s="88">
        <v>1</v>
      </c>
      <c r="Z28" s="131"/>
    </row>
    <row r="29" spans="1:26" x14ac:dyDescent="0.2">
      <c r="A29" s="75">
        <v>2014</v>
      </c>
      <c r="B29" s="76" t="s">
        <v>82</v>
      </c>
      <c r="C29" s="85"/>
      <c r="D29" s="86">
        <v>32169591.381466668</v>
      </c>
      <c r="E29" s="86"/>
      <c r="F29" s="87"/>
      <c r="G29" s="88">
        <v>20440</v>
      </c>
      <c r="H29" s="86"/>
      <c r="I29" s="88">
        <v>1746</v>
      </c>
      <c r="J29" s="89"/>
      <c r="K29" s="90"/>
      <c r="L29" s="88">
        <v>164</v>
      </c>
      <c r="M29" s="86"/>
      <c r="N29" s="91"/>
      <c r="O29" s="88">
        <v>520</v>
      </c>
      <c r="P29" s="89"/>
      <c r="Q29" s="92"/>
      <c r="R29" s="88">
        <v>6786</v>
      </c>
      <c r="S29" s="89"/>
      <c r="T29" s="90"/>
      <c r="U29" s="88">
        <v>259</v>
      </c>
      <c r="V29" s="89"/>
      <c r="W29" s="90"/>
      <c r="X29" s="88">
        <v>1</v>
      </c>
      <c r="Z29" s="131"/>
    </row>
    <row r="30" spans="1:26" x14ac:dyDescent="0.2">
      <c r="A30" s="75">
        <v>2014</v>
      </c>
      <c r="B30" s="76" t="s">
        <v>83</v>
      </c>
      <c r="C30" s="85"/>
      <c r="D30" s="86">
        <v>33916845.750666663</v>
      </c>
      <c r="E30" s="86"/>
      <c r="F30" s="87"/>
      <c r="G30" s="88">
        <v>20457</v>
      </c>
      <c r="H30" s="86"/>
      <c r="I30" s="88">
        <v>1753</v>
      </c>
      <c r="J30" s="89"/>
      <c r="K30" s="90"/>
      <c r="L30" s="88">
        <v>164</v>
      </c>
      <c r="M30" s="86"/>
      <c r="N30" s="91"/>
      <c r="O30" s="88">
        <v>520</v>
      </c>
      <c r="P30" s="89"/>
      <c r="Q30" s="92"/>
      <c r="R30" s="88">
        <v>6786</v>
      </c>
      <c r="S30" s="89"/>
      <c r="T30" s="90"/>
      <c r="U30" s="88">
        <v>259</v>
      </c>
      <c r="V30" s="89"/>
      <c r="W30" s="90"/>
      <c r="X30" s="88">
        <v>1</v>
      </c>
      <c r="Z30" s="131"/>
    </row>
    <row r="31" spans="1:26" x14ac:dyDescent="0.2">
      <c r="A31" s="75">
        <v>2014</v>
      </c>
      <c r="B31" s="76" t="s">
        <v>84</v>
      </c>
      <c r="C31" s="85"/>
      <c r="D31" s="86">
        <v>33253613.143466666</v>
      </c>
      <c r="E31" s="86"/>
      <c r="F31" s="87"/>
      <c r="G31" s="88">
        <v>20468</v>
      </c>
      <c r="H31" s="86"/>
      <c r="I31" s="88">
        <v>1753</v>
      </c>
      <c r="J31" s="89"/>
      <c r="K31" s="90"/>
      <c r="L31" s="88">
        <v>164</v>
      </c>
      <c r="M31" s="86"/>
      <c r="N31" s="91"/>
      <c r="O31" s="88">
        <v>520</v>
      </c>
      <c r="P31" s="89"/>
      <c r="Q31" s="92"/>
      <c r="R31" s="88">
        <v>6787</v>
      </c>
      <c r="S31" s="89"/>
      <c r="T31" s="90"/>
      <c r="U31" s="88">
        <v>259</v>
      </c>
      <c r="V31" s="89"/>
      <c r="W31" s="90"/>
      <c r="X31" s="88">
        <v>1</v>
      </c>
      <c r="Z31" s="131"/>
    </row>
    <row r="32" spans="1:26" x14ac:dyDescent="0.2">
      <c r="A32" s="75">
        <v>2014</v>
      </c>
      <c r="B32" s="76" t="s">
        <v>85</v>
      </c>
      <c r="C32" s="85"/>
      <c r="D32" s="86">
        <v>28705908.135466669</v>
      </c>
      <c r="E32" s="86"/>
      <c r="F32" s="87"/>
      <c r="G32" s="88">
        <v>20496</v>
      </c>
      <c r="H32" s="86"/>
      <c r="I32" s="88">
        <v>1750</v>
      </c>
      <c r="J32" s="89"/>
      <c r="K32" s="90"/>
      <c r="L32" s="88">
        <v>164</v>
      </c>
      <c r="M32" s="86"/>
      <c r="N32" s="91"/>
      <c r="O32" s="88">
        <v>516</v>
      </c>
      <c r="P32" s="89"/>
      <c r="Q32" s="92"/>
      <c r="R32" s="88">
        <v>6794</v>
      </c>
      <c r="S32" s="89"/>
      <c r="T32" s="90"/>
      <c r="U32" s="88">
        <v>259</v>
      </c>
      <c r="V32" s="89"/>
      <c r="W32" s="90"/>
      <c r="X32" s="88">
        <v>1</v>
      </c>
      <c r="Z32" s="131"/>
    </row>
    <row r="33" spans="1:26" x14ac:dyDescent="0.2">
      <c r="A33" s="75">
        <v>2014</v>
      </c>
      <c r="B33" s="76" t="s">
        <v>86</v>
      </c>
      <c r="C33" s="85"/>
      <c r="D33" s="86">
        <v>29560489.815066669</v>
      </c>
      <c r="E33" s="86"/>
      <c r="F33" s="87"/>
      <c r="G33" s="88">
        <v>20532</v>
      </c>
      <c r="H33" s="86"/>
      <c r="I33" s="88">
        <v>1763</v>
      </c>
      <c r="J33" s="89"/>
      <c r="K33" s="90"/>
      <c r="L33" s="88">
        <v>164</v>
      </c>
      <c r="M33" s="86"/>
      <c r="N33" s="91"/>
      <c r="O33" s="88">
        <v>516</v>
      </c>
      <c r="P33" s="89"/>
      <c r="Q33" s="92"/>
      <c r="R33" s="88">
        <v>6797</v>
      </c>
      <c r="S33" s="89"/>
      <c r="T33" s="90"/>
      <c r="U33" s="88">
        <v>259</v>
      </c>
      <c r="V33" s="89"/>
      <c r="W33" s="90"/>
      <c r="X33" s="88">
        <v>1</v>
      </c>
      <c r="Z33" s="131"/>
    </row>
    <row r="34" spans="1:26" x14ac:dyDescent="0.2">
      <c r="A34" s="75">
        <v>2014</v>
      </c>
      <c r="B34" s="76" t="s">
        <v>87</v>
      </c>
      <c r="C34" s="85"/>
      <c r="D34" s="86">
        <v>30512368.479866669</v>
      </c>
      <c r="E34" s="86"/>
      <c r="F34" s="87"/>
      <c r="G34" s="88">
        <v>20537</v>
      </c>
      <c r="H34" s="86"/>
      <c r="I34" s="88">
        <v>1759</v>
      </c>
      <c r="J34" s="89"/>
      <c r="K34" s="90"/>
      <c r="L34" s="88">
        <v>161</v>
      </c>
      <c r="M34" s="86"/>
      <c r="N34" s="91"/>
      <c r="O34" s="88">
        <v>516</v>
      </c>
      <c r="P34" s="89"/>
      <c r="Q34" s="92"/>
      <c r="R34" s="88">
        <v>6790</v>
      </c>
      <c r="S34" s="89"/>
      <c r="T34" s="90"/>
      <c r="U34" s="88">
        <v>261</v>
      </c>
      <c r="V34" s="89"/>
      <c r="W34" s="90"/>
      <c r="X34" s="88">
        <v>1</v>
      </c>
      <c r="Z34" s="131"/>
    </row>
    <row r="35" spans="1:26" x14ac:dyDescent="0.2">
      <c r="A35" s="75">
        <v>2014</v>
      </c>
      <c r="B35" s="76" t="s">
        <v>88</v>
      </c>
      <c r="C35" s="85"/>
      <c r="D35" s="86">
        <v>32708611.119066667</v>
      </c>
      <c r="E35" s="86"/>
      <c r="F35" s="87">
        <v>158185053</v>
      </c>
      <c r="G35" s="88">
        <v>20549</v>
      </c>
      <c r="H35" s="86">
        <v>53903009</v>
      </c>
      <c r="I35" s="88">
        <v>1759</v>
      </c>
      <c r="J35" s="89">
        <v>144192534</v>
      </c>
      <c r="K35" s="90">
        <v>402375</v>
      </c>
      <c r="L35" s="88">
        <v>161</v>
      </c>
      <c r="M35" s="86">
        <v>767199</v>
      </c>
      <c r="N35" s="91">
        <v>2120</v>
      </c>
      <c r="O35" s="88">
        <v>516</v>
      </c>
      <c r="P35" s="89">
        <v>2503378</v>
      </c>
      <c r="Q35" s="92">
        <v>6992</v>
      </c>
      <c r="R35" s="88">
        <v>6793</v>
      </c>
      <c r="S35" s="89">
        <v>966945</v>
      </c>
      <c r="T35" s="90"/>
      <c r="U35" s="88">
        <v>261</v>
      </c>
      <c r="V35" s="89">
        <v>20367511</v>
      </c>
      <c r="W35" s="90">
        <v>59144</v>
      </c>
      <c r="X35" s="88">
        <v>1</v>
      </c>
      <c r="Z35" s="131"/>
    </row>
    <row r="36" spans="1:26" x14ac:dyDescent="0.2">
      <c r="A36" s="75">
        <v>2015</v>
      </c>
      <c r="B36" s="76" t="s">
        <v>78</v>
      </c>
      <c r="C36" s="85"/>
      <c r="D36" s="78">
        <v>35265002.026533335</v>
      </c>
      <c r="E36" s="78"/>
      <c r="F36" s="79"/>
      <c r="G36" s="80">
        <v>20560</v>
      </c>
      <c r="H36" s="78"/>
      <c r="I36" s="80">
        <v>1762</v>
      </c>
      <c r="J36" s="81"/>
      <c r="K36" s="82"/>
      <c r="L36" s="80">
        <v>162</v>
      </c>
      <c r="M36" s="78"/>
      <c r="N36" s="83"/>
      <c r="O36" s="80">
        <v>516</v>
      </c>
      <c r="P36" s="81"/>
      <c r="Q36" s="84"/>
      <c r="R36" s="80">
        <v>6793</v>
      </c>
      <c r="S36" s="81"/>
      <c r="T36" s="82"/>
      <c r="U36" s="80">
        <v>259</v>
      </c>
      <c r="V36" s="81"/>
      <c r="W36" s="82"/>
      <c r="X36" s="80">
        <v>0</v>
      </c>
      <c r="Z36" s="131"/>
    </row>
    <row r="37" spans="1:26" x14ac:dyDescent="0.2">
      <c r="A37" s="75">
        <v>2015</v>
      </c>
      <c r="B37" s="76" t="s">
        <v>79</v>
      </c>
      <c r="C37" s="85"/>
      <c r="D37" s="86">
        <v>32520528.185333334</v>
      </c>
      <c r="E37" s="86"/>
      <c r="F37" s="87"/>
      <c r="G37" s="88">
        <v>20563</v>
      </c>
      <c r="H37" s="86"/>
      <c r="I37" s="88">
        <v>1755</v>
      </c>
      <c r="J37" s="89"/>
      <c r="K37" s="90"/>
      <c r="L37" s="88">
        <v>162</v>
      </c>
      <c r="M37" s="86"/>
      <c r="N37" s="91"/>
      <c r="O37" s="88">
        <v>515</v>
      </c>
      <c r="P37" s="89"/>
      <c r="Q37" s="92"/>
      <c r="R37" s="88">
        <v>6793</v>
      </c>
      <c r="S37" s="89"/>
      <c r="T37" s="90"/>
      <c r="U37" s="88">
        <v>259</v>
      </c>
      <c r="V37" s="89"/>
      <c r="W37" s="90"/>
      <c r="X37" s="88">
        <v>0</v>
      </c>
      <c r="Z37" s="131"/>
    </row>
    <row r="38" spans="1:26" x14ac:dyDescent="0.2">
      <c r="A38" s="75">
        <v>2015</v>
      </c>
      <c r="B38" s="76" t="s">
        <v>80</v>
      </c>
      <c r="C38" s="85"/>
      <c r="D38" s="86">
        <v>32214658.640933331</v>
      </c>
      <c r="E38" s="86"/>
      <c r="F38" s="87"/>
      <c r="G38" s="88">
        <v>20583</v>
      </c>
      <c r="H38" s="86"/>
      <c r="I38" s="88">
        <v>1757</v>
      </c>
      <c r="J38" s="89"/>
      <c r="K38" s="90"/>
      <c r="L38" s="88">
        <v>162</v>
      </c>
      <c r="M38" s="86"/>
      <c r="N38" s="91"/>
      <c r="O38" s="88">
        <v>515</v>
      </c>
      <c r="P38" s="89"/>
      <c r="Q38" s="92"/>
      <c r="R38" s="88">
        <v>6787</v>
      </c>
      <c r="S38" s="89"/>
      <c r="T38" s="90"/>
      <c r="U38" s="88">
        <v>259</v>
      </c>
      <c r="V38" s="89"/>
      <c r="W38" s="90"/>
      <c r="X38" s="88">
        <v>0</v>
      </c>
      <c r="Z38" s="131"/>
    </row>
    <row r="39" spans="1:26" x14ac:dyDescent="0.2">
      <c r="A39" s="75">
        <v>2015</v>
      </c>
      <c r="B39" s="76" t="s">
        <v>81</v>
      </c>
      <c r="C39" s="85"/>
      <c r="D39" s="86">
        <v>27411226.508933332</v>
      </c>
      <c r="E39" s="86"/>
      <c r="F39" s="87"/>
      <c r="G39" s="88">
        <v>20608</v>
      </c>
      <c r="H39" s="86"/>
      <c r="I39" s="88">
        <v>1765</v>
      </c>
      <c r="J39" s="89"/>
      <c r="K39" s="90"/>
      <c r="L39" s="88">
        <v>164</v>
      </c>
      <c r="M39" s="86"/>
      <c r="N39" s="91"/>
      <c r="O39" s="88">
        <v>515</v>
      </c>
      <c r="P39" s="89"/>
      <c r="Q39" s="92"/>
      <c r="R39" s="88">
        <v>6789</v>
      </c>
      <c r="S39" s="89"/>
      <c r="T39" s="90"/>
      <c r="U39" s="88">
        <v>257</v>
      </c>
      <c r="V39" s="89"/>
      <c r="W39" s="90"/>
      <c r="X39" s="88">
        <v>0</v>
      </c>
      <c r="Z39" s="131"/>
    </row>
    <row r="40" spans="1:26" x14ac:dyDescent="0.2">
      <c r="A40" s="75">
        <v>2015</v>
      </c>
      <c r="B40" s="76" t="s">
        <v>47</v>
      </c>
      <c r="C40" s="85"/>
      <c r="D40" s="86">
        <v>28734001.131733332</v>
      </c>
      <c r="E40" s="86"/>
      <c r="F40" s="87"/>
      <c r="G40" s="88">
        <v>20599</v>
      </c>
      <c r="H40" s="86"/>
      <c r="I40" s="88">
        <v>1770</v>
      </c>
      <c r="J40" s="89"/>
      <c r="K40" s="90"/>
      <c r="L40" s="88">
        <v>157</v>
      </c>
      <c r="M40" s="86"/>
      <c r="N40" s="91"/>
      <c r="O40" s="88">
        <v>515</v>
      </c>
      <c r="P40" s="89"/>
      <c r="Q40" s="92"/>
      <c r="R40" s="88">
        <v>6790</v>
      </c>
      <c r="S40" s="89"/>
      <c r="T40" s="90"/>
      <c r="U40" s="88">
        <v>257</v>
      </c>
      <c r="V40" s="89"/>
      <c r="W40" s="90"/>
      <c r="X40" s="88">
        <v>0</v>
      </c>
      <c r="Z40" s="131"/>
    </row>
    <row r="41" spans="1:26" x14ac:dyDescent="0.2">
      <c r="A41" s="75">
        <v>2015</v>
      </c>
      <c r="B41" s="76" t="s">
        <v>82</v>
      </c>
      <c r="C41" s="85"/>
      <c r="D41" s="86">
        <v>29750992.611733332</v>
      </c>
      <c r="E41" s="86"/>
      <c r="F41" s="87"/>
      <c r="G41" s="88">
        <v>20605</v>
      </c>
      <c r="H41" s="86"/>
      <c r="I41" s="88">
        <v>1773</v>
      </c>
      <c r="J41" s="89"/>
      <c r="K41" s="90"/>
      <c r="L41" s="88">
        <v>157</v>
      </c>
      <c r="M41" s="86"/>
      <c r="N41" s="91"/>
      <c r="O41" s="88">
        <v>515</v>
      </c>
      <c r="P41" s="89"/>
      <c r="Q41" s="92"/>
      <c r="R41" s="88">
        <v>6793</v>
      </c>
      <c r="S41" s="89"/>
      <c r="T41" s="90"/>
      <c r="U41" s="88">
        <v>257</v>
      </c>
      <c r="V41" s="89"/>
      <c r="W41" s="90"/>
      <c r="X41" s="88">
        <v>0</v>
      </c>
      <c r="Z41" s="131"/>
    </row>
    <row r="42" spans="1:26" x14ac:dyDescent="0.2">
      <c r="A42" s="75">
        <v>2015</v>
      </c>
      <c r="B42" s="76" t="s">
        <v>83</v>
      </c>
      <c r="C42" s="85"/>
      <c r="D42" s="86">
        <v>35319999.557733327</v>
      </c>
      <c r="E42" s="86"/>
      <c r="F42" s="87"/>
      <c r="G42" s="88">
        <v>20630</v>
      </c>
      <c r="H42" s="86"/>
      <c r="I42" s="88">
        <v>1773</v>
      </c>
      <c r="J42" s="89"/>
      <c r="K42" s="90"/>
      <c r="L42" s="88">
        <v>157</v>
      </c>
      <c r="M42" s="86"/>
      <c r="N42" s="91"/>
      <c r="O42" s="88">
        <v>515</v>
      </c>
      <c r="P42" s="89"/>
      <c r="Q42" s="92"/>
      <c r="R42" s="88">
        <v>6793</v>
      </c>
      <c r="S42" s="89"/>
      <c r="T42" s="90"/>
      <c r="U42" s="88">
        <v>256</v>
      </c>
      <c r="V42" s="89"/>
      <c r="W42" s="90"/>
      <c r="X42" s="88">
        <v>0</v>
      </c>
      <c r="Z42" s="131"/>
    </row>
    <row r="43" spans="1:26" x14ac:dyDescent="0.2">
      <c r="A43" s="75">
        <v>2015</v>
      </c>
      <c r="B43" s="76" t="s">
        <v>84</v>
      </c>
      <c r="C43" s="85"/>
      <c r="D43" s="86">
        <v>33778593.432533331</v>
      </c>
      <c r="E43" s="86"/>
      <c r="F43" s="87"/>
      <c r="G43" s="88">
        <v>20656</v>
      </c>
      <c r="H43" s="86"/>
      <c r="I43" s="88">
        <v>1775</v>
      </c>
      <c r="J43" s="89"/>
      <c r="K43" s="90"/>
      <c r="L43" s="88">
        <v>157</v>
      </c>
      <c r="M43" s="86"/>
      <c r="N43" s="91"/>
      <c r="O43" s="88">
        <v>515</v>
      </c>
      <c r="P43" s="89"/>
      <c r="Q43" s="92"/>
      <c r="R43" s="88">
        <v>6793</v>
      </c>
      <c r="S43" s="89"/>
      <c r="T43" s="90"/>
      <c r="U43" s="88">
        <v>256</v>
      </c>
      <c r="V43" s="89"/>
      <c r="W43" s="90"/>
      <c r="X43" s="88">
        <v>0</v>
      </c>
      <c r="Z43" s="131"/>
    </row>
    <row r="44" spans="1:26" x14ac:dyDescent="0.2">
      <c r="A44" s="75">
        <v>2015</v>
      </c>
      <c r="B44" s="76" t="s">
        <v>85</v>
      </c>
      <c r="C44" s="85"/>
      <c r="D44" s="86">
        <v>32399240.260533333</v>
      </c>
      <c r="E44" s="86"/>
      <c r="F44" s="87"/>
      <c r="G44" s="88">
        <v>20669</v>
      </c>
      <c r="H44" s="86"/>
      <c r="I44" s="88">
        <v>1779</v>
      </c>
      <c r="J44" s="89"/>
      <c r="K44" s="90"/>
      <c r="L44" s="88">
        <v>158</v>
      </c>
      <c r="M44" s="86"/>
      <c r="N44" s="91"/>
      <c r="O44" s="88">
        <v>515</v>
      </c>
      <c r="P44" s="89"/>
      <c r="Q44" s="92"/>
      <c r="R44" s="88">
        <v>6794</v>
      </c>
      <c r="S44" s="89"/>
      <c r="T44" s="90"/>
      <c r="U44" s="88">
        <v>255</v>
      </c>
      <c r="V44" s="89"/>
      <c r="W44" s="90"/>
      <c r="X44" s="88">
        <v>0</v>
      </c>
      <c r="Z44" s="131"/>
    </row>
    <row r="45" spans="1:26" x14ac:dyDescent="0.2">
      <c r="A45" s="75">
        <v>2015</v>
      </c>
      <c r="B45" s="76" t="s">
        <v>86</v>
      </c>
      <c r="C45" s="85"/>
      <c r="D45" s="86">
        <v>27207724.193333331</v>
      </c>
      <c r="E45" s="86"/>
      <c r="F45" s="87"/>
      <c r="G45" s="88">
        <v>20698</v>
      </c>
      <c r="H45" s="86"/>
      <c r="I45" s="88">
        <v>1772</v>
      </c>
      <c r="J45" s="89"/>
      <c r="K45" s="90"/>
      <c r="L45" s="88">
        <v>156</v>
      </c>
      <c r="M45" s="86"/>
      <c r="N45" s="91"/>
      <c r="O45" s="88">
        <v>515</v>
      </c>
      <c r="P45" s="89"/>
      <c r="Q45" s="92"/>
      <c r="R45" s="88">
        <v>6794</v>
      </c>
      <c r="S45" s="89"/>
      <c r="T45" s="90"/>
      <c r="U45" s="88">
        <v>255</v>
      </c>
      <c r="V45" s="89"/>
      <c r="W45" s="90"/>
      <c r="X45" s="88">
        <v>0</v>
      </c>
      <c r="Z45" s="131"/>
    </row>
    <row r="46" spans="1:26" x14ac:dyDescent="0.2">
      <c r="A46" s="75">
        <v>2015</v>
      </c>
      <c r="B46" s="76" t="s">
        <v>87</v>
      </c>
      <c r="C46" s="85"/>
      <c r="D46" s="86">
        <v>27907416.640533332</v>
      </c>
      <c r="E46" s="86"/>
      <c r="F46" s="87"/>
      <c r="G46" s="88">
        <v>20720</v>
      </c>
      <c r="H46" s="86"/>
      <c r="I46" s="88">
        <v>1773</v>
      </c>
      <c r="J46" s="89"/>
      <c r="K46" s="90"/>
      <c r="L46" s="88">
        <v>157</v>
      </c>
      <c r="M46" s="86"/>
      <c r="N46" s="91"/>
      <c r="O46" s="88">
        <v>515</v>
      </c>
      <c r="P46" s="89"/>
      <c r="Q46" s="92"/>
      <c r="R46" s="88">
        <v>6796</v>
      </c>
      <c r="S46" s="89"/>
      <c r="T46" s="90"/>
      <c r="U46" s="88">
        <v>255</v>
      </c>
      <c r="V46" s="89"/>
      <c r="W46" s="90"/>
      <c r="X46" s="88">
        <v>0</v>
      </c>
      <c r="Z46" s="131"/>
    </row>
    <row r="47" spans="1:26" x14ac:dyDescent="0.2">
      <c r="A47" s="75">
        <v>2015</v>
      </c>
      <c r="B47" s="76" t="s">
        <v>88</v>
      </c>
      <c r="C47" s="85"/>
      <c r="D47" s="86">
        <v>30150193.52733333</v>
      </c>
      <c r="E47" s="86"/>
      <c r="F47" s="87">
        <v>157973719</v>
      </c>
      <c r="G47" s="88">
        <v>20735</v>
      </c>
      <c r="H47" s="86">
        <v>54312604</v>
      </c>
      <c r="I47" s="88">
        <v>1775</v>
      </c>
      <c r="J47" s="89">
        <v>139796962</v>
      </c>
      <c r="K47" s="90">
        <v>402768</v>
      </c>
      <c r="L47" s="88">
        <v>157</v>
      </c>
      <c r="M47" s="86">
        <v>753964</v>
      </c>
      <c r="N47" s="91">
        <v>2077</v>
      </c>
      <c r="O47" s="88">
        <v>515</v>
      </c>
      <c r="P47" s="89">
        <v>2284687</v>
      </c>
      <c r="Q47" s="92">
        <v>6476</v>
      </c>
      <c r="R47" s="88">
        <v>6796</v>
      </c>
      <c r="S47" s="89">
        <v>970041</v>
      </c>
      <c r="T47" s="90"/>
      <c r="U47" s="88">
        <v>255</v>
      </c>
      <c r="V47" s="89">
        <v>277079</v>
      </c>
      <c r="W47" s="90">
        <v>479</v>
      </c>
      <c r="X47" s="88">
        <v>0</v>
      </c>
      <c r="Z47" s="131"/>
    </row>
    <row r="48" spans="1:26" x14ac:dyDescent="0.2">
      <c r="A48" s="75">
        <v>2016</v>
      </c>
      <c r="B48" s="76" t="s">
        <v>78</v>
      </c>
      <c r="C48" s="85"/>
      <c r="D48" s="78">
        <v>33030100.046666667</v>
      </c>
      <c r="E48" s="78"/>
      <c r="F48" s="79"/>
      <c r="G48" s="80">
        <v>20753</v>
      </c>
      <c r="H48" s="78"/>
      <c r="I48" s="80">
        <v>1760</v>
      </c>
      <c r="J48" s="81"/>
      <c r="K48" s="82"/>
      <c r="L48" s="80">
        <v>157</v>
      </c>
      <c r="M48" s="78"/>
      <c r="N48" s="83"/>
      <c r="O48" s="80">
        <v>514</v>
      </c>
      <c r="P48" s="81"/>
      <c r="Q48" s="84"/>
      <c r="R48" s="80">
        <v>6821</v>
      </c>
      <c r="S48" s="81"/>
      <c r="T48" s="82"/>
      <c r="U48" s="80">
        <v>259</v>
      </c>
      <c r="V48" s="81"/>
      <c r="W48" s="82"/>
      <c r="X48" s="80">
        <v>0</v>
      </c>
      <c r="Z48" s="131"/>
    </row>
    <row r="49" spans="1:26" x14ac:dyDescent="0.2">
      <c r="A49" s="75">
        <v>2016</v>
      </c>
      <c r="B49" s="76" t="s">
        <v>79</v>
      </c>
      <c r="C49" s="85"/>
      <c r="D49" s="86">
        <v>30335368.476666667</v>
      </c>
      <c r="E49" s="86"/>
      <c r="F49" s="87"/>
      <c r="G49" s="88">
        <v>20779</v>
      </c>
      <c r="H49" s="86"/>
      <c r="I49" s="88">
        <v>1760</v>
      </c>
      <c r="J49" s="89"/>
      <c r="K49" s="90"/>
      <c r="L49" s="88">
        <v>156</v>
      </c>
      <c r="M49" s="86"/>
      <c r="N49" s="91"/>
      <c r="O49" s="88">
        <v>513</v>
      </c>
      <c r="P49" s="89"/>
      <c r="Q49" s="92"/>
      <c r="R49" s="88">
        <v>6825</v>
      </c>
      <c r="S49" s="89"/>
      <c r="T49" s="90"/>
      <c r="U49" s="88">
        <v>259</v>
      </c>
      <c r="V49" s="89"/>
      <c r="W49" s="90"/>
      <c r="X49" s="88">
        <v>0</v>
      </c>
      <c r="Z49" s="131"/>
    </row>
    <row r="50" spans="1:26" x14ac:dyDescent="0.2">
      <c r="A50" s="75">
        <v>2016</v>
      </c>
      <c r="B50" s="76" t="s">
        <v>80</v>
      </c>
      <c r="C50" s="85"/>
      <c r="D50" s="86">
        <v>29470505.726666667</v>
      </c>
      <c r="E50" s="86"/>
      <c r="F50" s="87"/>
      <c r="G50" s="88">
        <v>20778</v>
      </c>
      <c r="H50" s="86"/>
      <c r="I50" s="88">
        <v>1764</v>
      </c>
      <c r="J50" s="89"/>
      <c r="K50" s="90"/>
      <c r="L50" s="88">
        <v>157</v>
      </c>
      <c r="M50" s="86"/>
      <c r="N50" s="91"/>
      <c r="O50" s="88">
        <v>512</v>
      </c>
      <c r="P50" s="89"/>
      <c r="Q50" s="92"/>
      <c r="R50" s="88">
        <v>6825</v>
      </c>
      <c r="S50" s="89"/>
      <c r="T50" s="90"/>
      <c r="U50" s="88">
        <v>259</v>
      </c>
      <c r="V50" s="89"/>
      <c r="W50" s="90"/>
      <c r="X50" s="88">
        <v>0</v>
      </c>
      <c r="Z50" s="131"/>
    </row>
    <row r="51" spans="1:26" x14ac:dyDescent="0.2">
      <c r="A51" s="75">
        <v>2016</v>
      </c>
      <c r="B51" s="76" t="s">
        <v>81</v>
      </c>
      <c r="C51" s="85"/>
      <c r="D51" s="86">
        <v>27500006.806666669</v>
      </c>
      <c r="E51" s="86"/>
      <c r="F51" s="87"/>
      <c r="G51" s="88">
        <v>20791</v>
      </c>
      <c r="H51" s="86"/>
      <c r="I51" s="88">
        <v>1767</v>
      </c>
      <c r="J51" s="89"/>
      <c r="K51" s="90"/>
      <c r="L51" s="88">
        <v>159</v>
      </c>
      <c r="M51" s="86"/>
      <c r="N51" s="91"/>
      <c r="O51" s="88">
        <v>511</v>
      </c>
      <c r="P51" s="89"/>
      <c r="Q51" s="92"/>
      <c r="R51" s="88">
        <v>6825</v>
      </c>
      <c r="S51" s="89"/>
      <c r="T51" s="90"/>
      <c r="U51" s="88">
        <v>259</v>
      </c>
      <c r="V51" s="89"/>
      <c r="W51" s="90"/>
      <c r="X51" s="88">
        <v>0</v>
      </c>
      <c r="Z51" s="131"/>
    </row>
    <row r="52" spans="1:26" x14ac:dyDescent="0.2">
      <c r="A52" s="75">
        <v>2016</v>
      </c>
      <c r="B52" s="76" t="s">
        <v>47</v>
      </c>
      <c r="C52" s="85"/>
      <c r="D52" s="86">
        <v>28052824.666666668</v>
      </c>
      <c r="E52" s="86"/>
      <c r="F52" s="87"/>
      <c r="G52" s="88">
        <v>20791</v>
      </c>
      <c r="H52" s="86"/>
      <c r="I52" s="88">
        <v>1772</v>
      </c>
      <c r="J52" s="89"/>
      <c r="K52" s="90"/>
      <c r="L52" s="88">
        <v>159</v>
      </c>
      <c r="M52" s="86"/>
      <c r="N52" s="91"/>
      <c r="O52" s="88">
        <v>510</v>
      </c>
      <c r="P52" s="89"/>
      <c r="Q52" s="92"/>
      <c r="R52" s="88">
        <v>6825</v>
      </c>
      <c r="S52" s="89"/>
      <c r="T52" s="90"/>
      <c r="U52" s="88">
        <v>259</v>
      </c>
      <c r="V52" s="89"/>
      <c r="W52" s="90"/>
      <c r="X52" s="88">
        <v>0</v>
      </c>
      <c r="Z52" s="131"/>
    </row>
    <row r="53" spans="1:26" x14ac:dyDescent="0.2">
      <c r="A53" s="75">
        <v>2016</v>
      </c>
      <c r="B53" s="76" t="s">
        <v>82</v>
      </c>
      <c r="C53" s="85"/>
      <c r="D53" s="86">
        <v>31979033.996666666</v>
      </c>
      <c r="E53" s="86"/>
      <c r="F53" s="87"/>
      <c r="G53" s="88">
        <v>20805</v>
      </c>
      <c r="H53" s="86"/>
      <c r="I53" s="88">
        <v>1770</v>
      </c>
      <c r="J53" s="89"/>
      <c r="K53" s="90"/>
      <c r="L53" s="88">
        <v>158</v>
      </c>
      <c r="M53" s="86"/>
      <c r="N53" s="91"/>
      <c r="O53" s="88">
        <v>509</v>
      </c>
      <c r="P53" s="89"/>
      <c r="Q53" s="92"/>
      <c r="R53" s="88">
        <v>6825</v>
      </c>
      <c r="S53" s="89"/>
      <c r="T53" s="90"/>
      <c r="U53" s="88">
        <v>259</v>
      </c>
      <c r="V53" s="89"/>
      <c r="W53" s="90"/>
      <c r="X53" s="88">
        <v>0</v>
      </c>
      <c r="Z53" s="131"/>
    </row>
    <row r="54" spans="1:26" x14ac:dyDescent="0.2">
      <c r="A54" s="75">
        <v>2016</v>
      </c>
      <c r="B54" s="76" t="s">
        <v>83</v>
      </c>
      <c r="C54" s="85"/>
      <c r="D54" s="86">
        <v>38582728.506666668</v>
      </c>
      <c r="E54" s="86"/>
      <c r="F54" s="87"/>
      <c r="G54" s="88">
        <v>20835</v>
      </c>
      <c r="H54" s="86"/>
      <c r="I54" s="88">
        <v>1768</v>
      </c>
      <c r="J54" s="89"/>
      <c r="K54" s="90"/>
      <c r="L54" s="88">
        <v>158</v>
      </c>
      <c r="M54" s="86"/>
      <c r="N54" s="91"/>
      <c r="O54" s="88">
        <v>508</v>
      </c>
      <c r="P54" s="89"/>
      <c r="Q54" s="92"/>
      <c r="R54" s="88">
        <v>6825</v>
      </c>
      <c r="S54" s="89"/>
      <c r="T54" s="90"/>
      <c r="U54" s="88">
        <v>259</v>
      </c>
      <c r="V54" s="89"/>
      <c r="W54" s="90"/>
      <c r="X54" s="88">
        <v>0</v>
      </c>
      <c r="Z54" s="131"/>
    </row>
    <row r="55" spans="1:26" x14ac:dyDescent="0.2">
      <c r="A55" s="75">
        <v>2016</v>
      </c>
      <c r="B55" s="76" t="s">
        <v>84</v>
      </c>
      <c r="C55" s="85"/>
      <c r="D55" s="86">
        <v>41437079.986666664</v>
      </c>
      <c r="E55" s="86"/>
      <c r="F55" s="87"/>
      <c r="G55" s="88">
        <v>20842</v>
      </c>
      <c r="H55" s="86"/>
      <c r="I55" s="88">
        <v>1774</v>
      </c>
      <c r="J55" s="89"/>
      <c r="K55" s="90"/>
      <c r="L55" s="88">
        <v>159</v>
      </c>
      <c r="M55" s="86"/>
      <c r="N55" s="91"/>
      <c r="O55" s="88">
        <v>507</v>
      </c>
      <c r="P55" s="89"/>
      <c r="Q55" s="92"/>
      <c r="R55" s="88">
        <v>6825</v>
      </c>
      <c r="S55" s="89"/>
      <c r="T55" s="90"/>
      <c r="U55" s="88">
        <v>263</v>
      </c>
      <c r="V55" s="89"/>
      <c r="W55" s="90"/>
      <c r="X55" s="88">
        <v>0</v>
      </c>
      <c r="Z55" s="131"/>
    </row>
    <row r="56" spans="1:26" x14ac:dyDescent="0.2">
      <c r="A56" s="75">
        <v>2016</v>
      </c>
      <c r="B56" s="76" t="s">
        <v>85</v>
      </c>
      <c r="C56" s="85"/>
      <c r="D56" s="86">
        <v>31887811.926666666</v>
      </c>
      <c r="E56" s="86"/>
      <c r="F56" s="87"/>
      <c r="G56" s="88">
        <v>20849</v>
      </c>
      <c r="H56" s="86"/>
      <c r="I56" s="88">
        <v>1775</v>
      </c>
      <c r="J56" s="89"/>
      <c r="K56" s="90"/>
      <c r="L56" s="88">
        <v>160</v>
      </c>
      <c r="M56" s="86"/>
      <c r="N56" s="91"/>
      <c r="O56" s="88">
        <v>506</v>
      </c>
      <c r="P56" s="89"/>
      <c r="Q56" s="92"/>
      <c r="R56" s="88">
        <v>6825</v>
      </c>
      <c r="S56" s="89"/>
      <c r="T56" s="90"/>
      <c r="U56" s="88">
        <v>265</v>
      </c>
      <c r="V56" s="89"/>
      <c r="W56" s="90"/>
      <c r="X56" s="88">
        <v>0</v>
      </c>
      <c r="Z56" s="131"/>
    </row>
    <row r="57" spans="1:26" x14ac:dyDescent="0.2">
      <c r="A57" s="75">
        <v>2016</v>
      </c>
      <c r="B57" s="76" t="s">
        <v>86</v>
      </c>
      <c r="C57" s="85"/>
      <c r="D57" s="86">
        <v>27632019.866666667</v>
      </c>
      <c r="E57" s="86"/>
      <c r="F57" s="87"/>
      <c r="G57" s="88">
        <v>20857</v>
      </c>
      <c r="H57" s="86"/>
      <c r="I57" s="88">
        <v>1775</v>
      </c>
      <c r="J57" s="89"/>
      <c r="K57" s="90"/>
      <c r="L57" s="88">
        <v>161</v>
      </c>
      <c r="M57" s="86"/>
      <c r="N57" s="91"/>
      <c r="O57" s="88">
        <v>506</v>
      </c>
      <c r="P57" s="89"/>
      <c r="Q57" s="92"/>
      <c r="R57" s="88">
        <v>6825</v>
      </c>
      <c r="S57" s="89"/>
      <c r="T57" s="90"/>
      <c r="U57" s="88">
        <v>265</v>
      </c>
      <c r="V57" s="89"/>
      <c r="W57" s="90"/>
      <c r="X57" s="88">
        <v>0</v>
      </c>
      <c r="Z57" s="131"/>
    </row>
    <row r="58" spans="1:26" x14ac:dyDescent="0.2">
      <c r="A58" s="75">
        <v>2016</v>
      </c>
      <c r="B58" s="76" t="s">
        <v>87</v>
      </c>
      <c r="C58" s="85"/>
      <c r="D58" s="86">
        <v>28072689.79275357</v>
      </c>
      <c r="E58" s="86"/>
      <c r="F58" s="87"/>
      <c r="G58" s="88">
        <v>20883</v>
      </c>
      <c r="H58" s="86"/>
      <c r="I58" s="88">
        <v>1779</v>
      </c>
      <c r="J58" s="89"/>
      <c r="K58" s="90"/>
      <c r="L58" s="88">
        <v>162</v>
      </c>
      <c r="M58" s="86"/>
      <c r="N58" s="91"/>
      <c r="O58" s="88">
        <v>505</v>
      </c>
      <c r="P58" s="89"/>
      <c r="Q58" s="92"/>
      <c r="R58" s="88">
        <v>6825</v>
      </c>
      <c r="S58" s="89"/>
      <c r="T58" s="90"/>
      <c r="U58" s="88">
        <v>265</v>
      </c>
      <c r="V58" s="89"/>
      <c r="W58" s="90"/>
      <c r="X58" s="88">
        <v>0</v>
      </c>
      <c r="Z58" s="131"/>
    </row>
    <row r="59" spans="1:26" x14ac:dyDescent="0.2">
      <c r="A59" s="75">
        <v>2016</v>
      </c>
      <c r="B59" s="76" t="s">
        <v>88</v>
      </c>
      <c r="C59" s="85"/>
      <c r="D59" s="86">
        <v>32042035.384939767</v>
      </c>
      <c r="E59" s="86"/>
      <c r="F59" s="87">
        <v>163109690</v>
      </c>
      <c r="G59" s="88">
        <v>20907</v>
      </c>
      <c r="H59" s="86">
        <v>53545593</v>
      </c>
      <c r="I59" s="88">
        <v>1783</v>
      </c>
      <c r="J59" s="89">
        <v>143431671</v>
      </c>
      <c r="K59" s="90">
        <v>396528</v>
      </c>
      <c r="L59" s="88">
        <v>162</v>
      </c>
      <c r="M59" s="86">
        <v>749437</v>
      </c>
      <c r="N59" s="91">
        <v>2061</v>
      </c>
      <c r="O59" s="88">
        <v>504</v>
      </c>
      <c r="P59" s="89">
        <v>1575426</v>
      </c>
      <c r="Q59" s="92">
        <v>4561</v>
      </c>
      <c r="R59" s="88">
        <v>6829</v>
      </c>
      <c r="S59" s="89">
        <v>976708</v>
      </c>
      <c r="T59" s="90"/>
      <c r="U59" s="88">
        <v>265</v>
      </c>
      <c r="V59" s="89">
        <v>0</v>
      </c>
      <c r="W59" s="90">
        <v>0</v>
      </c>
      <c r="X59" s="88">
        <v>0</v>
      </c>
      <c r="Z59" s="131"/>
    </row>
    <row r="60" spans="1:26" x14ac:dyDescent="0.2">
      <c r="A60" s="75">
        <v>2017</v>
      </c>
      <c r="B60" s="76" t="s">
        <v>78</v>
      </c>
      <c r="C60" s="85"/>
      <c r="D60" s="78">
        <v>32603243.687800001</v>
      </c>
      <c r="E60" s="78"/>
      <c r="F60" s="79"/>
      <c r="G60" s="80">
        <v>20916</v>
      </c>
      <c r="H60" s="78"/>
      <c r="I60" s="80">
        <v>1786</v>
      </c>
      <c r="J60" s="81"/>
      <c r="K60" s="82"/>
      <c r="L60" s="80">
        <v>160</v>
      </c>
      <c r="M60" s="78"/>
      <c r="N60" s="83"/>
      <c r="O60" s="80">
        <v>506</v>
      </c>
      <c r="P60" s="81"/>
      <c r="Q60" s="84"/>
      <c r="R60" s="80">
        <v>6850</v>
      </c>
      <c r="S60" s="81"/>
      <c r="T60" s="82"/>
      <c r="U60" s="80">
        <v>262</v>
      </c>
      <c r="V60" s="81"/>
      <c r="W60" s="82"/>
      <c r="X60" s="80">
        <v>0</v>
      </c>
      <c r="Z60" s="131"/>
    </row>
    <row r="61" spans="1:26" x14ac:dyDescent="0.2">
      <c r="A61" s="75">
        <v>2017</v>
      </c>
      <c r="B61" s="76" t="s">
        <v>79</v>
      </c>
      <c r="C61" s="85"/>
      <c r="D61" s="86">
        <v>28442344.894508798</v>
      </c>
      <c r="E61" s="86"/>
      <c r="F61" s="87"/>
      <c r="G61" s="88">
        <v>20925</v>
      </c>
      <c r="H61" s="86"/>
      <c r="I61" s="88">
        <v>1785</v>
      </c>
      <c r="J61" s="89"/>
      <c r="K61" s="90"/>
      <c r="L61" s="88">
        <v>160</v>
      </c>
      <c r="M61" s="86"/>
      <c r="N61" s="91"/>
      <c r="O61" s="88">
        <v>504</v>
      </c>
      <c r="P61" s="89"/>
      <c r="Q61" s="92"/>
      <c r="R61" s="88">
        <v>6850</v>
      </c>
      <c r="S61" s="89"/>
      <c r="T61" s="90"/>
      <c r="U61" s="88">
        <v>261</v>
      </c>
      <c r="V61" s="89"/>
      <c r="W61" s="90"/>
      <c r="X61" s="88">
        <v>0</v>
      </c>
      <c r="Z61" s="131"/>
    </row>
    <row r="62" spans="1:26" x14ac:dyDescent="0.2">
      <c r="A62" s="75">
        <v>2017</v>
      </c>
      <c r="B62" s="76" t="s">
        <v>80</v>
      </c>
      <c r="C62" s="85"/>
      <c r="D62" s="86">
        <v>31091148.4114093</v>
      </c>
      <c r="E62" s="86"/>
      <c r="F62" s="87"/>
      <c r="G62" s="88">
        <v>20933</v>
      </c>
      <c r="H62" s="86"/>
      <c r="I62" s="88">
        <v>1789</v>
      </c>
      <c r="J62" s="89"/>
      <c r="K62" s="90"/>
      <c r="L62" s="88">
        <v>159</v>
      </c>
      <c r="M62" s="86"/>
      <c r="N62" s="91"/>
      <c r="O62" s="88">
        <v>503</v>
      </c>
      <c r="P62" s="89"/>
      <c r="Q62" s="92"/>
      <c r="R62" s="88">
        <v>6850</v>
      </c>
      <c r="S62" s="89"/>
      <c r="T62" s="90"/>
      <c r="U62" s="88">
        <v>262</v>
      </c>
      <c r="V62" s="89"/>
      <c r="W62" s="90"/>
      <c r="X62" s="88">
        <v>0</v>
      </c>
      <c r="Z62" s="131"/>
    </row>
    <row r="63" spans="1:26" x14ac:dyDescent="0.2">
      <c r="A63" s="75">
        <v>2017</v>
      </c>
      <c r="B63" s="76" t="s">
        <v>81</v>
      </c>
      <c r="C63" s="85"/>
      <c r="D63" s="86">
        <v>26726381.985407598</v>
      </c>
      <c r="E63" s="86"/>
      <c r="F63" s="87"/>
      <c r="G63" s="88">
        <v>20931</v>
      </c>
      <c r="H63" s="86"/>
      <c r="I63" s="88">
        <v>1793</v>
      </c>
      <c r="J63" s="89"/>
      <c r="K63" s="90"/>
      <c r="L63" s="88">
        <v>162</v>
      </c>
      <c r="M63" s="86"/>
      <c r="N63" s="91"/>
      <c r="O63" s="88">
        <v>503</v>
      </c>
      <c r="P63" s="89"/>
      <c r="Q63" s="92"/>
      <c r="R63" s="88">
        <v>6850</v>
      </c>
      <c r="S63" s="89"/>
      <c r="T63" s="90"/>
      <c r="U63" s="88">
        <v>262</v>
      </c>
      <c r="V63" s="89"/>
      <c r="W63" s="90"/>
      <c r="X63" s="88">
        <v>0</v>
      </c>
      <c r="Z63" s="131"/>
    </row>
    <row r="64" spans="1:26" x14ac:dyDescent="0.2">
      <c r="A64" s="75">
        <v>2017</v>
      </c>
      <c r="B64" s="76" t="s">
        <v>47</v>
      </c>
      <c r="C64" s="85"/>
      <c r="D64" s="86">
        <v>27100631.439999998</v>
      </c>
      <c r="E64" s="86"/>
      <c r="F64" s="87"/>
      <c r="G64" s="88">
        <v>20951</v>
      </c>
      <c r="H64" s="86"/>
      <c r="I64" s="88">
        <v>1797</v>
      </c>
      <c r="J64" s="89"/>
      <c r="K64" s="90"/>
      <c r="L64" s="88">
        <v>159</v>
      </c>
      <c r="M64" s="86"/>
      <c r="N64" s="91"/>
      <c r="O64" s="88">
        <v>501</v>
      </c>
      <c r="P64" s="89"/>
      <c r="Q64" s="92"/>
      <c r="R64" s="88">
        <v>6846</v>
      </c>
      <c r="S64" s="89"/>
      <c r="T64" s="90"/>
      <c r="U64" s="88">
        <v>262</v>
      </c>
      <c r="V64" s="89"/>
      <c r="W64" s="90"/>
      <c r="X64" s="88">
        <v>0</v>
      </c>
      <c r="Z64" s="131"/>
    </row>
    <row r="65" spans="1:26" x14ac:dyDescent="0.2">
      <c r="A65" s="75">
        <v>2017</v>
      </c>
      <c r="B65" s="76" t="s">
        <v>82</v>
      </c>
      <c r="C65" s="85"/>
      <c r="D65" s="86">
        <v>31069771.245993197</v>
      </c>
      <c r="E65" s="86"/>
      <c r="F65" s="87"/>
      <c r="G65" s="88">
        <v>20960</v>
      </c>
      <c r="H65" s="86"/>
      <c r="I65" s="88">
        <v>1792</v>
      </c>
      <c r="J65" s="89"/>
      <c r="K65" s="90"/>
      <c r="L65" s="88">
        <v>159</v>
      </c>
      <c r="M65" s="86"/>
      <c r="N65" s="91"/>
      <c r="O65" s="88">
        <v>499</v>
      </c>
      <c r="P65" s="89"/>
      <c r="Q65" s="92"/>
      <c r="R65" s="88">
        <v>6846</v>
      </c>
      <c r="S65" s="89"/>
      <c r="T65" s="90"/>
      <c r="U65" s="88">
        <v>262</v>
      </c>
      <c r="V65" s="89"/>
      <c r="W65" s="90"/>
      <c r="X65" s="88">
        <v>0</v>
      </c>
      <c r="Z65" s="131"/>
    </row>
    <row r="66" spans="1:26" x14ac:dyDescent="0.2">
      <c r="A66" s="75">
        <v>2017</v>
      </c>
      <c r="B66" s="76" t="s">
        <v>83</v>
      </c>
      <c r="C66" s="85"/>
      <c r="D66" s="86">
        <v>35551342.793448403</v>
      </c>
      <c r="E66" s="86"/>
      <c r="F66" s="87"/>
      <c r="G66" s="88">
        <v>20990</v>
      </c>
      <c r="H66" s="86"/>
      <c r="I66" s="88">
        <v>1789</v>
      </c>
      <c r="J66" s="89"/>
      <c r="K66" s="90"/>
      <c r="L66" s="88">
        <v>158</v>
      </c>
      <c r="M66" s="86"/>
      <c r="N66" s="91"/>
      <c r="O66" s="88">
        <v>501</v>
      </c>
      <c r="P66" s="89"/>
      <c r="Q66" s="92"/>
      <c r="R66" s="88">
        <v>6845</v>
      </c>
      <c r="S66" s="89"/>
      <c r="T66" s="90"/>
      <c r="U66" s="88">
        <v>262</v>
      </c>
      <c r="V66" s="89"/>
      <c r="W66" s="90"/>
      <c r="X66" s="88">
        <v>0</v>
      </c>
      <c r="Z66" s="131"/>
    </row>
    <row r="67" spans="1:26" x14ac:dyDescent="0.2">
      <c r="A67" s="75">
        <v>2017</v>
      </c>
      <c r="B67" s="76" t="s">
        <v>84</v>
      </c>
      <c r="C67" s="85"/>
      <c r="D67" s="86">
        <v>34125261.1615927</v>
      </c>
      <c r="E67" s="86"/>
      <c r="F67" s="87"/>
      <c r="G67" s="88">
        <v>21002</v>
      </c>
      <c r="H67" s="86"/>
      <c r="I67" s="88">
        <v>1791</v>
      </c>
      <c r="J67" s="89"/>
      <c r="K67" s="90"/>
      <c r="L67" s="88">
        <v>159</v>
      </c>
      <c r="M67" s="86"/>
      <c r="N67" s="91"/>
      <c r="O67" s="88">
        <v>501</v>
      </c>
      <c r="P67" s="89"/>
      <c r="Q67" s="92"/>
      <c r="R67" s="88">
        <v>6845</v>
      </c>
      <c r="S67" s="89"/>
      <c r="T67" s="90"/>
      <c r="U67" s="88">
        <v>262</v>
      </c>
      <c r="V67" s="89"/>
      <c r="W67" s="90"/>
      <c r="X67" s="88">
        <v>0</v>
      </c>
      <c r="Z67" s="131"/>
    </row>
    <row r="68" spans="1:26" x14ac:dyDescent="0.2">
      <c r="A68" s="75">
        <v>2017</v>
      </c>
      <c r="B68" s="76" t="s">
        <v>85</v>
      </c>
      <c r="C68" s="85"/>
      <c r="D68" s="86">
        <v>31037006.541170798</v>
      </c>
      <c r="E68" s="86"/>
      <c r="F68" s="87"/>
      <c r="G68" s="88">
        <v>21017</v>
      </c>
      <c r="H68" s="86"/>
      <c r="I68" s="88">
        <v>1792</v>
      </c>
      <c r="J68" s="89"/>
      <c r="K68" s="90"/>
      <c r="L68" s="88">
        <v>159</v>
      </c>
      <c r="M68" s="86"/>
      <c r="N68" s="91"/>
      <c r="O68" s="88">
        <v>501</v>
      </c>
      <c r="P68" s="89"/>
      <c r="Q68" s="92"/>
      <c r="R68" s="88">
        <v>6885</v>
      </c>
      <c r="S68" s="89"/>
      <c r="T68" s="90"/>
      <c r="U68" s="88">
        <v>262</v>
      </c>
      <c r="V68" s="89"/>
      <c r="W68" s="90"/>
      <c r="X68" s="88">
        <v>0</v>
      </c>
      <c r="Z68" s="131"/>
    </row>
    <row r="69" spans="1:26" x14ac:dyDescent="0.2">
      <c r="A69" s="75">
        <v>2017</v>
      </c>
      <c r="B69" s="76" t="s">
        <v>86</v>
      </c>
      <c r="C69" s="85"/>
      <c r="D69" s="86">
        <v>28262231.379913501</v>
      </c>
      <c r="E69" s="86"/>
      <c r="F69" s="87"/>
      <c r="G69" s="88">
        <v>21047</v>
      </c>
      <c r="H69" s="86"/>
      <c r="I69" s="88">
        <v>1791</v>
      </c>
      <c r="J69" s="89"/>
      <c r="K69" s="90"/>
      <c r="L69" s="88">
        <v>159</v>
      </c>
      <c r="M69" s="86"/>
      <c r="N69" s="91"/>
      <c r="O69" s="88">
        <v>494</v>
      </c>
      <c r="P69" s="89"/>
      <c r="Q69" s="92"/>
      <c r="R69" s="88">
        <v>6885</v>
      </c>
      <c r="S69" s="89"/>
      <c r="T69" s="90"/>
      <c r="U69" s="88">
        <v>262</v>
      </c>
      <c r="V69" s="89"/>
      <c r="W69" s="90"/>
      <c r="X69" s="88">
        <v>0</v>
      </c>
      <c r="Z69" s="131"/>
    </row>
    <row r="70" spans="1:26" x14ac:dyDescent="0.2">
      <c r="A70" s="75">
        <v>2017</v>
      </c>
      <c r="B70" s="76" t="s">
        <v>87</v>
      </c>
      <c r="C70" s="85"/>
      <c r="D70" s="86">
        <v>29451606.664241601</v>
      </c>
      <c r="E70" s="86"/>
      <c r="F70" s="87"/>
      <c r="G70" s="88">
        <v>21074</v>
      </c>
      <c r="H70" s="86"/>
      <c r="I70" s="88">
        <v>1795</v>
      </c>
      <c r="J70" s="89"/>
      <c r="K70" s="90"/>
      <c r="L70" s="88">
        <v>158</v>
      </c>
      <c r="M70" s="86"/>
      <c r="N70" s="91"/>
      <c r="O70" s="88">
        <v>494</v>
      </c>
      <c r="P70" s="89"/>
      <c r="Q70" s="92"/>
      <c r="R70" s="88">
        <v>6916</v>
      </c>
      <c r="S70" s="89"/>
      <c r="T70" s="90"/>
      <c r="U70" s="88">
        <v>262</v>
      </c>
      <c r="V70" s="89"/>
      <c r="W70" s="90"/>
      <c r="X70" s="88">
        <v>0</v>
      </c>
      <c r="Z70" s="131"/>
    </row>
    <row r="71" spans="1:26" x14ac:dyDescent="0.2">
      <c r="A71" s="75">
        <v>2017</v>
      </c>
      <c r="B71" s="76" t="s">
        <v>88</v>
      </c>
      <c r="C71" s="85"/>
      <c r="D71" s="86">
        <v>33135674.439350799</v>
      </c>
      <c r="E71" s="86"/>
      <c r="F71" s="87">
        <v>153825741</v>
      </c>
      <c r="G71" s="88">
        <v>21093</v>
      </c>
      <c r="H71" s="86">
        <v>52319962</v>
      </c>
      <c r="I71" s="88">
        <v>1797</v>
      </c>
      <c r="J71" s="89">
        <v>144490127</v>
      </c>
      <c r="K71" s="90">
        <v>397736</v>
      </c>
      <c r="L71" s="88">
        <v>158</v>
      </c>
      <c r="M71" s="86">
        <v>729133</v>
      </c>
      <c r="N71" s="91">
        <v>2012</v>
      </c>
      <c r="O71" s="88">
        <v>494</v>
      </c>
      <c r="P71" s="89">
        <v>1393112</v>
      </c>
      <c r="Q71" s="92">
        <v>3890</v>
      </c>
      <c r="R71" s="88">
        <v>6916</v>
      </c>
      <c r="S71" s="89">
        <v>958727</v>
      </c>
      <c r="T71" s="90"/>
      <c r="U71" s="88">
        <v>262</v>
      </c>
      <c r="V71" s="89"/>
      <c r="W71" s="90"/>
      <c r="X71" s="88">
        <v>0</v>
      </c>
      <c r="Z71" s="131"/>
    </row>
    <row r="72" spans="1:26" x14ac:dyDescent="0.2">
      <c r="A72" s="75">
        <v>2018</v>
      </c>
      <c r="B72" s="76" t="s">
        <v>78</v>
      </c>
      <c r="C72" s="85"/>
      <c r="D72" s="78">
        <v>34633272.560236096</v>
      </c>
      <c r="E72" s="78"/>
      <c r="F72" s="79">
        <v>14901343</v>
      </c>
      <c r="G72" s="80">
        <v>21130</v>
      </c>
      <c r="H72" s="78">
        <v>5230358</v>
      </c>
      <c r="I72" s="80">
        <v>1801</v>
      </c>
      <c r="J72" s="81">
        <v>12909177.35</v>
      </c>
      <c r="K72" s="82">
        <v>32596</v>
      </c>
      <c r="L72" s="80">
        <v>158</v>
      </c>
      <c r="M72" s="78">
        <v>60351</v>
      </c>
      <c r="N72" s="83">
        <v>162</v>
      </c>
      <c r="O72" s="80">
        <v>494</v>
      </c>
      <c r="P72" s="81">
        <v>147450</v>
      </c>
      <c r="Q72" s="84">
        <v>324</v>
      </c>
      <c r="R72" s="80">
        <v>6916</v>
      </c>
      <c r="S72" s="81">
        <v>81115</v>
      </c>
      <c r="T72" s="82"/>
      <c r="U72" s="80">
        <v>262</v>
      </c>
      <c r="V72" s="81"/>
      <c r="W72" s="82"/>
      <c r="X72" s="80">
        <v>0</v>
      </c>
      <c r="Z72" s="131"/>
    </row>
    <row r="73" spans="1:26" x14ac:dyDescent="0.2">
      <c r="A73" s="75">
        <v>2018</v>
      </c>
      <c r="B73" s="76" t="s">
        <v>79</v>
      </c>
      <c r="C73" s="85"/>
      <c r="D73" s="86">
        <v>29707123.119004901</v>
      </c>
      <c r="E73" s="86"/>
      <c r="F73" s="87">
        <v>12355576</v>
      </c>
      <c r="G73" s="88">
        <v>21124</v>
      </c>
      <c r="H73" s="86">
        <v>4428225</v>
      </c>
      <c r="I73" s="88">
        <v>1796</v>
      </c>
      <c r="J73" s="89">
        <v>11400123.99</v>
      </c>
      <c r="K73" s="90">
        <v>32498</v>
      </c>
      <c r="L73" s="88">
        <v>162</v>
      </c>
      <c r="M73" s="86">
        <v>54005</v>
      </c>
      <c r="N73" s="91">
        <v>160</v>
      </c>
      <c r="O73" s="88">
        <v>494</v>
      </c>
      <c r="P73" s="89">
        <v>122874</v>
      </c>
      <c r="Q73" s="92">
        <v>326</v>
      </c>
      <c r="R73" s="88">
        <v>6916</v>
      </c>
      <c r="S73" s="89">
        <v>73264</v>
      </c>
      <c r="T73" s="90"/>
      <c r="U73" s="88">
        <v>262</v>
      </c>
      <c r="V73" s="89"/>
      <c r="W73" s="90"/>
      <c r="X73" s="88">
        <v>0</v>
      </c>
      <c r="Z73" s="131"/>
    </row>
    <row r="74" spans="1:26" x14ac:dyDescent="0.2">
      <c r="A74" s="75">
        <v>2018</v>
      </c>
      <c r="B74" s="76" t="s">
        <v>80</v>
      </c>
      <c r="C74" s="85"/>
      <c r="D74" s="86">
        <v>31571358.704649799</v>
      </c>
      <c r="E74" s="86"/>
      <c r="F74" s="87">
        <v>12817780</v>
      </c>
      <c r="G74" s="88">
        <v>21147</v>
      </c>
      <c r="H74" s="86">
        <v>4562007</v>
      </c>
      <c r="I74" s="88">
        <v>1795</v>
      </c>
      <c r="J74" s="89">
        <v>12783690.890000001</v>
      </c>
      <c r="K74" s="90">
        <v>32274</v>
      </c>
      <c r="L74" s="88">
        <v>162</v>
      </c>
      <c r="M74" s="86">
        <v>59217</v>
      </c>
      <c r="N74" s="91">
        <v>163</v>
      </c>
      <c r="O74" s="88">
        <v>493</v>
      </c>
      <c r="P74" s="89">
        <v>121717</v>
      </c>
      <c r="Q74" s="92">
        <v>326</v>
      </c>
      <c r="R74" s="88">
        <v>6961</v>
      </c>
      <c r="S74" s="89">
        <v>81115</v>
      </c>
      <c r="T74" s="90"/>
      <c r="U74" s="88">
        <v>262</v>
      </c>
      <c r="V74" s="89"/>
      <c r="W74" s="90"/>
      <c r="X74" s="88">
        <v>0</v>
      </c>
      <c r="Z74" s="131"/>
    </row>
    <row r="75" spans="1:26" x14ac:dyDescent="0.2">
      <c r="A75" s="75">
        <v>2018</v>
      </c>
      <c r="B75" s="76" t="s">
        <v>81</v>
      </c>
      <c r="C75" s="85"/>
      <c r="D75" s="86">
        <v>29502213.161825802</v>
      </c>
      <c r="E75" s="86"/>
      <c r="F75" s="87">
        <v>11729652</v>
      </c>
      <c r="G75" s="88">
        <v>21175</v>
      </c>
      <c r="H75" s="86">
        <v>4198584</v>
      </c>
      <c r="I75" s="88">
        <v>1794</v>
      </c>
      <c r="J75" s="89">
        <v>12188110.15</v>
      </c>
      <c r="K75" s="90">
        <v>32118</v>
      </c>
      <c r="L75" s="88">
        <v>164</v>
      </c>
      <c r="M75" s="86">
        <v>57277</v>
      </c>
      <c r="N75" s="91">
        <v>160</v>
      </c>
      <c r="O75" s="88">
        <v>493</v>
      </c>
      <c r="P75" s="89">
        <v>103317</v>
      </c>
      <c r="Q75" s="92">
        <v>326</v>
      </c>
      <c r="R75" s="88">
        <v>6969</v>
      </c>
      <c r="S75" s="89">
        <v>78512</v>
      </c>
      <c r="T75" s="90"/>
      <c r="U75" s="88">
        <v>262</v>
      </c>
      <c r="V75" s="89"/>
      <c r="W75" s="90"/>
      <c r="X75" s="88">
        <v>0</v>
      </c>
      <c r="Z75" s="131"/>
    </row>
    <row r="76" spans="1:26" x14ac:dyDescent="0.2">
      <c r="A76" s="75">
        <v>2018</v>
      </c>
      <c r="B76" s="76" t="s">
        <v>47</v>
      </c>
      <c r="C76" s="85"/>
      <c r="D76" s="86">
        <v>29818036.360710699</v>
      </c>
      <c r="E76" s="86"/>
      <c r="F76" s="87">
        <v>11604831</v>
      </c>
      <c r="G76" s="88">
        <v>21206</v>
      </c>
      <c r="H76" s="86">
        <v>3938316</v>
      </c>
      <c r="I76" s="88">
        <v>1796</v>
      </c>
      <c r="J76" s="89">
        <v>12623857.939999999</v>
      </c>
      <c r="K76" s="90">
        <v>32987</v>
      </c>
      <c r="L76" s="88">
        <v>166</v>
      </c>
      <c r="M76" s="86">
        <v>59168</v>
      </c>
      <c r="N76" s="91">
        <v>159</v>
      </c>
      <c r="O76" s="88">
        <v>491</v>
      </c>
      <c r="P76" s="89">
        <v>94050</v>
      </c>
      <c r="Q76" s="92">
        <v>326</v>
      </c>
      <c r="R76" s="88">
        <v>6965</v>
      </c>
      <c r="S76" s="89">
        <v>81115</v>
      </c>
      <c r="T76" s="90"/>
      <c r="U76" s="88">
        <v>262</v>
      </c>
      <c r="V76" s="89"/>
      <c r="W76" s="90"/>
      <c r="X76" s="88">
        <v>0</v>
      </c>
      <c r="Z76" s="131"/>
    </row>
    <row r="77" spans="1:26" x14ac:dyDescent="0.2">
      <c r="A77" s="75">
        <v>2018</v>
      </c>
      <c r="B77" s="76" t="s">
        <v>82</v>
      </c>
      <c r="C77" s="85"/>
      <c r="D77" s="86">
        <v>32564167.646594502</v>
      </c>
      <c r="E77" s="86"/>
      <c r="F77" s="87">
        <v>15171804</v>
      </c>
      <c r="G77" s="88">
        <v>21221</v>
      </c>
      <c r="H77" s="86">
        <v>4258118</v>
      </c>
      <c r="I77" s="88">
        <v>1796</v>
      </c>
      <c r="J77" s="89">
        <v>12889521.039999999</v>
      </c>
      <c r="K77" s="90">
        <v>34956</v>
      </c>
      <c r="L77" s="88">
        <v>165</v>
      </c>
      <c r="M77" s="86">
        <v>57141</v>
      </c>
      <c r="N77" s="91">
        <v>160</v>
      </c>
      <c r="O77" s="88">
        <v>491</v>
      </c>
      <c r="P77" s="89">
        <v>84728</v>
      </c>
      <c r="Q77" s="92">
        <v>326</v>
      </c>
      <c r="R77" s="88">
        <v>6966</v>
      </c>
      <c r="S77" s="89">
        <v>78512</v>
      </c>
      <c r="T77" s="90"/>
      <c r="U77" s="88">
        <v>263</v>
      </c>
      <c r="V77" s="89"/>
      <c r="W77" s="90"/>
      <c r="X77" s="88">
        <v>0</v>
      </c>
      <c r="Z77" s="131"/>
    </row>
    <row r="78" spans="1:26" x14ac:dyDescent="0.2">
      <c r="A78" s="75">
        <v>2018</v>
      </c>
      <c r="B78" s="76" t="s">
        <v>83</v>
      </c>
      <c r="C78" s="85"/>
      <c r="D78" s="86">
        <v>41016276.892574996</v>
      </c>
      <c r="E78" s="86"/>
      <c r="F78" s="87">
        <v>19443094</v>
      </c>
      <c r="G78" s="88">
        <v>21234</v>
      </c>
      <c r="H78" s="86">
        <v>4745474.8699999992</v>
      </c>
      <c r="I78" s="88">
        <v>1795</v>
      </c>
      <c r="J78" s="89">
        <v>13817843.890000002</v>
      </c>
      <c r="K78" s="90">
        <v>35861</v>
      </c>
      <c r="L78" s="88">
        <v>165</v>
      </c>
      <c r="M78" s="86">
        <v>59045</v>
      </c>
      <c r="N78" s="91">
        <v>160</v>
      </c>
      <c r="O78" s="88">
        <v>491</v>
      </c>
      <c r="P78" s="89">
        <v>91086.34</v>
      </c>
      <c r="Q78" s="92">
        <v>326</v>
      </c>
      <c r="R78" s="88">
        <v>6963</v>
      </c>
      <c r="S78" s="89">
        <v>81282</v>
      </c>
      <c r="T78" s="90"/>
      <c r="U78" s="88">
        <v>263</v>
      </c>
      <c r="V78" s="89"/>
      <c r="W78" s="90"/>
      <c r="X78" s="88">
        <v>0</v>
      </c>
      <c r="Z78" s="131"/>
    </row>
    <row r="79" spans="1:26" x14ac:dyDescent="0.2">
      <c r="A79" s="75">
        <v>2018</v>
      </c>
      <c r="B79" s="76" t="s">
        <v>84</v>
      </c>
      <c r="C79" s="85"/>
      <c r="D79" s="86">
        <v>39071849.328965105</v>
      </c>
      <c r="E79" s="86"/>
      <c r="F79" s="87">
        <v>18669911</v>
      </c>
      <c r="G79" s="88">
        <v>21275</v>
      </c>
      <c r="H79" s="86">
        <v>4700329.49</v>
      </c>
      <c r="I79" s="88">
        <v>1798</v>
      </c>
      <c r="J79" s="89">
        <v>13480363.869999999</v>
      </c>
      <c r="K79" s="90">
        <v>37016</v>
      </c>
      <c r="L79" s="88">
        <v>166</v>
      </c>
      <c r="M79" s="86">
        <v>58891</v>
      </c>
      <c r="N79" s="91">
        <v>159</v>
      </c>
      <c r="O79" s="88">
        <v>490</v>
      </c>
      <c r="P79" s="89">
        <v>102354.1</v>
      </c>
      <c r="Q79" s="92">
        <v>327</v>
      </c>
      <c r="R79" s="88">
        <v>6958</v>
      </c>
      <c r="S79" s="89">
        <v>81282</v>
      </c>
      <c r="T79" s="90"/>
      <c r="U79" s="88">
        <v>264</v>
      </c>
      <c r="V79" s="89"/>
      <c r="W79" s="90"/>
      <c r="X79" s="88">
        <v>0</v>
      </c>
      <c r="Z79" s="131"/>
    </row>
    <row r="80" spans="1:26" x14ac:dyDescent="0.2">
      <c r="A80" s="75">
        <v>2018</v>
      </c>
      <c r="B80" s="76" t="s">
        <v>85</v>
      </c>
      <c r="C80" s="85"/>
      <c r="D80" s="86">
        <v>33330014.256383102</v>
      </c>
      <c r="E80" s="86"/>
      <c r="F80" s="87">
        <v>14900927</v>
      </c>
      <c r="G80" s="88">
        <v>21307</v>
      </c>
      <c r="H80" s="86">
        <v>4124982.3499999996</v>
      </c>
      <c r="I80" s="88">
        <v>1799</v>
      </c>
      <c r="J80" s="89">
        <v>12846725.720000001</v>
      </c>
      <c r="K80" s="90">
        <v>35759</v>
      </c>
      <c r="L80" s="88">
        <v>166</v>
      </c>
      <c r="M80" s="86">
        <v>56091</v>
      </c>
      <c r="N80" s="91">
        <v>159</v>
      </c>
      <c r="O80" s="88">
        <v>490</v>
      </c>
      <c r="P80" s="89">
        <v>112929.76</v>
      </c>
      <c r="Q80" s="92">
        <v>327</v>
      </c>
      <c r="R80" s="88">
        <v>6965</v>
      </c>
      <c r="S80" s="89">
        <v>78673</v>
      </c>
      <c r="T80" s="90"/>
      <c r="U80" s="88">
        <v>264</v>
      </c>
      <c r="V80" s="89"/>
      <c r="W80" s="90"/>
      <c r="X80" s="88">
        <v>0</v>
      </c>
      <c r="Z80" s="131"/>
    </row>
    <row r="81" spans="1:26" x14ac:dyDescent="0.2">
      <c r="A81" s="75">
        <v>2018</v>
      </c>
      <c r="B81" s="76" t="s">
        <v>86</v>
      </c>
      <c r="C81" s="85"/>
      <c r="D81" s="86">
        <v>29522757.314444497</v>
      </c>
      <c r="E81" s="86"/>
      <c r="F81" s="87">
        <v>12158367</v>
      </c>
      <c r="G81" s="88">
        <v>21336</v>
      </c>
      <c r="H81" s="86">
        <v>4020251.98</v>
      </c>
      <c r="I81" s="88">
        <v>1803</v>
      </c>
      <c r="J81" s="89">
        <v>12691050.619999999</v>
      </c>
      <c r="K81" s="90">
        <v>37047</v>
      </c>
      <c r="L81" s="88">
        <v>166</v>
      </c>
      <c r="M81" s="86">
        <v>52164</v>
      </c>
      <c r="N81" s="91">
        <v>176</v>
      </c>
      <c r="O81" s="88">
        <v>474</v>
      </c>
      <c r="P81" s="89">
        <v>131617.31</v>
      </c>
      <c r="Q81" s="92">
        <v>327</v>
      </c>
      <c r="R81" s="88">
        <v>6965</v>
      </c>
      <c r="S81" s="89">
        <v>81282</v>
      </c>
      <c r="T81" s="90"/>
      <c r="U81" s="88">
        <v>264</v>
      </c>
      <c r="V81" s="89"/>
      <c r="W81" s="90"/>
      <c r="X81" s="88">
        <v>0</v>
      </c>
      <c r="Z81" s="131"/>
    </row>
    <row r="82" spans="1:26" x14ac:dyDescent="0.2">
      <c r="A82" s="75">
        <v>2018</v>
      </c>
      <c r="B82" s="76" t="s">
        <v>87</v>
      </c>
      <c r="C82" s="85"/>
      <c r="D82" s="86">
        <v>30788860.462713901</v>
      </c>
      <c r="E82" s="86"/>
      <c r="F82" s="87">
        <v>12613269</v>
      </c>
      <c r="G82" s="88">
        <v>21354</v>
      </c>
      <c r="H82" s="86">
        <v>4244615</v>
      </c>
      <c r="I82" s="88">
        <v>1803</v>
      </c>
      <c r="J82" s="89">
        <v>12585634.629999999</v>
      </c>
      <c r="K82" s="90">
        <v>36218</v>
      </c>
      <c r="L82" s="88">
        <v>164</v>
      </c>
      <c r="M82" s="86">
        <v>50434</v>
      </c>
      <c r="N82" s="91">
        <v>140</v>
      </c>
      <c r="O82" s="88">
        <v>473</v>
      </c>
      <c r="P82" s="89">
        <v>140137.59</v>
      </c>
      <c r="Q82" s="92">
        <v>327</v>
      </c>
      <c r="R82" s="88">
        <v>6965</v>
      </c>
      <c r="S82" s="89">
        <v>78673</v>
      </c>
      <c r="T82" s="90"/>
      <c r="U82" s="88">
        <v>263</v>
      </c>
      <c r="V82" s="89"/>
      <c r="W82" s="90"/>
      <c r="X82" s="88">
        <v>0</v>
      </c>
      <c r="Z82" s="131"/>
    </row>
    <row r="83" spans="1:26" x14ac:dyDescent="0.2">
      <c r="A83" s="75">
        <v>2018</v>
      </c>
      <c r="B83" s="76" t="s">
        <v>88</v>
      </c>
      <c r="C83" s="85"/>
      <c r="D83" s="86">
        <v>32363996.620362099</v>
      </c>
      <c r="E83" s="86"/>
      <c r="F83" s="87">
        <v>14094885</v>
      </c>
      <c r="G83" s="88">
        <v>21399</v>
      </c>
      <c r="H83" s="86">
        <v>4532075.0999999996</v>
      </c>
      <c r="I83" s="88">
        <v>1803</v>
      </c>
      <c r="J83" s="89">
        <v>12394020.639999999</v>
      </c>
      <c r="K83" s="90">
        <v>34082</v>
      </c>
      <c r="L83" s="88">
        <v>164</v>
      </c>
      <c r="M83" s="86">
        <v>52090</v>
      </c>
      <c r="N83" s="91">
        <v>140</v>
      </c>
      <c r="O83" s="88">
        <v>464</v>
      </c>
      <c r="P83" s="89">
        <v>151694.71</v>
      </c>
      <c r="Q83" s="92">
        <v>327</v>
      </c>
      <c r="R83" s="88">
        <v>6966</v>
      </c>
      <c r="S83" s="89">
        <v>81282</v>
      </c>
      <c r="T83" s="90"/>
      <c r="U83" s="88">
        <v>263</v>
      </c>
      <c r="V83" s="89"/>
      <c r="W83" s="90"/>
      <c r="X83" s="88">
        <v>0</v>
      </c>
      <c r="Z83" s="131"/>
    </row>
    <row r="84" spans="1:26" x14ac:dyDescent="0.2">
      <c r="A84" s="75">
        <v>2019</v>
      </c>
      <c r="B84" s="76" t="s">
        <v>78</v>
      </c>
      <c r="C84" s="85"/>
      <c r="D84" s="78">
        <v>35287777.216221102</v>
      </c>
      <c r="E84" s="78"/>
      <c r="F84" s="79">
        <v>14874477.99</v>
      </c>
      <c r="G84" s="80">
        <v>21442</v>
      </c>
      <c r="H84" s="78">
        <v>4875949.74</v>
      </c>
      <c r="I84" s="80">
        <v>1808</v>
      </c>
      <c r="J84" s="81">
        <v>13791702.520000001</v>
      </c>
      <c r="K84" s="82">
        <v>33264.550000000003</v>
      </c>
      <c r="L84" s="80">
        <v>164</v>
      </c>
      <c r="M84" s="78">
        <v>51095.94</v>
      </c>
      <c r="N84" s="83">
        <v>140.4</v>
      </c>
      <c r="O84" s="80">
        <v>463</v>
      </c>
      <c r="P84" s="81">
        <v>147965.78</v>
      </c>
      <c r="Q84" s="84">
        <v>327.10000000000002</v>
      </c>
      <c r="R84" s="80">
        <v>6966</v>
      </c>
      <c r="S84" s="81">
        <v>81282</v>
      </c>
      <c r="T84" s="82"/>
      <c r="U84" s="80">
        <v>263</v>
      </c>
      <c r="V84" s="81"/>
      <c r="W84" s="82"/>
      <c r="X84" s="80">
        <v>0</v>
      </c>
      <c r="Z84" s="131"/>
    </row>
    <row r="85" spans="1:26" x14ac:dyDescent="0.2">
      <c r="A85" s="75">
        <v>2019</v>
      </c>
      <c r="B85" s="76" t="s">
        <v>79</v>
      </c>
      <c r="C85" s="85"/>
      <c r="D85" s="86">
        <v>31413450.428820997</v>
      </c>
      <c r="E85" s="86"/>
      <c r="F85" s="87">
        <v>13431708.34</v>
      </c>
      <c r="G85" s="88">
        <v>21445</v>
      </c>
      <c r="H85" s="86">
        <v>4491774.25</v>
      </c>
      <c r="I85" s="88">
        <v>1805</v>
      </c>
      <c r="J85" s="89">
        <v>12577188.540000001</v>
      </c>
      <c r="K85" s="90">
        <v>34490.920000000006</v>
      </c>
      <c r="L85" s="88">
        <v>164</v>
      </c>
      <c r="M85" s="86">
        <v>46059.93</v>
      </c>
      <c r="N85" s="91">
        <v>126</v>
      </c>
      <c r="O85" s="88">
        <v>462</v>
      </c>
      <c r="P85" s="89">
        <v>123303.58</v>
      </c>
      <c r="Q85" s="92">
        <v>327.10000000000002</v>
      </c>
      <c r="R85" s="88">
        <v>6966</v>
      </c>
      <c r="S85" s="89">
        <v>73414</v>
      </c>
      <c r="T85" s="90"/>
      <c r="U85" s="88">
        <v>263</v>
      </c>
      <c r="V85" s="89"/>
      <c r="W85" s="90"/>
      <c r="X85" s="88">
        <v>0</v>
      </c>
      <c r="Z85" s="131"/>
    </row>
    <row r="86" spans="1:26" x14ac:dyDescent="0.2">
      <c r="A86" s="75">
        <v>2019</v>
      </c>
      <c r="B86" s="76" t="s">
        <v>80</v>
      </c>
      <c r="C86" s="85"/>
      <c r="D86" s="86">
        <v>32753174.855792601</v>
      </c>
      <c r="E86" s="86"/>
      <c r="F86" s="87">
        <v>13333347.33</v>
      </c>
      <c r="G86" s="88">
        <v>21481</v>
      </c>
      <c r="H86" s="86">
        <v>4535805.8100000005</v>
      </c>
      <c r="I86" s="88">
        <v>1803</v>
      </c>
      <c r="J86" s="89">
        <v>13278879.979999999</v>
      </c>
      <c r="K86" s="90">
        <v>34393.79</v>
      </c>
      <c r="L86" s="88">
        <v>164</v>
      </c>
      <c r="M86" s="86">
        <v>50850.83</v>
      </c>
      <c r="N86" s="91">
        <v>137.6</v>
      </c>
      <c r="O86" s="88">
        <v>460</v>
      </c>
      <c r="P86" s="89">
        <v>122142.69</v>
      </c>
      <c r="Q86" s="92">
        <v>327</v>
      </c>
      <c r="R86" s="88">
        <v>6958</v>
      </c>
      <c r="S86" s="89">
        <v>81282</v>
      </c>
      <c r="T86" s="90"/>
      <c r="U86" s="88">
        <v>263</v>
      </c>
      <c r="V86" s="89"/>
      <c r="W86" s="90"/>
      <c r="X86" s="88">
        <v>0</v>
      </c>
      <c r="Z86" s="131"/>
    </row>
    <row r="87" spans="1:26" x14ac:dyDescent="0.2">
      <c r="A87" s="75">
        <v>2019</v>
      </c>
      <c r="B87" s="76" t="s">
        <v>81</v>
      </c>
      <c r="C87" s="85"/>
      <c r="D87" s="86">
        <v>28598242.1384985</v>
      </c>
      <c r="E87" s="86"/>
      <c r="F87" s="87">
        <v>11414109.529999999</v>
      </c>
      <c r="G87" s="88">
        <v>21510</v>
      </c>
      <c r="H87" s="86">
        <v>3956442.9499999997</v>
      </c>
      <c r="I87" s="88">
        <v>1798</v>
      </c>
      <c r="J87" s="89">
        <v>12269207.420000002</v>
      </c>
      <c r="K87" s="90">
        <v>33768.050000000003</v>
      </c>
      <c r="L87" s="88">
        <v>166</v>
      </c>
      <c r="M87" s="86">
        <v>48950.64</v>
      </c>
      <c r="N87" s="91">
        <v>137</v>
      </c>
      <c r="O87" s="88">
        <v>460</v>
      </c>
      <c r="P87" s="89">
        <v>103678.79</v>
      </c>
      <c r="Q87" s="92">
        <v>327</v>
      </c>
      <c r="R87" s="88">
        <v>6982</v>
      </c>
      <c r="S87" s="89">
        <v>78405</v>
      </c>
      <c r="T87" s="90"/>
      <c r="U87" s="88">
        <v>263</v>
      </c>
      <c r="V87" s="89"/>
      <c r="W87" s="90"/>
      <c r="X87" s="88">
        <v>0</v>
      </c>
      <c r="Z87" s="131"/>
    </row>
    <row r="88" spans="1:26" x14ac:dyDescent="0.2">
      <c r="A88" s="75">
        <v>2019</v>
      </c>
      <c r="B88" s="76" t="s">
        <v>47</v>
      </c>
      <c r="C88" s="85"/>
      <c r="D88" s="86">
        <v>27905719.018595401</v>
      </c>
      <c r="E88" s="86"/>
      <c r="F88" s="87">
        <v>10957340.539999999</v>
      </c>
      <c r="G88" s="88">
        <v>21532</v>
      </c>
      <c r="H88" s="86">
        <v>3718443.98</v>
      </c>
      <c r="I88" s="88">
        <v>1805</v>
      </c>
      <c r="J88" s="89">
        <v>12453135.58</v>
      </c>
      <c r="K88" s="90">
        <v>33287.800000000003</v>
      </c>
      <c r="L88" s="88">
        <v>167</v>
      </c>
      <c r="M88" s="86">
        <v>49563.06</v>
      </c>
      <c r="N88" s="91">
        <v>137</v>
      </c>
      <c r="O88" s="88">
        <v>455</v>
      </c>
      <c r="P88" s="89">
        <v>94379.11</v>
      </c>
      <c r="Q88" s="92">
        <v>327</v>
      </c>
      <c r="R88" s="88">
        <v>6988</v>
      </c>
      <c r="S88" s="89">
        <v>81006</v>
      </c>
      <c r="T88" s="90"/>
      <c r="U88" s="88">
        <v>262</v>
      </c>
      <c r="V88" s="89"/>
      <c r="W88" s="90"/>
      <c r="X88" s="88">
        <v>0</v>
      </c>
      <c r="Z88" s="131"/>
    </row>
    <row r="89" spans="1:26" x14ac:dyDescent="0.2">
      <c r="A89" s="75">
        <v>2019</v>
      </c>
      <c r="B89" s="76" t="s">
        <v>82</v>
      </c>
      <c r="C89" s="85"/>
      <c r="D89" s="86">
        <v>30246126.597568698</v>
      </c>
      <c r="E89" s="86"/>
      <c r="F89" s="87">
        <v>13546502.82</v>
      </c>
      <c r="G89" s="88">
        <v>21534</v>
      </c>
      <c r="H89" s="86">
        <v>3916810.87</v>
      </c>
      <c r="I89" s="88">
        <v>1803</v>
      </c>
      <c r="J89" s="89">
        <v>11941076.330000002</v>
      </c>
      <c r="K89" s="90">
        <v>34485.550000000003</v>
      </c>
      <c r="L89" s="88">
        <v>168</v>
      </c>
      <c r="M89" s="86">
        <v>47673.96</v>
      </c>
      <c r="N89" s="91">
        <v>134</v>
      </c>
      <c r="O89" s="88">
        <v>455</v>
      </c>
      <c r="P89" s="89">
        <v>85024.49</v>
      </c>
      <c r="Q89" s="92">
        <v>327</v>
      </c>
      <c r="R89" s="88">
        <v>6989</v>
      </c>
      <c r="S89" s="89">
        <v>78167</v>
      </c>
      <c r="T89" s="90"/>
      <c r="U89" s="88">
        <v>262</v>
      </c>
      <c r="V89" s="89"/>
      <c r="W89" s="90"/>
      <c r="X89" s="88">
        <v>0</v>
      </c>
      <c r="Z89" s="131"/>
    </row>
    <row r="90" spans="1:26" x14ac:dyDescent="0.2">
      <c r="A90" s="75">
        <v>2019</v>
      </c>
      <c r="B90" s="76" t="s">
        <v>83</v>
      </c>
      <c r="C90" s="85"/>
      <c r="D90" s="86">
        <v>40514961.932033904</v>
      </c>
      <c r="E90" s="86"/>
      <c r="F90" s="87">
        <v>19039077.73</v>
      </c>
      <c r="G90" s="88">
        <v>21576</v>
      </c>
      <c r="H90" s="86">
        <v>4531731.71</v>
      </c>
      <c r="I90" s="88">
        <v>1801</v>
      </c>
      <c r="J90" s="89">
        <v>13741928.619999999</v>
      </c>
      <c r="K90" s="90">
        <v>36881.550000000003</v>
      </c>
      <c r="L90" s="88">
        <v>168</v>
      </c>
      <c r="M90" s="86">
        <v>48891.29</v>
      </c>
      <c r="N90" s="91">
        <v>140</v>
      </c>
      <c r="O90" s="88">
        <v>450</v>
      </c>
      <c r="P90" s="89">
        <v>91086.34</v>
      </c>
      <c r="Q90" s="92">
        <v>327</v>
      </c>
      <c r="R90" s="88">
        <v>6989</v>
      </c>
      <c r="S90" s="89">
        <v>80760</v>
      </c>
      <c r="T90" s="90"/>
      <c r="U90" s="88">
        <v>261</v>
      </c>
      <c r="V90" s="89"/>
      <c r="W90" s="90"/>
      <c r="X90" s="88">
        <v>0</v>
      </c>
      <c r="Z90" s="131"/>
    </row>
    <row r="91" spans="1:26" x14ac:dyDescent="0.2">
      <c r="A91" s="75">
        <v>2019</v>
      </c>
      <c r="B91" s="76" t="s">
        <v>84</v>
      </c>
      <c r="C91" s="85"/>
      <c r="D91" s="86">
        <v>36599467.089364603</v>
      </c>
      <c r="E91" s="86"/>
      <c r="F91" s="87">
        <v>17276160.809999999</v>
      </c>
      <c r="G91" s="88">
        <v>21645</v>
      </c>
      <c r="H91" s="86">
        <v>4388810.58</v>
      </c>
      <c r="I91" s="88">
        <v>1797</v>
      </c>
      <c r="J91" s="89">
        <v>13086353.089999998</v>
      </c>
      <c r="K91" s="90">
        <v>36462.619999999995</v>
      </c>
      <c r="L91" s="88">
        <v>168</v>
      </c>
      <c r="M91" s="86">
        <v>48852.54</v>
      </c>
      <c r="N91" s="91">
        <v>125</v>
      </c>
      <c r="O91" s="88">
        <v>450</v>
      </c>
      <c r="P91" s="89">
        <v>102354.1</v>
      </c>
      <c r="Q91" s="92">
        <v>327</v>
      </c>
      <c r="R91" s="88">
        <v>7048</v>
      </c>
      <c r="S91" s="89">
        <v>80760</v>
      </c>
      <c r="T91" s="90"/>
      <c r="U91" s="88">
        <v>261</v>
      </c>
      <c r="V91" s="89"/>
      <c r="W91" s="90"/>
      <c r="X91" s="88">
        <v>0</v>
      </c>
      <c r="Z91" s="131"/>
    </row>
    <row r="92" spans="1:26" x14ac:dyDescent="0.2">
      <c r="A92" s="75">
        <v>2019</v>
      </c>
      <c r="B92" s="76" t="s">
        <v>85</v>
      </c>
      <c r="C92" s="85"/>
      <c r="D92" s="86">
        <v>30196024.2346556</v>
      </c>
      <c r="E92" s="86"/>
      <c r="F92" s="87">
        <v>12968842.1</v>
      </c>
      <c r="G92" s="88">
        <v>21664</v>
      </c>
      <c r="H92" s="86">
        <v>3794580.1399999997</v>
      </c>
      <c r="I92" s="88">
        <v>1793</v>
      </c>
      <c r="J92" s="89">
        <v>12274154.93</v>
      </c>
      <c r="K92" s="90">
        <v>35411.869999999995</v>
      </c>
      <c r="L92" s="88">
        <v>167</v>
      </c>
      <c r="M92" s="86">
        <v>47275.02</v>
      </c>
      <c r="N92" s="91">
        <v>133</v>
      </c>
      <c r="O92" s="88">
        <v>450</v>
      </c>
      <c r="P92" s="89">
        <v>112929.76</v>
      </c>
      <c r="Q92" s="92">
        <v>327</v>
      </c>
      <c r="R92" s="88">
        <v>7048</v>
      </c>
      <c r="S92" s="89">
        <v>78167</v>
      </c>
      <c r="T92" s="90"/>
      <c r="U92" s="88">
        <v>261</v>
      </c>
      <c r="V92" s="89"/>
      <c r="W92" s="90"/>
      <c r="X92" s="88">
        <v>0</v>
      </c>
      <c r="Z92" s="131"/>
    </row>
    <row r="93" spans="1:26" x14ac:dyDescent="0.2">
      <c r="A93" s="75">
        <v>2019</v>
      </c>
      <c r="B93" s="76" t="s">
        <v>86</v>
      </c>
      <c r="C93" s="85"/>
      <c r="D93" s="86">
        <v>27971860.355314802</v>
      </c>
      <c r="E93" s="86"/>
      <c r="F93" s="87">
        <v>11452779.060000001</v>
      </c>
      <c r="G93" s="88">
        <v>21699</v>
      </c>
      <c r="H93" s="86">
        <v>3732619.97</v>
      </c>
      <c r="I93" s="88">
        <v>1796</v>
      </c>
      <c r="J93" s="89">
        <v>11787119.860000001</v>
      </c>
      <c r="K93" s="90">
        <v>35611.5</v>
      </c>
      <c r="L93" s="88">
        <v>167</v>
      </c>
      <c r="M93" s="86">
        <v>48802.31</v>
      </c>
      <c r="N93" s="91">
        <v>132</v>
      </c>
      <c r="O93" s="88">
        <v>449</v>
      </c>
      <c r="P93" s="89">
        <v>131617.31</v>
      </c>
      <c r="Q93" s="92">
        <v>327</v>
      </c>
      <c r="R93" s="88">
        <v>7047</v>
      </c>
      <c r="S93" s="89">
        <v>80760</v>
      </c>
      <c r="T93" s="90"/>
      <c r="U93" s="88">
        <v>261</v>
      </c>
      <c r="V93" s="89"/>
      <c r="W93" s="90"/>
      <c r="X93" s="88">
        <v>0</v>
      </c>
      <c r="Z93" s="131"/>
    </row>
    <row r="94" spans="1:26" x14ac:dyDescent="0.2">
      <c r="A94" s="75">
        <v>2019</v>
      </c>
      <c r="B94" s="76" t="s">
        <v>87</v>
      </c>
      <c r="C94" s="85"/>
      <c r="D94" s="86">
        <v>30548760.205844</v>
      </c>
      <c r="E94" s="86"/>
      <c r="F94" s="87">
        <v>13109480.800000001</v>
      </c>
      <c r="G94" s="88">
        <v>21711</v>
      </c>
      <c r="H94" s="86">
        <v>4184336.71</v>
      </c>
      <c r="I94" s="88">
        <v>1782</v>
      </c>
      <c r="J94" s="89">
        <v>12056047.059999999</v>
      </c>
      <c r="K94" s="90">
        <v>35042.520000000004</v>
      </c>
      <c r="L94" s="88">
        <v>165</v>
      </c>
      <c r="M94" s="86">
        <v>47125.440000000002</v>
      </c>
      <c r="N94" s="91">
        <v>132</v>
      </c>
      <c r="O94" s="88">
        <v>449</v>
      </c>
      <c r="P94" s="89">
        <v>140137.59</v>
      </c>
      <c r="Q94" s="92">
        <v>327</v>
      </c>
      <c r="R94" s="88">
        <v>7050</v>
      </c>
      <c r="S94" s="89">
        <v>78167</v>
      </c>
      <c r="T94" s="90"/>
      <c r="U94" s="88">
        <v>261</v>
      </c>
      <c r="V94" s="89"/>
      <c r="W94" s="90"/>
      <c r="X94" s="88">
        <v>0</v>
      </c>
      <c r="Z94" s="131"/>
    </row>
    <row r="95" spans="1:26" x14ac:dyDescent="0.2">
      <c r="A95" s="75">
        <v>2019</v>
      </c>
      <c r="B95" s="76" t="s">
        <v>88</v>
      </c>
      <c r="C95" s="85"/>
      <c r="D95" s="86">
        <v>32756213.143715002</v>
      </c>
      <c r="E95" s="86"/>
      <c r="F95" s="87">
        <v>14402469.390000001</v>
      </c>
      <c r="G95" s="88">
        <v>21721</v>
      </c>
      <c r="H95" s="86">
        <v>4379127.82</v>
      </c>
      <c r="I95" s="88">
        <v>1777</v>
      </c>
      <c r="J95" s="89">
        <v>12095609.850000001</v>
      </c>
      <c r="K95" s="90">
        <v>32434.39</v>
      </c>
      <c r="L95" s="88">
        <v>166</v>
      </c>
      <c r="M95" s="86">
        <v>48696.29</v>
      </c>
      <c r="N95" s="91">
        <v>131</v>
      </c>
      <c r="O95" s="88">
        <v>440</v>
      </c>
      <c r="P95" s="89">
        <v>151694.71</v>
      </c>
      <c r="Q95" s="92">
        <v>327</v>
      </c>
      <c r="R95" s="88">
        <v>7050</v>
      </c>
      <c r="S95" s="89">
        <v>80760</v>
      </c>
      <c r="T95" s="90"/>
      <c r="U95" s="88">
        <v>261</v>
      </c>
      <c r="V95" s="89"/>
      <c r="W95" s="90"/>
      <c r="X95" s="88">
        <v>0</v>
      </c>
      <c r="Z95" s="131"/>
    </row>
    <row r="96" spans="1:26" x14ac:dyDescent="0.2">
      <c r="A96" s="75">
        <v>2020</v>
      </c>
      <c r="B96" s="76" t="s">
        <v>78</v>
      </c>
      <c r="C96" s="85"/>
      <c r="D96" s="78">
        <v>32984745.984053601</v>
      </c>
      <c r="E96" s="78"/>
      <c r="F96" s="79">
        <v>14357335.51</v>
      </c>
      <c r="G96" s="80">
        <v>21754</v>
      </c>
      <c r="H96" s="78">
        <v>4505399.3400000008</v>
      </c>
      <c r="I96" s="80">
        <v>1788</v>
      </c>
      <c r="J96" s="81">
        <v>12635834.73</v>
      </c>
      <c r="K96" s="82">
        <v>33039.89</v>
      </c>
      <c r="L96" s="80">
        <v>167</v>
      </c>
      <c r="M96" s="78">
        <v>48696.3</v>
      </c>
      <c r="N96" s="83">
        <v>131</v>
      </c>
      <c r="O96" s="80">
        <v>440</v>
      </c>
      <c r="P96" s="81">
        <v>149286.70000000001</v>
      </c>
      <c r="Q96" s="84">
        <v>330</v>
      </c>
      <c r="R96" s="80">
        <v>7050</v>
      </c>
      <c r="S96" s="81">
        <v>80760</v>
      </c>
      <c r="T96" s="82"/>
      <c r="U96" s="80">
        <v>261</v>
      </c>
      <c r="V96" s="81"/>
      <c r="W96" s="82"/>
      <c r="X96" s="80">
        <v>0</v>
      </c>
      <c r="Z96" s="131"/>
    </row>
    <row r="97" spans="1:26" x14ac:dyDescent="0.2">
      <c r="A97" s="75">
        <v>2020</v>
      </c>
      <c r="B97" s="76" t="s">
        <v>79</v>
      </c>
      <c r="C97" s="85"/>
      <c r="D97" s="86">
        <v>31066267.637283299</v>
      </c>
      <c r="E97" s="86"/>
      <c r="F97" s="87">
        <v>13257653</v>
      </c>
      <c r="G97" s="88">
        <v>21793</v>
      </c>
      <c r="H97" s="86">
        <v>4280495.82</v>
      </c>
      <c r="I97" s="88">
        <v>1778</v>
      </c>
      <c r="J97" s="89">
        <v>11833328.060000001</v>
      </c>
      <c r="K97" s="90">
        <v>32482</v>
      </c>
      <c r="L97" s="88">
        <v>167</v>
      </c>
      <c r="M97" s="86">
        <v>43943.05</v>
      </c>
      <c r="N97" s="91">
        <v>132</v>
      </c>
      <c r="O97" s="88">
        <v>406</v>
      </c>
      <c r="P97" s="89">
        <v>128628.34</v>
      </c>
      <c r="Q97" s="92">
        <v>330</v>
      </c>
      <c r="R97" s="88">
        <v>7052</v>
      </c>
      <c r="S97" s="89">
        <v>75228</v>
      </c>
      <c r="T97" s="90"/>
      <c r="U97" s="88">
        <v>260</v>
      </c>
      <c r="V97" s="89"/>
      <c r="W97" s="90"/>
      <c r="X97" s="88">
        <v>0</v>
      </c>
      <c r="Z97" s="131"/>
    </row>
    <row r="98" spans="1:26" x14ac:dyDescent="0.2">
      <c r="A98" s="75">
        <v>2020</v>
      </c>
      <c r="B98" s="76" t="s">
        <v>80</v>
      </c>
      <c r="C98" s="85"/>
      <c r="D98" s="86">
        <v>30079085.278391898</v>
      </c>
      <c r="E98" s="86"/>
      <c r="F98" s="87">
        <v>13373777.6</v>
      </c>
      <c r="G98" s="88">
        <v>21828</v>
      </c>
      <c r="H98" s="86">
        <v>4214474.96</v>
      </c>
      <c r="I98" s="88">
        <v>1788</v>
      </c>
      <c r="J98" s="89">
        <v>11287020.939999999</v>
      </c>
      <c r="K98" s="90">
        <v>31550</v>
      </c>
      <c r="L98" s="88">
        <v>158</v>
      </c>
      <c r="M98" s="86">
        <v>45273.89</v>
      </c>
      <c r="N98" s="91">
        <v>122</v>
      </c>
      <c r="O98" s="88">
        <v>406</v>
      </c>
      <c r="P98" s="89">
        <v>122721.58</v>
      </c>
      <c r="Q98" s="92">
        <v>330</v>
      </c>
      <c r="R98" s="88">
        <v>7052</v>
      </c>
      <c r="S98" s="89">
        <v>80422</v>
      </c>
      <c r="T98" s="90"/>
      <c r="U98" s="88">
        <v>260</v>
      </c>
      <c r="V98" s="89"/>
      <c r="W98" s="90"/>
      <c r="X98" s="88">
        <v>0</v>
      </c>
      <c r="Z98" s="131"/>
    </row>
    <row r="99" spans="1:26" x14ac:dyDescent="0.2">
      <c r="A99" s="75">
        <v>2020</v>
      </c>
      <c r="B99" s="76" t="s">
        <v>81</v>
      </c>
      <c r="C99" s="85"/>
      <c r="D99" s="86">
        <v>26605231.832859904</v>
      </c>
      <c r="E99" s="86"/>
      <c r="F99" s="87">
        <v>12414908.619999999</v>
      </c>
      <c r="G99" s="88">
        <v>21861</v>
      </c>
      <c r="H99" s="86">
        <v>3390848.1999999997</v>
      </c>
      <c r="I99" s="88">
        <v>1786</v>
      </c>
      <c r="J99" s="89">
        <v>9454858.0600000005</v>
      </c>
      <c r="K99" s="90">
        <v>27547</v>
      </c>
      <c r="L99" s="88">
        <v>158</v>
      </c>
      <c r="M99" s="86">
        <v>43810.02</v>
      </c>
      <c r="N99" s="91">
        <v>122</v>
      </c>
      <c r="O99" s="88">
        <v>404</v>
      </c>
      <c r="P99" s="89">
        <v>104147.88</v>
      </c>
      <c r="Q99" s="92">
        <v>330</v>
      </c>
      <c r="R99" s="88">
        <v>7052</v>
      </c>
      <c r="S99" s="89">
        <v>77839</v>
      </c>
      <c r="T99" s="90"/>
      <c r="U99" s="88">
        <v>260</v>
      </c>
      <c r="V99" s="89"/>
      <c r="W99" s="90"/>
      <c r="X99" s="88">
        <v>0</v>
      </c>
      <c r="Z99" s="131"/>
    </row>
    <row r="100" spans="1:26" x14ac:dyDescent="0.2">
      <c r="A100" s="75">
        <v>2020</v>
      </c>
      <c r="B100" s="76" t="s">
        <v>47</v>
      </c>
      <c r="C100" s="85"/>
      <c r="D100" s="86">
        <v>28255543.1817187</v>
      </c>
      <c r="E100" s="86"/>
      <c r="F100" s="87">
        <v>13456824.82</v>
      </c>
      <c r="G100" s="88">
        <v>21888</v>
      </c>
      <c r="H100" s="86">
        <v>3428186.73</v>
      </c>
      <c r="I100" s="88">
        <v>1783</v>
      </c>
      <c r="J100" s="89">
        <v>10075538.260000002</v>
      </c>
      <c r="K100" s="90">
        <v>32536</v>
      </c>
      <c r="L100" s="88">
        <v>158</v>
      </c>
      <c r="M100" s="86">
        <v>44955.83</v>
      </c>
      <c r="N100" s="91">
        <v>121</v>
      </c>
      <c r="O100" s="88">
        <v>403</v>
      </c>
      <c r="P100" s="89">
        <v>94875.12</v>
      </c>
      <c r="Q100" s="92">
        <v>330</v>
      </c>
      <c r="R100" s="88">
        <v>7052</v>
      </c>
      <c r="S100" s="89">
        <v>80029</v>
      </c>
      <c r="T100" s="90"/>
      <c r="U100" s="88">
        <v>259</v>
      </c>
      <c r="V100" s="89"/>
      <c r="W100" s="90"/>
      <c r="X100" s="88">
        <v>0</v>
      </c>
      <c r="Z100" s="131"/>
    </row>
    <row r="101" spans="1:26" x14ac:dyDescent="0.2">
      <c r="A101" s="75">
        <v>2020</v>
      </c>
      <c r="B101" s="76" t="s">
        <v>82</v>
      </c>
      <c r="C101" s="85"/>
      <c r="D101" s="86">
        <v>33406975.0200781</v>
      </c>
      <c r="E101" s="86"/>
      <c r="F101" s="87">
        <v>17782162.890000001</v>
      </c>
      <c r="G101" s="88">
        <v>21918</v>
      </c>
      <c r="H101" s="86">
        <v>3872427.9</v>
      </c>
      <c r="I101" s="88">
        <v>1793</v>
      </c>
      <c r="J101" s="89">
        <v>10973356.379999999</v>
      </c>
      <c r="K101" s="90">
        <v>32840</v>
      </c>
      <c r="L101" s="88">
        <v>160</v>
      </c>
      <c r="M101" s="86">
        <v>43454.34</v>
      </c>
      <c r="N101" s="91">
        <v>121</v>
      </c>
      <c r="O101" s="88">
        <v>402</v>
      </c>
      <c r="P101" s="89">
        <v>85734</v>
      </c>
      <c r="Q101" s="92">
        <v>330</v>
      </c>
      <c r="R101" s="88">
        <v>7052</v>
      </c>
      <c r="S101" s="89">
        <v>76647</v>
      </c>
      <c r="T101" s="90"/>
      <c r="U101" s="88">
        <v>257</v>
      </c>
      <c r="V101" s="89"/>
      <c r="W101" s="90"/>
      <c r="X101" s="88">
        <v>0</v>
      </c>
      <c r="Z101" s="131"/>
    </row>
    <row r="102" spans="1:26" x14ac:dyDescent="0.2">
      <c r="A102" s="75">
        <v>2020</v>
      </c>
      <c r="B102" s="76" t="s">
        <v>83</v>
      </c>
      <c r="C102" s="85"/>
      <c r="D102" s="86">
        <v>42687999.775185399</v>
      </c>
      <c r="E102" s="86"/>
      <c r="F102" s="87">
        <v>22211661.710000001</v>
      </c>
      <c r="G102" s="88">
        <v>21950</v>
      </c>
      <c r="H102" s="86">
        <v>4623631.9300000006</v>
      </c>
      <c r="I102" s="88">
        <v>1790</v>
      </c>
      <c r="J102" s="89">
        <v>12264473.049999999</v>
      </c>
      <c r="K102" s="90">
        <v>34975</v>
      </c>
      <c r="L102" s="88">
        <v>160</v>
      </c>
      <c r="M102" s="86">
        <v>44849.81</v>
      </c>
      <c r="N102" s="91">
        <v>121</v>
      </c>
      <c r="O102" s="88">
        <v>402</v>
      </c>
      <c r="P102" s="89">
        <v>92163.46</v>
      </c>
      <c r="Q102" s="92">
        <v>330</v>
      </c>
      <c r="R102" s="88">
        <v>7086</v>
      </c>
      <c r="S102" s="89">
        <v>79190</v>
      </c>
      <c r="T102" s="90"/>
      <c r="U102" s="88">
        <v>257</v>
      </c>
      <c r="V102" s="89"/>
      <c r="W102" s="90"/>
      <c r="X102" s="88">
        <v>0</v>
      </c>
      <c r="Z102" s="131"/>
    </row>
    <row r="103" spans="1:26" x14ac:dyDescent="0.2">
      <c r="A103" s="75">
        <v>2020</v>
      </c>
      <c r="B103" s="76" t="s">
        <v>84</v>
      </c>
      <c r="C103" s="85"/>
      <c r="D103" s="86">
        <v>37930770.327769101</v>
      </c>
      <c r="E103" s="86"/>
      <c r="F103" s="87">
        <v>19369497.870000001</v>
      </c>
      <c r="G103" s="88">
        <v>21972</v>
      </c>
      <c r="H103" s="86">
        <v>4482673.5600000005</v>
      </c>
      <c r="I103" s="88">
        <v>1791</v>
      </c>
      <c r="J103" s="89">
        <v>12006141.370000001</v>
      </c>
      <c r="K103" s="90">
        <v>34025</v>
      </c>
      <c r="L103" s="88">
        <v>161</v>
      </c>
      <c r="M103" s="86">
        <v>44849.82</v>
      </c>
      <c r="N103" s="91">
        <v>121</v>
      </c>
      <c r="O103" s="88">
        <v>402</v>
      </c>
      <c r="P103" s="89">
        <v>103707.8</v>
      </c>
      <c r="Q103" s="92">
        <v>330</v>
      </c>
      <c r="R103" s="88">
        <v>7096</v>
      </c>
      <c r="S103" s="89">
        <v>79190</v>
      </c>
      <c r="T103" s="90"/>
      <c r="U103" s="88">
        <v>257</v>
      </c>
      <c r="V103" s="89"/>
      <c r="W103" s="90"/>
      <c r="X103" s="88">
        <v>0</v>
      </c>
      <c r="Z103" s="131"/>
    </row>
    <row r="104" spans="1:26" x14ac:dyDescent="0.2">
      <c r="A104" s="75">
        <v>2020</v>
      </c>
      <c r="B104" s="76" t="s">
        <v>85</v>
      </c>
      <c r="C104" s="85"/>
      <c r="D104" s="86">
        <v>29216230.450019099</v>
      </c>
      <c r="E104" s="86"/>
      <c r="F104" s="87">
        <v>13630284.539999999</v>
      </c>
      <c r="G104" s="88">
        <v>21993</v>
      </c>
      <c r="H104" s="86">
        <v>3728234.4299999997</v>
      </c>
      <c r="I104" s="88">
        <v>1791</v>
      </c>
      <c r="J104" s="89">
        <v>11036613.07</v>
      </c>
      <c r="K104" s="90">
        <v>32959</v>
      </c>
      <c r="L104" s="88">
        <v>161</v>
      </c>
      <c r="M104" s="86">
        <v>43355.16</v>
      </c>
      <c r="N104" s="91">
        <v>121</v>
      </c>
      <c r="O104" s="88">
        <v>401</v>
      </c>
      <c r="P104" s="89">
        <v>114421.4</v>
      </c>
      <c r="Q104" s="92">
        <v>330</v>
      </c>
      <c r="R104" s="88">
        <v>7096</v>
      </c>
      <c r="S104" s="89">
        <v>76647</v>
      </c>
      <c r="T104" s="90"/>
      <c r="U104" s="88">
        <v>257</v>
      </c>
      <c r="V104" s="89"/>
      <c r="W104" s="90"/>
      <c r="X104" s="88">
        <v>0</v>
      </c>
      <c r="Z104" s="131"/>
    </row>
    <row r="105" spans="1:26" x14ac:dyDescent="0.2">
      <c r="A105" s="75">
        <v>2020</v>
      </c>
      <c r="B105" s="76" t="s">
        <v>86</v>
      </c>
      <c r="C105" s="85"/>
      <c r="D105" s="86">
        <v>27410041.627921898</v>
      </c>
      <c r="E105" s="86"/>
      <c r="F105" s="87">
        <v>12069964.689999999</v>
      </c>
      <c r="G105" s="88">
        <v>22017</v>
      </c>
      <c r="H105" s="86">
        <v>3701709.39</v>
      </c>
      <c r="I105" s="88">
        <v>1783</v>
      </c>
      <c r="J105" s="89">
        <v>10483165.18</v>
      </c>
      <c r="K105" s="90">
        <v>32743</v>
      </c>
      <c r="L105" s="88">
        <v>161</v>
      </c>
      <c r="M105" s="86">
        <v>44779.13</v>
      </c>
      <c r="N105" s="91">
        <v>120.6</v>
      </c>
      <c r="O105" s="88">
        <v>401</v>
      </c>
      <c r="P105" s="89">
        <v>133270.85999999999</v>
      </c>
      <c r="Q105" s="92">
        <v>330</v>
      </c>
      <c r="R105" s="88">
        <v>7055</v>
      </c>
      <c r="S105" s="89">
        <v>79190</v>
      </c>
      <c r="T105" s="90"/>
      <c r="U105" s="88">
        <v>257</v>
      </c>
      <c r="V105" s="89"/>
      <c r="W105" s="90"/>
      <c r="X105" s="88">
        <v>0</v>
      </c>
      <c r="Z105" s="131"/>
    </row>
    <row r="106" spans="1:26" x14ac:dyDescent="0.2">
      <c r="A106" s="75">
        <v>2020</v>
      </c>
      <c r="B106" s="76" t="s">
        <v>87</v>
      </c>
      <c r="C106" s="85"/>
      <c r="D106" s="86">
        <v>28047137.9106231</v>
      </c>
      <c r="E106" s="86"/>
      <c r="F106" s="87">
        <v>12744800.52</v>
      </c>
      <c r="G106" s="88">
        <v>22046</v>
      </c>
      <c r="H106" s="86">
        <v>3869106.98</v>
      </c>
      <c r="I106" s="88">
        <v>1788</v>
      </c>
      <c r="J106" s="89">
        <v>10300508.439999999</v>
      </c>
      <c r="K106" s="90">
        <v>28820</v>
      </c>
      <c r="L106" s="88">
        <v>161</v>
      </c>
      <c r="M106" s="86">
        <v>43262.64</v>
      </c>
      <c r="N106" s="91">
        <v>121</v>
      </c>
      <c r="O106" s="88">
        <v>401</v>
      </c>
      <c r="P106" s="89">
        <v>141740.54</v>
      </c>
      <c r="Q106" s="92">
        <v>330</v>
      </c>
      <c r="R106" s="88">
        <v>7055</v>
      </c>
      <c r="S106" s="89">
        <v>76647</v>
      </c>
      <c r="T106" s="90"/>
      <c r="U106" s="88">
        <v>257</v>
      </c>
      <c r="V106" s="89"/>
      <c r="W106" s="90"/>
      <c r="X106" s="88">
        <v>0</v>
      </c>
      <c r="Z106" s="131"/>
    </row>
    <row r="107" spans="1:26" x14ac:dyDescent="0.2">
      <c r="A107" s="75">
        <v>2020</v>
      </c>
      <c r="B107" s="76" t="s">
        <v>88</v>
      </c>
      <c r="C107" s="85"/>
      <c r="D107" s="86">
        <v>32403661.342188701</v>
      </c>
      <c r="E107" s="86"/>
      <c r="F107" s="87">
        <v>15245598.5</v>
      </c>
      <c r="G107" s="88">
        <v>22102</v>
      </c>
      <c r="H107" s="86">
        <v>4440317.87</v>
      </c>
      <c r="I107" s="88">
        <v>1791</v>
      </c>
      <c r="J107" s="89">
        <v>10933571.23</v>
      </c>
      <c r="K107" s="90">
        <v>28204</v>
      </c>
      <c r="L107" s="88">
        <v>161</v>
      </c>
      <c r="M107" s="86">
        <v>44704.73</v>
      </c>
      <c r="N107" s="91">
        <v>120</v>
      </c>
      <c r="O107" s="88">
        <v>401</v>
      </c>
      <c r="P107" s="89">
        <v>153109.51999999999</v>
      </c>
      <c r="Q107" s="92">
        <v>330</v>
      </c>
      <c r="R107" s="88">
        <v>7103</v>
      </c>
      <c r="S107" s="89">
        <v>79190</v>
      </c>
      <c r="T107" s="90"/>
      <c r="U107" s="88">
        <v>257</v>
      </c>
      <c r="V107" s="89"/>
      <c r="W107" s="90"/>
      <c r="X107" s="88">
        <v>0</v>
      </c>
      <c r="Z107" s="131"/>
    </row>
    <row r="108" spans="1:26" x14ac:dyDescent="0.2">
      <c r="A108" s="75">
        <v>2021</v>
      </c>
      <c r="B108" s="76" t="s">
        <v>78</v>
      </c>
      <c r="C108" s="85"/>
      <c r="D108" s="78">
        <v>32846157.776278503</v>
      </c>
      <c r="E108" s="78"/>
      <c r="F108" s="79">
        <v>15838147.710000001</v>
      </c>
      <c r="G108" s="80">
        <v>22121</v>
      </c>
      <c r="H108" s="78">
        <v>4781810.03</v>
      </c>
      <c r="I108" s="80">
        <v>1817</v>
      </c>
      <c r="J108" s="81">
        <v>10726335.640000001</v>
      </c>
      <c r="K108" s="82">
        <v>27582</v>
      </c>
      <c r="L108" s="80">
        <v>136</v>
      </c>
      <c r="M108" s="78">
        <v>44704.73</v>
      </c>
      <c r="N108" s="83">
        <v>120.4</v>
      </c>
      <c r="O108" s="80">
        <v>401</v>
      </c>
      <c r="P108" s="81">
        <v>148291.49</v>
      </c>
      <c r="Q108" s="84">
        <v>327.8</v>
      </c>
      <c r="R108" s="80">
        <v>7103</v>
      </c>
      <c r="S108" s="81">
        <v>79190</v>
      </c>
      <c r="T108" s="82"/>
      <c r="U108" s="80">
        <v>257</v>
      </c>
      <c r="V108" s="81"/>
      <c r="W108" s="82"/>
      <c r="X108" s="80">
        <v>0</v>
      </c>
      <c r="Z108" s="131"/>
    </row>
    <row r="109" spans="1:26" x14ac:dyDescent="0.2">
      <c r="A109" s="75">
        <v>2021</v>
      </c>
      <c r="B109" s="76" t="s">
        <v>79</v>
      </c>
      <c r="C109" s="85"/>
      <c r="D109" s="86">
        <v>30819473.817396801</v>
      </c>
      <c r="E109" s="86"/>
      <c r="F109" s="87">
        <v>14486833.300000001</v>
      </c>
      <c r="G109" s="88">
        <v>22198</v>
      </c>
      <c r="H109" s="86">
        <v>4553304.9000000004</v>
      </c>
      <c r="I109" s="88">
        <v>1820</v>
      </c>
      <c r="J109" s="89">
        <v>10234591.66</v>
      </c>
      <c r="K109" s="90">
        <v>27928.400000000001</v>
      </c>
      <c r="L109" s="88">
        <v>136</v>
      </c>
      <c r="M109" s="86">
        <v>40378.47</v>
      </c>
      <c r="N109" s="91">
        <v>120.4</v>
      </c>
      <c r="O109" s="88">
        <v>401</v>
      </c>
      <c r="P109" s="89">
        <v>123574.95</v>
      </c>
      <c r="Q109" s="92">
        <v>327.8</v>
      </c>
      <c r="R109" s="88">
        <v>7106</v>
      </c>
      <c r="S109" s="89">
        <v>71524</v>
      </c>
      <c r="T109" s="90"/>
      <c r="U109" s="88">
        <v>257</v>
      </c>
      <c r="V109" s="89"/>
      <c r="W109" s="90"/>
      <c r="X109" s="88">
        <v>0</v>
      </c>
      <c r="Z109" s="131"/>
    </row>
    <row r="110" spans="1:26" x14ac:dyDescent="0.2">
      <c r="A110" s="75">
        <v>2021</v>
      </c>
      <c r="B110" s="76" t="s">
        <v>80</v>
      </c>
      <c r="C110" s="85"/>
      <c r="D110" s="86">
        <v>30429325.708896</v>
      </c>
      <c r="E110" s="86"/>
      <c r="F110" s="87">
        <v>13580578.720000001</v>
      </c>
      <c r="G110" s="88">
        <v>22269</v>
      </c>
      <c r="H110" s="86">
        <v>4626248.7700000005</v>
      </c>
      <c r="I110" s="88">
        <v>1828</v>
      </c>
      <c r="J110" s="89">
        <v>10829737.430000002</v>
      </c>
      <c r="K110" s="90">
        <v>28625.64</v>
      </c>
      <c r="L110" s="88">
        <v>140</v>
      </c>
      <c r="M110" s="86">
        <v>44704.73</v>
      </c>
      <c r="N110" s="91">
        <v>120.4</v>
      </c>
      <c r="O110" s="88">
        <v>401</v>
      </c>
      <c r="P110" s="89">
        <v>122411.54</v>
      </c>
      <c r="Q110" s="92">
        <v>327.8</v>
      </c>
      <c r="R110" s="88">
        <v>7106</v>
      </c>
      <c r="S110" s="89">
        <v>79190</v>
      </c>
      <c r="T110" s="90"/>
      <c r="U110" s="88">
        <v>257</v>
      </c>
      <c r="V110" s="89"/>
      <c r="W110" s="90"/>
      <c r="X110" s="88">
        <v>0</v>
      </c>
      <c r="Z110" s="131"/>
    </row>
    <row r="111" spans="1:26" x14ac:dyDescent="0.2">
      <c r="A111" s="75">
        <v>2021</v>
      </c>
      <c r="B111" s="76" t="s">
        <v>81</v>
      </c>
      <c r="C111" s="85"/>
      <c r="D111" s="86">
        <v>26763134.5519844</v>
      </c>
      <c r="E111" s="86"/>
      <c r="F111" s="87">
        <v>11975553.24</v>
      </c>
      <c r="G111" s="88">
        <v>22294</v>
      </c>
      <c r="H111" s="86">
        <v>3836073.87</v>
      </c>
      <c r="I111" s="88">
        <v>1841</v>
      </c>
      <c r="J111" s="89">
        <v>9698568.5300000012</v>
      </c>
      <c r="K111" s="90">
        <v>28021.78</v>
      </c>
      <c r="L111" s="88">
        <v>140</v>
      </c>
      <c r="M111" s="86">
        <v>43262.64</v>
      </c>
      <c r="N111" s="91">
        <v>120.4</v>
      </c>
      <c r="O111" s="88">
        <v>401</v>
      </c>
      <c r="P111" s="89">
        <v>103453.54</v>
      </c>
      <c r="Q111" s="92">
        <v>327.8</v>
      </c>
      <c r="R111" s="88">
        <v>7105</v>
      </c>
      <c r="S111" s="89">
        <v>76647</v>
      </c>
      <c r="T111" s="90"/>
      <c r="U111" s="88">
        <v>257</v>
      </c>
      <c r="V111" s="89"/>
      <c r="W111" s="90"/>
      <c r="X111" s="88">
        <v>0</v>
      </c>
      <c r="Z111" s="131"/>
    </row>
    <row r="112" spans="1:26" x14ac:dyDescent="0.2">
      <c r="A112" s="75">
        <v>2021</v>
      </c>
      <c r="B112" s="76" t="s">
        <v>47</v>
      </c>
      <c r="C112" s="85"/>
      <c r="D112" s="86">
        <v>28296552.692327201</v>
      </c>
      <c r="E112" s="86"/>
      <c r="F112" s="87">
        <v>13476019.84</v>
      </c>
      <c r="G112" s="88">
        <v>22316</v>
      </c>
      <c r="H112" s="86">
        <v>3863113.84</v>
      </c>
      <c r="I112" s="88">
        <v>1843</v>
      </c>
      <c r="J112" s="89">
        <v>9927468.6499999985</v>
      </c>
      <c r="K112" s="90">
        <v>29304.6</v>
      </c>
      <c r="L112" s="88">
        <v>140</v>
      </c>
      <c r="M112" s="86">
        <v>44704.73</v>
      </c>
      <c r="N112" s="91">
        <v>120.4</v>
      </c>
      <c r="O112" s="88">
        <v>401</v>
      </c>
      <c r="P112" s="89">
        <v>94242.64</v>
      </c>
      <c r="Q112" s="92">
        <v>327.8</v>
      </c>
      <c r="R112" s="88">
        <v>7105</v>
      </c>
      <c r="S112" s="89">
        <v>77946</v>
      </c>
      <c r="T112" s="90"/>
      <c r="U112" s="88">
        <v>256</v>
      </c>
      <c r="V112" s="89"/>
      <c r="W112" s="90"/>
      <c r="X112" s="88">
        <v>0</v>
      </c>
      <c r="Z112" s="131"/>
    </row>
    <row r="113" spans="1:26" x14ac:dyDescent="0.2">
      <c r="A113" s="75">
        <v>2021</v>
      </c>
      <c r="B113" s="76" t="s">
        <v>82</v>
      </c>
      <c r="C113" s="85"/>
      <c r="D113" s="86">
        <v>34399006.535900503</v>
      </c>
      <c r="E113" s="86"/>
      <c r="F113" s="87">
        <v>16982021.079999998</v>
      </c>
      <c r="G113" s="88">
        <v>22382</v>
      </c>
      <c r="H113" s="86">
        <v>4362549.6000000006</v>
      </c>
      <c r="I113" s="88">
        <v>1843</v>
      </c>
      <c r="J113" s="89">
        <v>10906800.98</v>
      </c>
      <c r="K113" s="90">
        <v>30647.599999999999</v>
      </c>
      <c r="L113" s="88">
        <v>140</v>
      </c>
      <c r="M113" s="86">
        <v>42832.44</v>
      </c>
      <c r="N113" s="91">
        <v>119.2</v>
      </c>
      <c r="O113" s="88">
        <v>398</v>
      </c>
      <c r="P113" s="89">
        <v>85162.44</v>
      </c>
      <c r="Q113" s="92">
        <v>327.8</v>
      </c>
      <c r="R113" s="88">
        <v>7105</v>
      </c>
      <c r="S113" s="89">
        <v>75443</v>
      </c>
      <c r="T113" s="90"/>
      <c r="U113" s="88">
        <v>256</v>
      </c>
      <c r="V113" s="89"/>
      <c r="W113" s="90"/>
      <c r="X113" s="88">
        <v>0</v>
      </c>
      <c r="Z113" s="131"/>
    </row>
    <row r="114" spans="1:26" x14ac:dyDescent="0.2">
      <c r="A114" s="75">
        <v>2021</v>
      </c>
      <c r="B114" s="76" t="s">
        <v>83</v>
      </c>
      <c r="C114" s="85"/>
      <c r="D114" s="86">
        <v>36416581.592046797</v>
      </c>
      <c r="E114" s="86"/>
      <c r="F114" s="87">
        <v>18957065.719999999</v>
      </c>
      <c r="G114" s="88">
        <v>22403</v>
      </c>
      <c r="H114" s="86">
        <v>4824293.49</v>
      </c>
      <c r="I114" s="88">
        <v>1845</v>
      </c>
      <c r="J114" s="89">
        <v>11237187.99</v>
      </c>
      <c r="K114" s="90">
        <v>30355.48</v>
      </c>
      <c r="L114" s="88">
        <v>141</v>
      </c>
      <c r="M114" s="86">
        <v>42941.75</v>
      </c>
      <c r="N114" s="91">
        <v>119.2</v>
      </c>
      <c r="O114" s="88">
        <v>398</v>
      </c>
      <c r="P114" s="89">
        <v>91549.03</v>
      </c>
      <c r="Q114" s="92">
        <v>327.8</v>
      </c>
      <c r="R114" s="88">
        <v>7105</v>
      </c>
      <c r="S114" s="89">
        <v>77946</v>
      </c>
      <c r="T114" s="90"/>
      <c r="U114" s="88">
        <v>256</v>
      </c>
      <c r="V114" s="89"/>
      <c r="W114" s="90"/>
      <c r="X114" s="88">
        <v>0</v>
      </c>
      <c r="Z114" s="131"/>
    </row>
    <row r="115" spans="1:26" x14ac:dyDescent="0.2">
      <c r="A115" s="75">
        <v>2021</v>
      </c>
      <c r="B115" s="76" t="s">
        <v>84</v>
      </c>
      <c r="C115" s="85"/>
      <c r="D115" s="86">
        <v>41970614.616817705</v>
      </c>
      <c r="E115" s="86"/>
      <c r="F115" s="87">
        <v>21600059.73</v>
      </c>
      <c r="G115" s="88">
        <v>22462</v>
      </c>
      <c r="H115" s="86">
        <v>5450822.7799999993</v>
      </c>
      <c r="I115" s="88">
        <v>1845</v>
      </c>
      <c r="J115" s="89">
        <v>12164298.41</v>
      </c>
      <c r="K115" s="90">
        <v>31590.270000000004</v>
      </c>
      <c r="L115" s="88">
        <v>140</v>
      </c>
      <c r="M115" s="86">
        <v>36105.949999999997</v>
      </c>
      <c r="N115" s="91">
        <v>97.1</v>
      </c>
      <c r="O115" s="88">
        <v>345</v>
      </c>
      <c r="P115" s="89">
        <v>103016.38</v>
      </c>
      <c r="Q115" s="92">
        <v>327.8</v>
      </c>
      <c r="R115" s="88">
        <v>7105</v>
      </c>
      <c r="S115" s="89">
        <v>77946</v>
      </c>
      <c r="T115" s="90"/>
      <c r="U115" s="88">
        <v>256</v>
      </c>
      <c r="V115" s="89"/>
      <c r="W115" s="90"/>
      <c r="X115" s="88">
        <v>0</v>
      </c>
      <c r="Z115" s="131"/>
    </row>
    <row r="116" spans="1:26" x14ac:dyDescent="0.2">
      <c r="A116" s="75">
        <v>2021</v>
      </c>
      <c r="B116" s="76" t="s">
        <v>85</v>
      </c>
      <c r="C116" s="85"/>
      <c r="D116" s="86">
        <v>30974506.587737001</v>
      </c>
      <c r="E116" s="86"/>
      <c r="F116" s="87">
        <v>14782035.1</v>
      </c>
      <c r="G116" s="88">
        <v>22493</v>
      </c>
      <c r="H116" s="86">
        <v>4386824.76</v>
      </c>
      <c r="I116" s="88">
        <v>1846</v>
      </c>
      <c r="J116" s="89">
        <v>10734699.250000002</v>
      </c>
      <c r="K116" s="90">
        <v>30624.100000000002</v>
      </c>
      <c r="L116" s="88">
        <v>141</v>
      </c>
      <c r="M116" s="86">
        <v>34957.440000000002</v>
      </c>
      <c r="N116" s="91">
        <v>97.5</v>
      </c>
      <c r="O116" s="88">
        <v>345</v>
      </c>
      <c r="P116" s="89">
        <v>113659</v>
      </c>
      <c r="Q116" s="92">
        <v>327.8</v>
      </c>
      <c r="R116" s="88">
        <v>7105</v>
      </c>
      <c r="S116" s="89">
        <v>75395</v>
      </c>
      <c r="T116" s="90"/>
      <c r="U116" s="88">
        <v>256</v>
      </c>
      <c r="V116" s="89"/>
      <c r="W116" s="90"/>
      <c r="X116" s="88">
        <v>0</v>
      </c>
      <c r="Z116" s="131"/>
    </row>
    <row r="117" spans="1:26" x14ac:dyDescent="0.2">
      <c r="A117" s="75">
        <v>2021</v>
      </c>
      <c r="B117" s="76" t="s">
        <v>86</v>
      </c>
      <c r="C117" s="85"/>
      <c r="D117" s="86">
        <v>28889124.189985599</v>
      </c>
      <c r="E117" s="86"/>
      <c r="F117" s="87">
        <v>12931228.32</v>
      </c>
      <c r="G117" s="88">
        <v>22552</v>
      </c>
      <c r="H117" s="86">
        <v>4235432.3</v>
      </c>
      <c r="I117" s="88">
        <v>1846</v>
      </c>
      <c r="J117" s="89">
        <v>10597546.299999999</v>
      </c>
      <c r="K117" s="90">
        <v>28982.3</v>
      </c>
      <c r="L117" s="88">
        <v>141</v>
      </c>
      <c r="M117" s="86">
        <v>36156.17</v>
      </c>
      <c r="N117" s="91">
        <v>97.5</v>
      </c>
      <c r="O117" s="88">
        <v>347</v>
      </c>
      <c r="P117" s="89">
        <v>132382.45000000001</v>
      </c>
      <c r="Q117" s="92">
        <v>327.8</v>
      </c>
      <c r="R117" s="88">
        <v>7138</v>
      </c>
      <c r="S117" s="89">
        <v>77574</v>
      </c>
      <c r="T117" s="90"/>
      <c r="U117" s="88">
        <v>255</v>
      </c>
      <c r="V117" s="89"/>
      <c r="W117" s="90"/>
      <c r="X117" s="88">
        <v>0</v>
      </c>
      <c r="Z117" s="131"/>
    </row>
    <row r="118" spans="1:26" x14ac:dyDescent="0.2">
      <c r="A118" s="75">
        <v>2021</v>
      </c>
      <c r="B118" s="76" t="s">
        <v>87</v>
      </c>
      <c r="C118" s="85"/>
      <c r="D118" s="86">
        <v>29524971.059174798</v>
      </c>
      <c r="E118" s="86"/>
      <c r="F118" s="87">
        <v>13082669.48</v>
      </c>
      <c r="G118" s="88">
        <v>22604</v>
      </c>
      <c r="H118" s="86">
        <v>4459505.13</v>
      </c>
      <c r="I118" s="88">
        <v>1832</v>
      </c>
      <c r="J118" s="89">
        <v>10492851.17</v>
      </c>
      <c r="K118" s="90">
        <v>27361.199999999997</v>
      </c>
      <c r="L118" s="88">
        <v>141</v>
      </c>
      <c r="M118" s="86">
        <v>34989.839999999997</v>
      </c>
      <c r="N118" s="91">
        <v>97.5</v>
      </c>
      <c r="O118" s="88">
        <v>347</v>
      </c>
      <c r="P118" s="89">
        <v>140795.60999999999</v>
      </c>
      <c r="Q118" s="92">
        <v>327.8</v>
      </c>
      <c r="R118" s="88">
        <v>7138</v>
      </c>
      <c r="S118" s="89">
        <v>74181</v>
      </c>
      <c r="T118" s="90"/>
      <c r="U118" s="88">
        <v>254</v>
      </c>
      <c r="V118" s="89"/>
      <c r="W118" s="90"/>
      <c r="X118" s="88">
        <v>0</v>
      </c>
      <c r="Z118" s="131"/>
    </row>
    <row r="119" spans="1:26" x14ac:dyDescent="0.2">
      <c r="A119" s="75">
        <v>2021</v>
      </c>
      <c r="B119" s="76" t="s">
        <v>88</v>
      </c>
      <c r="C119" s="85"/>
      <c r="D119" s="86">
        <v>32565823.594668198</v>
      </c>
      <c r="E119" s="86"/>
      <c r="F119" s="87">
        <v>15200169.49</v>
      </c>
      <c r="G119" s="88">
        <v>22654</v>
      </c>
      <c r="H119" s="86">
        <v>4850070.4300000006</v>
      </c>
      <c r="I119" s="88">
        <v>1832</v>
      </c>
      <c r="J119" s="89">
        <v>10998377.120000001</v>
      </c>
      <c r="K119" s="90">
        <v>28201.9</v>
      </c>
      <c r="L119" s="88">
        <v>141</v>
      </c>
      <c r="M119" s="86">
        <v>36156.17</v>
      </c>
      <c r="N119" s="91">
        <v>97.5</v>
      </c>
      <c r="O119" s="88">
        <v>347</v>
      </c>
      <c r="P119" s="89">
        <v>152088.88</v>
      </c>
      <c r="Q119" s="92">
        <v>327.8</v>
      </c>
      <c r="R119" s="88">
        <v>7161</v>
      </c>
      <c r="S119" s="89">
        <v>76383</v>
      </c>
      <c r="T119" s="90"/>
      <c r="U119" s="88">
        <v>253</v>
      </c>
      <c r="V119" s="89"/>
      <c r="W119" s="90"/>
      <c r="X119" s="88">
        <v>0</v>
      </c>
      <c r="Z119" s="131"/>
    </row>
    <row r="120" spans="1:26" x14ac:dyDescent="0.2">
      <c r="A120" s="75">
        <v>2022</v>
      </c>
      <c r="B120" s="76" t="s">
        <v>78</v>
      </c>
      <c r="C120" s="85"/>
      <c r="D120" s="78">
        <v>35465006.471801899</v>
      </c>
      <c r="E120" s="78"/>
      <c r="F120" s="79">
        <v>17094811.809999999</v>
      </c>
      <c r="G120" s="80">
        <v>22676</v>
      </c>
      <c r="H120" s="78">
        <v>5248209.67</v>
      </c>
      <c r="I120" s="80">
        <v>1830</v>
      </c>
      <c r="J120" s="81">
        <v>11481027.18</v>
      </c>
      <c r="K120" s="82">
        <v>27990.36</v>
      </c>
      <c r="L120" s="80">
        <v>133</v>
      </c>
      <c r="M120" s="78">
        <v>36156.17</v>
      </c>
      <c r="N120" s="83">
        <v>97.45</v>
      </c>
      <c r="O120" s="80">
        <v>347</v>
      </c>
      <c r="P120" s="81">
        <v>149114.87</v>
      </c>
      <c r="Q120" s="84">
        <v>329.62</v>
      </c>
      <c r="R120" s="80">
        <v>7161</v>
      </c>
      <c r="S120" s="81">
        <v>76383</v>
      </c>
      <c r="T120" s="82"/>
      <c r="U120" s="80">
        <v>253</v>
      </c>
      <c r="V120" s="81"/>
      <c r="W120" s="82"/>
      <c r="X120" s="80">
        <v>0</v>
      </c>
      <c r="Z120" s="131"/>
    </row>
    <row r="121" spans="1:26" x14ac:dyDescent="0.2">
      <c r="A121" s="75">
        <v>2022</v>
      </c>
      <c r="B121" s="76" t="s">
        <v>79</v>
      </c>
      <c r="C121" s="85"/>
      <c r="D121" s="86">
        <v>31523310.542636499</v>
      </c>
      <c r="E121" s="86"/>
      <c r="F121" s="87">
        <v>14588726.92</v>
      </c>
      <c r="G121" s="88">
        <v>22684</v>
      </c>
      <c r="H121" s="86">
        <v>4771951.45</v>
      </c>
      <c r="I121" s="88">
        <v>1830</v>
      </c>
      <c r="J121" s="89">
        <v>10742355.280000001</v>
      </c>
      <c r="K121" s="90">
        <v>30666.99</v>
      </c>
      <c r="L121" s="88">
        <v>138</v>
      </c>
      <c r="M121" s="86">
        <v>32657.19</v>
      </c>
      <c r="N121" s="91">
        <v>97.91</v>
      </c>
      <c r="O121" s="88">
        <v>347</v>
      </c>
      <c r="P121" s="89">
        <v>124261.04</v>
      </c>
      <c r="Q121" s="92">
        <v>329.62</v>
      </c>
      <c r="R121" s="88">
        <v>7177</v>
      </c>
      <c r="S121" s="89">
        <v>68761</v>
      </c>
      <c r="T121" s="90"/>
      <c r="U121" s="88">
        <v>252</v>
      </c>
      <c r="V121" s="89"/>
      <c r="W121" s="90"/>
      <c r="X121" s="88">
        <v>0</v>
      </c>
      <c r="Z121" s="131"/>
    </row>
    <row r="122" spans="1:26" x14ac:dyDescent="0.2">
      <c r="A122" s="75">
        <v>2022</v>
      </c>
      <c r="B122" s="76" t="s">
        <v>80</v>
      </c>
      <c r="C122" s="85"/>
      <c r="D122" s="86">
        <v>32353240.0566434</v>
      </c>
      <c r="E122" s="86"/>
      <c r="F122" s="87">
        <v>14264198.84</v>
      </c>
      <c r="G122" s="88">
        <v>22714</v>
      </c>
      <c r="H122" s="86">
        <v>4844340.4000000004</v>
      </c>
      <c r="I122" s="88">
        <v>1834</v>
      </c>
      <c r="J122" s="89">
        <v>11771947.310000001</v>
      </c>
      <c r="K122" s="90">
        <v>30632.75</v>
      </c>
      <c r="L122" s="88">
        <v>139</v>
      </c>
      <c r="M122" s="86">
        <v>36079.730000000003</v>
      </c>
      <c r="N122" s="91">
        <v>96.99</v>
      </c>
      <c r="O122" s="88">
        <v>346</v>
      </c>
      <c r="P122" s="89">
        <v>123091.17</v>
      </c>
      <c r="Q122" s="92">
        <v>329.62</v>
      </c>
      <c r="R122" s="88">
        <v>7177</v>
      </c>
      <c r="S122" s="89">
        <v>76011</v>
      </c>
      <c r="T122" s="90"/>
      <c r="U122" s="88">
        <v>252</v>
      </c>
      <c r="V122" s="89"/>
      <c r="W122" s="90"/>
      <c r="X122" s="88">
        <v>0</v>
      </c>
      <c r="Z122" s="131"/>
    </row>
    <row r="123" spans="1:26" x14ac:dyDescent="0.2">
      <c r="A123" s="75">
        <v>2022</v>
      </c>
      <c r="B123" s="76" t="s">
        <v>81</v>
      </c>
      <c r="C123" s="85"/>
      <c r="D123" s="86">
        <v>27915177.2162803</v>
      </c>
      <c r="E123" s="86"/>
      <c r="F123" s="87">
        <v>12283802.050000001</v>
      </c>
      <c r="G123" s="88">
        <v>22758</v>
      </c>
      <c r="H123" s="86">
        <v>4163023.65</v>
      </c>
      <c r="I123" s="88">
        <v>1842</v>
      </c>
      <c r="J123" s="89">
        <v>10165552.229999999</v>
      </c>
      <c r="K123" s="90">
        <v>27648.229999999996</v>
      </c>
      <c r="L123" s="88">
        <v>139</v>
      </c>
      <c r="M123" s="86">
        <v>34826.04</v>
      </c>
      <c r="N123" s="91">
        <v>96.99</v>
      </c>
      <c r="O123" s="88">
        <v>346</v>
      </c>
      <c r="P123" s="89">
        <v>104027.95</v>
      </c>
      <c r="Q123" s="92">
        <v>329.62</v>
      </c>
      <c r="R123" s="88">
        <v>7177</v>
      </c>
      <c r="S123" s="89">
        <v>73571</v>
      </c>
      <c r="T123" s="90"/>
      <c r="U123" s="88">
        <v>252</v>
      </c>
      <c r="V123" s="89"/>
      <c r="W123" s="90"/>
      <c r="X123" s="88">
        <v>0</v>
      </c>
      <c r="Z123" s="131"/>
    </row>
    <row r="124" spans="1:26" x14ac:dyDescent="0.2">
      <c r="A124" s="75">
        <v>2022</v>
      </c>
      <c r="B124" s="76" t="s">
        <v>47</v>
      </c>
      <c r="C124" s="85"/>
      <c r="D124" s="86">
        <v>29942359.493953399</v>
      </c>
      <c r="E124" s="86"/>
      <c r="F124" s="87">
        <v>13299835.68</v>
      </c>
      <c r="G124" s="88">
        <v>22784</v>
      </c>
      <c r="H124" s="86">
        <v>4256205.5</v>
      </c>
      <c r="I124" s="88">
        <v>1844</v>
      </c>
      <c r="J124" s="89">
        <v>10987486.509999998</v>
      </c>
      <c r="K124" s="90">
        <v>29350.57</v>
      </c>
      <c r="L124" s="88">
        <v>138</v>
      </c>
      <c r="M124" s="86">
        <v>35986.910000000003</v>
      </c>
      <c r="N124" s="91">
        <v>96.99</v>
      </c>
      <c r="O124" s="88">
        <v>346</v>
      </c>
      <c r="P124" s="89">
        <v>94765.89</v>
      </c>
      <c r="Q124" s="92">
        <v>329.62</v>
      </c>
      <c r="R124" s="88">
        <v>7177</v>
      </c>
      <c r="S124" s="89">
        <v>76011</v>
      </c>
      <c r="T124" s="90"/>
      <c r="U124" s="88">
        <v>252</v>
      </c>
      <c r="V124" s="89"/>
      <c r="W124" s="90"/>
      <c r="X124" s="88">
        <v>0</v>
      </c>
      <c r="Z124" s="131"/>
    </row>
    <row r="125" spans="1:26" x14ac:dyDescent="0.2">
      <c r="A125" s="75">
        <v>2022</v>
      </c>
      <c r="B125" s="76" t="s">
        <v>82</v>
      </c>
      <c r="C125" s="85"/>
      <c r="D125" s="86">
        <v>32984458.022498798</v>
      </c>
      <c r="E125" s="86"/>
      <c r="F125" s="87">
        <v>15755653.300000001</v>
      </c>
      <c r="G125" s="88">
        <v>22808</v>
      </c>
      <c r="H125" s="86">
        <v>4499684.5599999996</v>
      </c>
      <c r="I125" s="88">
        <v>1844</v>
      </c>
      <c r="J125" s="89">
        <v>11187102.190000001</v>
      </c>
      <c r="K125" s="90">
        <v>31997.97</v>
      </c>
      <c r="L125" s="88">
        <v>138</v>
      </c>
      <c r="M125" s="86">
        <v>34826.04</v>
      </c>
      <c r="N125" s="91">
        <v>97.37</v>
      </c>
      <c r="O125" s="88">
        <v>346</v>
      </c>
      <c r="P125" s="89">
        <v>85635.24</v>
      </c>
      <c r="Q125" s="92">
        <v>329.62</v>
      </c>
      <c r="R125" s="88">
        <v>7177</v>
      </c>
      <c r="S125" s="89">
        <v>73571</v>
      </c>
      <c r="T125" s="90"/>
      <c r="U125" s="88">
        <v>252</v>
      </c>
      <c r="V125" s="89"/>
      <c r="W125" s="90"/>
      <c r="X125" s="88">
        <v>0</v>
      </c>
      <c r="Z125" s="131"/>
    </row>
    <row r="126" spans="1:26" x14ac:dyDescent="0.2">
      <c r="A126" s="75">
        <v>2022</v>
      </c>
      <c r="B126" s="76" t="s">
        <v>83</v>
      </c>
      <c r="C126" s="85"/>
      <c r="D126" s="86">
        <v>39133029.9268599</v>
      </c>
      <c r="E126" s="86"/>
      <c r="F126" s="87">
        <v>20212226.859999999</v>
      </c>
      <c r="G126" s="88">
        <v>22842</v>
      </c>
      <c r="H126" s="86">
        <v>5038460.28</v>
      </c>
      <c r="I126" s="88">
        <v>1836</v>
      </c>
      <c r="J126" s="89">
        <v>12132980.999999998</v>
      </c>
      <c r="K126" s="90">
        <v>31237.25</v>
      </c>
      <c r="L126" s="88">
        <v>140</v>
      </c>
      <c r="M126" s="86">
        <v>35891.15</v>
      </c>
      <c r="N126" s="91">
        <v>96.61</v>
      </c>
      <c r="O126" s="88">
        <v>346</v>
      </c>
      <c r="P126" s="89">
        <v>92057.33</v>
      </c>
      <c r="Q126" s="92">
        <v>329.62</v>
      </c>
      <c r="R126" s="88">
        <v>7177</v>
      </c>
      <c r="S126" s="89">
        <v>76011</v>
      </c>
      <c r="T126" s="90"/>
      <c r="U126" s="88">
        <v>252</v>
      </c>
      <c r="V126" s="89"/>
      <c r="W126" s="90"/>
      <c r="X126" s="88">
        <v>0</v>
      </c>
      <c r="Z126" s="131"/>
    </row>
    <row r="127" spans="1:26" x14ac:dyDescent="0.2">
      <c r="A127" s="75">
        <v>2022</v>
      </c>
      <c r="B127" s="76" t="s">
        <v>84</v>
      </c>
      <c r="C127" s="85"/>
      <c r="D127" s="86">
        <v>39821521.175825201</v>
      </c>
      <c r="E127" s="86"/>
      <c r="F127" s="87">
        <v>20213985.329999998</v>
      </c>
      <c r="G127" s="88">
        <v>22885</v>
      </c>
      <c r="H127" s="86">
        <v>5129010.74</v>
      </c>
      <c r="I127" s="88">
        <v>1836</v>
      </c>
      <c r="J127" s="89">
        <v>12590510.060000002</v>
      </c>
      <c r="K127" s="90">
        <v>31432.58</v>
      </c>
      <c r="L127" s="88">
        <v>140</v>
      </c>
      <c r="M127" s="86">
        <v>35843.269999999997</v>
      </c>
      <c r="N127" s="91">
        <v>96.83</v>
      </c>
      <c r="O127" s="88">
        <v>346</v>
      </c>
      <c r="P127" s="89">
        <v>103588.36</v>
      </c>
      <c r="Q127" s="92">
        <v>329.62</v>
      </c>
      <c r="R127" s="88">
        <v>7177</v>
      </c>
      <c r="S127" s="89">
        <v>76011</v>
      </c>
      <c r="T127" s="90"/>
      <c r="U127" s="88">
        <v>252</v>
      </c>
      <c r="V127" s="89"/>
      <c r="W127" s="90"/>
      <c r="X127" s="88">
        <v>0</v>
      </c>
      <c r="Z127" s="131"/>
    </row>
    <row r="128" spans="1:26" x14ac:dyDescent="0.2">
      <c r="A128" s="75">
        <v>2022</v>
      </c>
      <c r="B128" s="76" t="s">
        <v>85</v>
      </c>
      <c r="C128" s="85"/>
      <c r="D128" s="86">
        <v>31429525.786972698</v>
      </c>
      <c r="E128" s="86"/>
      <c r="F128" s="87">
        <v>14211138.42</v>
      </c>
      <c r="G128" s="88">
        <v>22924</v>
      </c>
      <c r="H128" s="86">
        <v>4269069.9000000004</v>
      </c>
      <c r="I128" s="88">
        <v>1837</v>
      </c>
      <c r="J128" s="89">
        <v>11467517.67</v>
      </c>
      <c r="K128" s="90">
        <v>31261.790000000005</v>
      </c>
      <c r="L128" s="88">
        <v>140</v>
      </c>
      <c r="M128" s="86">
        <v>34619.22</v>
      </c>
      <c r="N128" s="91">
        <v>96.42</v>
      </c>
      <c r="O128" s="88">
        <v>343</v>
      </c>
      <c r="P128" s="89">
        <v>114290.09</v>
      </c>
      <c r="Q128" s="92">
        <v>329.62</v>
      </c>
      <c r="R128" s="88">
        <v>7185</v>
      </c>
      <c r="S128" s="89">
        <v>73571</v>
      </c>
      <c r="T128" s="90"/>
      <c r="U128" s="88">
        <v>252</v>
      </c>
      <c r="V128" s="89"/>
      <c r="W128" s="90"/>
      <c r="X128" s="88">
        <v>0</v>
      </c>
      <c r="Z128" s="131"/>
    </row>
    <row r="129" spans="1:26" x14ac:dyDescent="0.2">
      <c r="A129" s="75">
        <v>2022</v>
      </c>
      <c r="B129" s="76" t="s">
        <v>86</v>
      </c>
      <c r="C129" s="85"/>
      <c r="D129" s="86">
        <v>28375439.900397301</v>
      </c>
      <c r="E129" s="86"/>
      <c r="F129" s="87">
        <v>11961248.59</v>
      </c>
      <c r="G129" s="88">
        <v>22993</v>
      </c>
      <c r="H129" s="86">
        <v>4084495.52</v>
      </c>
      <c r="I129" s="88">
        <v>1847</v>
      </c>
      <c r="J129" s="89">
        <v>10980059.050000001</v>
      </c>
      <c r="K129" s="90">
        <v>28362.549999999996</v>
      </c>
      <c r="L129" s="88">
        <v>140</v>
      </c>
      <c r="M129" s="86">
        <v>35724.65</v>
      </c>
      <c r="N129" s="91">
        <v>96.09</v>
      </c>
      <c r="O129" s="88">
        <v>342</v>
      </c>
      <c r="P129" s="89">
        <v>133117.44</v>
      </c>
      <c r="Q129" s="92">
        <v>329.62</v>
      </c>
      <c r="R129" s="88">
        <v>7185</v>
      </c>
      <c r="S129" s="89">
        <v>76011</v>
      </c>
      <c r="T129" s="90"/>
      <c r="U129" s="88">
        <v>252</v>
      </c>
      <c r="V129" s="89"/>
      <c r="W129" s="90"/>
      <c r="X129" s="88">
        <v>0</v>
      </c>
      <c r="Z129" s="131"/>
    </row>
    <row r="130" spans="1:26" x14ac:dyDescent="0.2">
      <c r="A130" s="75">
        <v>2022</v>
      </c>
      <c r="B130" s="76" t="s">
        <v>87</v>
      </c>
      <c r="C130" s="85"/>
      <c r="D130" s="86">
        <v>29798652.173497498</v>
      </c>
      <c r="E130" s="86"/>
      <c r="F130" s="87">
        <v>12947605.449999999</v>
      </c>
      <c r="G130" s="88">
        <v>23036</v>
      </c>
      <c r="H130" s="86">
        <v>4414009.78</v>
      </c>
      <c r="I130" s="88">
        <v>1837</v>
      </c>
      <c r="J130" s="89">
        <v>11042555.199999999</v>
      </c>
      <c r="K130" s="90">
        <v>28710.57</v>
      </c>
      <c r="L130" s="88">
        <v>141</v>
      </c>
      <c r="M130" s="86">
        <v>34572.239999999998</v>
      </c>
      <c r="N130" s="91">
        <v>96.28</v>
      </c>
      <c r="O130" s="88">
        <v>342</v>
      </c>
      <c r="P130" s="89">
        <v>141577.29999999999</v>
      </c>
      <c r="Q130" s="92">
        <v>329.62</v>
      </c>
      <c r="R130" s="88">
        <v>7185</v>
      </c>
      <c r="S130" s="89">
        <v>73571</v>
      </c>
      <c r="T130" s="90"/>
      <c r="U130" s="88">
        <v>252</v>
      </c>
      <c r="V130" s="89"/>
      <c r="W130" s="90"/>
      <c r="X130" s="88">
        <v>0</v>
      </c>
      <c r="Z130" s="131"/>
    </row>
    <row r="131" spans="1:26" x14ac:dyDescent="0.2">
      <c r="A131" s="75">
        <v>2022</v>
      </c>
      <c r="B131" s="76" t="s">
        <v>88</v>
      </c>
      <c r="C131" s="85"/>
      <c r="D131" s="86">
        <v>33870515.1064891</v>
      </c>
      <c r="E131" s="86"/>
      <c r="F131" s="87">
        <v>15811663.27</v>
      </c>
      <c r="G131" s="88">
        <v>23084</v>
      </c>
      <c r="H131" s="86">
        <v>5000980.3499999996</v>
      </c>
      <c r="I131" s="88">
        <v>1840</v>
      </c>
      <c r="J131" s="89">
        <v>11480377.619999999</v>
      </c>
      <c r="K131" s="90">
        <v>27921.54</v>
      </c>
      <c r="L131" s="88">
        <v>139</v>
      </c>
      <c r="M131" s="86">
        <v>35724.65</v>
      </c>
      <c r="N131" s="91">
        <v>96.28</v>
      </c>
      <c r="O131" s="88">
        <v>342</v>
      </c>
      <c r="P131" s="89">
        <v>152933.22</v>
      </c>
      <c r="Q131" s="92">
        <v>329.62</v>
      </c>
      <c r="R131" s="88">
        <v>7279</v>
      </c>
      <c r="S131" s="89">
        <v>76011</v>
      </c>
      <c r="T131" s="90"/>
      <c r="U131" s="88">
        <v>252</v>
      </c>
      <c r="V131" s="89"/>
      <c r="W131" s="90"/>
      <c r="X131" s="88">
        <v>0</v>
      </c>
      <c r="Z131" s="131"/>
    </row>
    <row r="132" spans="1:26" x14ac:dyDescent="0.2">
      <c r="A132" s="75">
        <v>2023</v>
      </c>
      <c r="B132" s="76" t="s">
        <v>78</v>
      </c>
      <c r="C132" s="85"/>
      <c r="D132" s="78">
        <v>33991812.103445902</v>
      </c>
      <c r="E132" s="78"/>
      <c r="F132" s="79">
        <v>15400439.299999999</v>
      </c>
      <c r="G132" s="80">
        <v>23098</v>
      </c>
      <c r="H132" s="78">
        <v>5119897.5199999986</v>
      </c>
      <c r="I132" s="80">
        <v>1847</v>
      </c>
      <c r="J132" s="81">
        <v>11307279.920249999</v>
      </c>
      <c r="K132" s="82">
        <v>28163.800000000003</v>
      </c>
      <c r="L132" s="80">
        <v>136</v>
      </c>
      <c r="M132" s="78">
        <v>35724.65</v>
      </c>
      <c r="N132" s="83">
        <v>96.28</v>
      </c>
      <c r="O132" s="80">
        <v>342</v>
      </c>
      <c r="P132" s="81">
        <v>151509.94</v>
      </c>
      <c r="Q132" s="84">
        <v>334.94</v>
      </c>
      <c r="R132" s="80">
        <v>7279</v>
      </c>
      <c r="S132" s="81">
        <v>76011</v>
      </c>
      <c r="T132" s="82"/>
      <c r="U132" s="80">
        <v>252</v>
      </c>
      <c r="V132" s="81"/>
      <c r="W132" s="82"/>
      <c r="X132" s="80">
        <v>0</v>
      </c>
      <c r="Z132" s="131"/>
    </row>
    <row r="133" spans="1:26" x14ac:dyDescent="0.2">
      <c r="A133" s="75">
        <v>2023</v>
      </c>
      <c r="B133" s="76" t="s">
        <v>79</v>
      </c>
      <c r="C133" s="85"/>
      <c r="D133" s="86">
        <v>30665858.379131198</v>
      </c>
      <c r="E133" s="86"/>
      <c r="F133" s="87">
        <v>13712540.429999998</v>
      </c>
      <c r="G133" s="88">
        <v>23116</v>
      </c>
      <c r="H133" s="86">
        <v>4653598.4899999993</v>
      </c>
      <c r="I133" s="88">
        <v>1841</v>
      </c>
      <c r="J133" s="89">
        <v>11186421.212000001</v>
      </c>
      <c r="K133" s="90">
        <v>28855.49</v>
      </c>
      <c r="L133" s="88">
        <v>136</v>
      </c>
      <c r="M133" s="86">
        <v>32267.430000000004</v>
      </c>
      <c r="N133" s="91">
        <v>96.28</v>
      </c>
      <c r="O133" s="88">
        <v>342</v>
      </c>
      <c r="P133" s="89">
        <v>126300.17</v>
      </c>
      <c r="Q133" s="92">
        <v>334.94</v>
      </c>
      <c r="R133" s="88">
        <v>7279</v>
      </c>
      <c r="S133" s="89">
        <v>67578</v>
      </c>
      <c r="T133" s="90"/>
      <c r="U133" s="88">
        <v>196</v>
      </c>
      <c r="V133" s="89"/>
      <c r="W133" s="90"/>
      <c r="X133" s="88">
        <v>0</v>
      </c>
      <c r="Z133" s="131"/>
    </row>
    <row r="134" spans="1:26" x14ac:dyDescent="0.2">
      <c r="A134" s="75">
        <v>2023</v>
      </c>
      <c r="B134" s="76" t="s">
        <v>80</v>
      </c>
      <c r="C134" s="85"/>
      <c r="D134" s="86">
        <v>32629381.9263977</v>
      </c>
      <c r="E134" s="86"/>
      <c r="F134" s="87">
        <v>14354034.919999994</v>
      </c>
      <c r="G134" s="88">
        <v>23151</v>
      </c>
      <c r="H134" s="86">
        <v>4943675.4899999993</v>
      </c>
      <c r="I134" s="88">
        <v>1842</v>
      </c>
      <c r="J134" s="89">
        <v>11453032.650750002</v>
      </c>
      <c r="K134" s="90">
        <v>27440.43</v>
      </c>
      <c r="L134" s="88">
        <v>136</v>
      </c>
      <c r="M134" s="86">
        <v>35724.65</v>
      </c>
      <c r="N134" s="91">
        <v>96.28</v>
      </c>
      <c r="O134" s="88">
        <v>342</v>
      </c>
      <c r="P134" s="89">
        <v>125127.83</v>
      </c>
      <c r="Q134" s="92">
        <v>334.94</v>
      </c>
      <c r="R134" s="88">
        <v>7305</v>
      </c>
      <c r="S134" s="89">
        <v>71845</v>
      </c>
      <c r="T134" s="90"/>
      <c r="U134" s="88">
        <v>196</v>
      </c>
      <c r="V134" s="89"/>
      <c r="W134" s="90"/>
      <c r="X134" s="88">
        <v>0</v>
      </c>
      <c r="Z134" s="131"/>
    </row>
    <row r="135" spans="1:26" x14ac:dyDescent="0.2">
      <c r="A135" s="75">
        <v>2023</v>
      </c>
      <c r="B135" s="76" t="s">
        <v>81</v>
      </c>
      <c r="C135" s="85"/>
      <c r="D135" s="86">
        <v>28070848.797054499</v>
      </c>
      <c r="E135" s="86"/>
      <c r="F135" s="87">
        <v>12070642.949999999</v>
      </c>
      <c r="G135" s="88">
        <v>23223</v>
      </c>
      <c r="H135" s="86">
        <v>4028518.22</v>
      </c>
      <c r="I135" s="88">
        <v>1848</v>
      </c>
      <c r="J135" s="89">
        <v>10875262.258750001</v>
      </c>
      <c r="K135" s="90">
        <v>27347.980000000003</v>
      </c>
      <c r="L135" s="88">
        <v>142</v>
      </c>
      <c r="M135" s="86">
        <v>34572.239999999998</v>
      </c>
      <c r="N135" s="91">
        <v>96.28</v>
      </c>
      <c r="O135" s="88">
        <v>342</v>
      </c>
      <c r="P135" s="89">
        <v>106242.79</v>
      </c>
      <c r="Q135" s="92">
        <v>334.94</v>
      </c>
      <c r="R135" s="88">
        <v>7305</v>
      </c>
      <c r="S135" s="89">
        <v>69311</v>
      </c>
      <c r="T135" s="90"/>
      <c r="U135" s="88">
        <v>195</v>
      </c>
      <c r="V135" s="89"/>
      <c r="W135" s="90"/>
      <c r="X135" s="88">
        <v>0</v>
      </c>
      <c r="Z135" s="131"/>
    </row>
    <row r="136" spans="1:26" x14ac:dyDescent="0.2">
      <c r="A136" s="75">
        <v>2023</v>
      </c>
      <c r="B136" s="76" t="s">
        <v>47</v>
      </c>
      <c r="C136" s="85"/>
      <c r="D136" s="86">
        <v>28924411.6335361</v>
      </c>
      <c r="E136" s="86"/>
      <c r="F136" s="87">
        <v>12265205.780000005</v>
      </c>
      <c r="G136" s="88">
        <v>23315</v>
      </c>
      <c r="H136" s="86">
        <v>4075068.2300000004</v>
      </c>
      <c r="I136" s="88">
        <v>1842</v>
      </c>
      <c r="J136" s="89">
        <v>10935284.704750001</v>
      </c>
      <c r="K136" s="90">
        <v>30485.699999999997</v>
      </c>
      <c r="L136" s="88">
        <v>144</v>
      </c>
      <c r="M136" s="86">
        <v>35724.65</v>
      </c>
      <c r="N136" s="91">
        <v>96.28</v>
      </c>
      <c r="O136" s="88">
        <v>342</v>
      </c>
      <c r="P136" s="89">
        <v>96674.69</v>
      </c>
      <c r="Q136" s="92">
        <v>334.94</v>
      </c>
      <c r="R136" s="88">
        <v>7305</v>
      </c>
      <c r="S136" s="89">
        <v>71473</v>
      </c>
      <c r="T136" s="90"/>
      <c r="U136" s="88">
        <v>195</v>
      </c>
      <c r="V136" s="89"/>
      <c r="W136" s="90"/>
      <c r="X136" s="88">
        <v>0</v>
      </c>
      <c r="Z136" s="131"/>
    </row>
    <row r="137" spans="1:26" x14ac:dyDescent="0.2">
      <c r="A137" s="75">
        <v>2023</v>
      </c>
      <c r="B137" s="76" t="s">
        <v>82</v>
      </c>
      <c r="C137" s="85"/>
      <c r="D137" s="86">
        <v>32337605.014613099</v>
      </c>
      <c r="E137" s="86"/>
      <c r="F137" s="87">
        <v>15104643.910000002</v>
      </c>
      <c r="G137" s="88">
        <v>23394</v>
      </c>
      <c r="H137" s="86">
        <v>4326511.0100000007</v>
      </c>
      <c r="I137" s="88">
        <v>1848</v>
      </c>
      <c r="J137" s="89">
        <v>11485832.382249998</v>
      </c>
      <c r="K137" s="90">
        <v>30853.600000000002</v>
      </c>
      <c r="L137" s="88">
        <v>144</v>
      </c>
      <c r="M137" s="86">
        <v>34572.239999999991</v>
      </c>
      <c r="N137" s="91">
        <v>96.28</v>
      </c>
      <c r="O137" s="88">
        <v>342</v>
      </c>
      <c r="P137" s="89">
        <v>87067.53</v>
      </c>
      <c r="Q137" s="92">
        <v>334.94</v>
      </c>
      <c r="R137" s="88">
        <v>7305</v>
      </c>
      <c r="S137" s="89">
        <v>69239</v>
      </c>
      <c r="T137" s="90"/>
      <c r="U137" s="88">
        <v>195</v>
      </c>
      <c r="V137" s="89"/>
      <c r="W137" s="90"/>
      <c r="X137" s="88">
        <v>0</v>
      </c>
      <c r="Z137" s="131"/>
    </row>
    <row r="138" spans="1:26" x14ac:dyDescent="0.2">
      <c r="A138" s="75">
        <v>2023</v>
      </c>
      <c r="B138" s="76" t="s">
        <v>83</v>
      </c>
      <c r="C138" s="85"/>
      <c r="D138" s="86">
        <v>39594891.335779101</v>
      </c>
      <c r="E138" s="86"/>
      <c r="F138" s="87">
        <v>20276948.509999998</v>
      </c>
      <c r="G138" s="88">
        <v>23430</v>
      </c>
      <c r="H138" s="86">
        <v>4969411.3099999996</v>
      </c>
      <c r="I138" s="88">
        <v>1849</v>
      </c>
      <c r="J138" s="89">
        <v>12313567.817249998</v>
      </c>
      <c r="K138" s="90">
        <v>31569.019999999997</v>
      </c>
      <c r="L138" s="88">
        <v>144</v>
      </c>
      <c r="M138" s="86">
        <v>35724.65</v>
      </c>
      <c r="N138" s="91">
        <v>96.28</v>
      </c>
      <c r="O138" s="88">
        <v>342</v>
      </c>
      <c r="P138" s="89">
        <v>94157.99</v>
      </c>
      <c r="Q138" s="92">
        <v>341.22</v>
      </c>
      <c r="R138" s="88">
        <v>7399</v>
      </c>
      <c r="S138" s="89">
        <v>71845</v>
      </c>
      <c r="T138" s="90"/>
      <c r="U138" s="88">
        <v>195</v>
      </c>
      <c r="V138" s="89"/>
      <c r="W138" s="90"/>
      <c r="X138" s="88">
        <v>0</v>
      </c>
      <c r="Z138" s="131"/>
    </row>
    <row r="139" spans="1:26" x14ac:dyDescent="0.2">
      <c r="A139" s="75">
        <v>2023</v>
      </c>
      <c r="B139" s="76" t="s">
        <v>84</v>
      </c>
      <c r="C139" s="85"/>
      <c r="D139" s="86">
        <v>35523357.586275995</v>
      </c>
      <c r="E139" s="86"/>
      <c r="F139" s="87">
        <v>17297910.550000004</v>
      </c>
      <c r="G139" s="88">
        <v>23485</v>
      </c>
      <c r="H139" s="86">
        <v>4569321.8500000006</v>
      </c>
      <c r="I139" s="88">
        <v>1845</v>
      </c>
      <c r="J139" s="89">
        <v>12062480.350000001</v>
      </c>
      <c r="K139" s="90">
        <v>29546.949999999997</v>
      </c>
      <c r="L139" s="88">
        <v>144</v>
      </c>
      <c r="M139" s="86">
        <v>35724.65</v>
      </c>
      <c r="N139" s="91">
        <v>96.28</v>
      </c>
      <c r="O139" s="88">
        <v>342</v>
      </c>
      <c r="P139" s="89">
        <v>106727.86</v>
      </c>
      <c r="Q139" s="92">
        <v>341.22</v>
      </c>
      <c r="R139" s="88">
        <v>7399</v>
      </c>
      <c r="S139" s="89">
        <v>71845</v>
      </c>
      <c r="T139" s="90"/>
      <c r="U139" s="88">
        <v>195</v>
      </c>
      <c r="V139" s="89"/>
      <c r="W139" s="90"/>
      <c r="X139" s="88">
        <v>0</v>
      </c>
      <c r="Z139" s="131"/>
    </row>
    <row r="140" spans="1:26" x14ac:dyDescent="0.2">
      <c r="A140" s="75">
        <v>2023</v>
      </c>
      <c r="B140" s="76" t="s">
        <v>85</v>
      </c>
      <c r="C140" s="85"/>
      <c r="D140" s="86">
        <v>31570923.270029802</v>
      </c>
      <c r="E140" s="86"/>
      <c r="F140" s="87">
        <v>14579829.130000001</v>
      </c>
      <c r="G140" s="88">
        <v>23557</v>
      </c>
      <c r="H140" s="86">
        <v>4269674.47</v>
      </c>
      <c r="I140" s="88">
        <v>1847</v>
      </c>
      <c r="J140" s="89">
        <v>11476498.1555</v>
      </c>
      <c r="K140" s="90">
        <v>32840.129999999997</v>
      </c>
      <c r="L140" s="88">
        <v>144</v>
      </c>
      <c r="M140" s="86">
        <v>34572.239999999998</v>
      </c>
      <c r="N140" s="91">
        <v>96.47</v>
      </c>
      <c r="O140" s="88">
        <v>342</v>
      </c>
      <c r="P140" s="89">
        <v>117772.01</v>
      </c>
      <c r="Q140" s="92">
        <v>341.22</v>
      </c>
      <c r="R140" s="88">
        <v>7399</v>
      </c>
      <c r="S140" s="89">
        <v>69539</v>
      </c>
      <c r="T140" s="90"/>
      <c r="U140" s="88">
        <v>195</v>
      </c>
      <c r="V140" s="89"/>
      <c r="W140" s="90"/>
      <c r="X140" s="88">
        <v>0</v>
      </c>
      <c r="Z140" s="131"/>
    </row>
    <row r="141" spans="1:26" x14ac:dyDescent="0.2">
      <c r="A141" s="75">
        <v>2023</v>
      </c>
      <c r="B141" s="76" t="s">
        <v>86</v>
      </c>
      <c r="C141" s="85"/>
      <c r="D141" s="86">
        <v>29609700.8526466</v>
      </c>
      <c r="E141" s="86"/>
      <c r="F141" s="87">
        <v>13072465.739999998</v>
      </c>
      <c r="G141" s="88">
        <v>23681</v>
      </c>
      <c r="H141" s="86">
        <v>4181105.42</v>
      </c>
      <c r="I141" s="88">
        <v>1845</v>
      </c>
      <c r="J141" s="89">
        <v>10979100.983500002</v>
      </c>
      <c r="K141" s="90">
        <v>29814.499999999996</v>
      </c>
      <c r="L141" s="88">
        <v>144</v>
      </c>
      <c r="M141" s="86">
        <v>35615.21</v>
      </c>
      <c r="N141" s="91">
        <v>95.990000000000009</v>
      </c>
      <c r="O141" s="88">
        <v>341</v>
      </c>
      <c r="P141" s="89">
        <v>137249.98000000001</v>
      </c>
      <c r="Q141" s="92">
        <v>341.22</v>
      </c>
      <c r="R141" s="88">
        <v>7383</v>
      </c>
      <c r="S141" s="89">
        <v>71845</v>
      </c>
      <c r="T141" s="92"/>
      <c r="U141" s="88">
        <v>196</v>
      </c>
      <c r="V141" s="89"/>
      <c r="W141" s="92"/>
      <c r="X141" s="88">
        <v>0</v>
      </c>
      <c r="Z141" s="131"/>
    </row>
    <row r="142" spans="1:26" x14ac:dyDescent="0.2">
      <c r="A142" s="75">
        <v>2023</v>
      </c>
      <c r="B142" s="76" t="s">
        <v>87</v>
      </c>
      <c r="C142" s="85"/>
      <c r="D142" s="86">
        <v>30895716.9335532</v>
      </c>
      <c r="E142" s="86"/>
      <c r="F142" s="87">
        <v>13791629.319999998</v>
      </c>
      <c r="G142" s="88">
        <v>23713</v>
      </c>
      <c r="H142" s="86">
        <v>4438433.7299999995</v>
      </c>
      <c r="I142" s="88">
        <v>1843</v>
      </c>
      <c r="J142" s="89">
        <v>11097897.367000001</v>
      </c>
      <c r="K142" s="90">
        <v>28939.419999999995</v>
      </c>
      <c r="L142" s="88">
        <v>145</v>
      </c>
      <c r="M142" s="86">
        <v>34367.039999999994</v>
      </c>
      <c r="N142" s="91">
        <v>93.13000000000001</v>
      </c>
      <c r="O142" s="88">
        <v>341</v>
      </c>
      <c r="P142" s="89">
        <v>146121.74</v>
      </c>
      <c r="Q142" s="92">
        <v>341.22</v>
      </c>
      <c r="R142" s="88">
        <v>7401</v>
      </c>
      <c r="S142" s="89">
        <v>69539</v>
      </c>
      <c r="T142" s="92"/>
      <c r="U142" s="88">
        <v>196</v>
      </c>
      <c r="V142" s="89"/>
      <c r="W142" s="92"/>
      <c r="X142" s="88">
        <v>0</v>
      </c>
      <c r="Z142" s="131"/>
    </row>
    <row r="143" spans="1:26" ht="13.5" thickBot="1" x14ac:dyDescent="0.25">
      <c r="A143" s="75">
        <v>2023</v>
      </c>
      <c r="B143" s="76" t="s">
        <v>88</v>
      </c>
      <c r="C143" s="85"/>
      <c r="D143" s="93">
        <v>32819279.789655898</v>
      </c>
      <c r="E143" s="93"/>
      <c r="F143" s="94">
        <v>15465345.939999999</v>
      </c>
      <c r="G143" s="95">
        <v>23761</v>
      </c>
      <c r="H143" s="93">
        <v>4704208.76</v>
      </c>
      <c r="I143" s="95">
        <v>1847</v>
      </c>
      <c r="J143" s="96">
        <v>11259431.705250001</v>
      </c>
      <c r="K143" s="97">
        <v>27947.090000000004</v>
      </c>
      <c r="L143" s="95">
        <v>145</v>
      </c>
      <c r="M143" s="93">
        <v>35081.289999999994</v>
      </c>
      <c r="N143" s="98">
        <v>97.28</v>
      </c>
      <c r="O143" s="95">
        <v>341</v>
      </c>
      <c r="P143" s="96">
        <v>158223.57999999999</v>
      </c>
      <c r="Q143" s="99">
        <v>341.22</v>
      </c>
      <c r="R143" s="95">
        <v>7272</v>
      </c>
      <c r="S143" s="96">
        <v>71845</v>
      </c>
      <c r="T143" s="99"/>
      <c r="U143" s="95">
        <v>196</v>
      </c>
      <c r="V143" s="96"/>
      <c r="W143" s="99"/>
      <c r="X143" s="88">
        <v>0</v>
      </c>
      <c r="Z143" s="131"/>
    </row>
    <row r="144" spans="1:26" x14ac:dyDescent="0.2">
      <c r="A144" s="75">
        <v>2024</v>
      </c>
      <c r="B144" s="76" t="s">
        <v>78</v>
      </c>
      <c r="C144" s="85"/>
      <c r="D144" s="207">
        <v>35923142.759999998</v>
      </c>
      <c r="E144" s="207"/>
      <c r="F144" s="208">
        <v>16620006.249999998</v>
      </c>
      <c r="G144" s="209">
        <v>23784</v>
      </c>
      <c r="H144" s="207">
        <v>5277246.97</v>
      </c>
      <c r="I144" s="209">
        <v>1851</v>
      </c>
      <c r="J144" s="210">
        <v>12290371.029999999</v>
      </c>
      <c r="K144" s="211">
        <v>29540.07</v>
      </c>
      <c r="L144" s="209">
        <v>146</v>
      </c>
      <c r="M144" s="207">
        <v>35141.35</v>
      </c>
      <c r="N144" s="212">
        <v>94.59</v>
      </c>
      <c r="O144" s="209">
        <v>341</v>
      </c>
      <c r="P144" s="210">
        <v>154066.38</v>
      </c>
      <c r="Q144" s="213">
        <v>341.22</v>
      </c>
      <c r="R144" s="209">
        <v>7272</v>
      </c>
      <c r="S144" s="210">
        <v>72169</v>
      </c>
      <c r="T144" s="211"/>
      <c r="U144" s="209">
        <v>197</v>
      </c>
      <c r="V144" s="210"/>
      <c r="W144" s="211"/>
      <c r="X144" s="209">
        <v>0</v>
      </c>
      <c r="Z144" s="131"/>
    </row>
    <row r="145" spans="1:26" x14ac:dyDescent="0.2">
      <c r="A145" s="75">
        <v>2024</v>
      </c>
      <c r="B145" s="76" t="s">
        <v>79</v>
      </c>
      <c r="C145" s="85"/>
      <c r="D145" s="207">
        <v>31731446.009999998</v>
      </c>
      <c r="E145" s="207"/>
      <c r="F145" s="208">
        <v>14310124.729999997</v>
      </c>
      <c r="G145" s="209">
        <v>23795</v>
      </c>
      <c r="H145" s="207">
        <v>4759355.5600000005</v>
      </c>
      <c r="I145" s="209">
        <v>1852</v>
      </c>
      <c r="J145" s="210">
        <v>11166513.59</v>
      </c>
      <c r="K145" s="211">
        <v>28681.360000000001</v>
      </c>
      <c r="L145" s="209">
        <v>146</v>
      </c>
      <c r="M145" s="207">
        <v>32714.789999999997</v>
      </c>
      <c r="N145" s="212">
        <v>94.25</v>
      </c>
      <c r="O145" s="209">
        <v>341</v>
      </c>
      <c r="P145" s="210">
        <v>129449.63</v>
      </c>
      <c r="Q145" s="213">
        <v>332.22</v>
      </c>
      <c r="R145" s="209">
        <v>7272</v>
      </c>
      <c r="S145" s="210">
        <v>67554.260000000009</v>
      </c>
      <c r="T145" s="211"/>
      <c r="U145" s="209">
        <v>197</v>
      </c>
      <c r="V145" s="210"/>
      <c r="W145" s="211"/>
      <c r="X145" s="209">
        <v>0</v>
      </c>
      <c r="Z145" s="131"/>
    </row>
    <row r="146" spans="1:26" x14ac:dyDescent="0.2">
      <c r="A146" s="75">
        <v>2024</v>
      </c>
      <c r="B146" s="76" t="s">
        <v>80</v>
      </c>
      <c r="C146" s="85"/>
      <c r="D146" s="207">
        <v>31839641.859999999</v>
      </c>
      <c r="E146" s="207"/>
      <c r="F146" s="208">
        <v>14024352.250000006</v>
      </c>
      <c r="G146" s="209">
        <v>23793</v>
      </c>
      <c r="H146" s="207">
        <v>4654697.83</v>
      </c>
      <c r="I146" s="209">
        <v>1850</v>
      </c>
      <c r="J146" s="210">
        <v>11494020.190000001</v>
      </c>
      <c r="K146" s="211">
        <v>29600.35</v>
      </c>
      <c r="L146" s="209">
        <v>148</v>
      </c>
      <c r="M146" s="207">
        <v>34970.97</v>
      </c>
      <c r="N146" s="212">
        <v>94.250000000000014</v>
      </c>
      <c r="O146" s="209">
        <v>341</v>
      </c>
      <c r="P146" s="210">
        <v>123724.45</v>
      </c>
      <c r="Q146" s="213">
        <v>332.22</v>
      </c>
      <c r="R146" s="209">
        <v>7274</v>
      </c>
      <c r="S146" s="210">
        <v>72044.739999999991</v>
      </c>
      <c r="T146" s="211"/>
      <c r="U146" s="209">
        <v>197</v>
      </c>
      <c r="V146" s="210"/>
      <c r="W146" s="211"/>
      <c r="X146" s="209">
        <v>0</v>
      </c>
      <c r="Z146" s="131"/>
    </row>
    <row r="147" spans="1:26" x14ac:dyDescent="0.2">
      <c r="A147" s="75">
        <v>2024</v>
      </c>
      <c r="B147" s="76" t="s">
        <v>81</v>
      </c>
      <c r="C147" s="85"/>
      <c r="D147" s="207">
        <v>28562458.940000001</v>
      </c>
      <c r="E147" s="207"/>
      <c r="F147" s="208">
        <v>12277882.850000009</v>
      </c>
      <c r="G147" s="209">
        <v>23812</v>
      </c>
      <c r="H147" s="207">
        <v>4161907.560000001</v>
      </c>
      <c r="I147" s="209">
        <v>1861</v>
      </c>
      <c r="J147" s="210">
        <v>10402709.76</v>
      </c>
      <c r="K147" s="211">
        <v>28661.64</v>
      </c>
      <c r="L147" s="209">
        <v>149</v>
      </c>
      <c r="M147" s="207">
        <v>33842.879999999997</v>
      </c>
      <c r="N147" s="212">
        <v>94.54</v>
      </c>
      <c r="O147" s="209">
        <v>341</v>
      </c>
      <c r="P147" s="210">
        <v>105186.58</v>
      </c>
      <c r="Q147" s="213">
        <v>332.22</v>
      </c>
      <c r="R147" s="209">
        <v>7274</v>
      </c>
      <c r="S147" s="210">
        <v>69611</v>
      </c>
      <c r="T147" s="211"/>
      <c r="U147" s="209">
        <v>196</v>
      </c>
      <c r="V147" s="210"/>
      <c r="W147" s="211"/>
      <c r="X147" s="209">
        <v>0</v>
      </c>
      <c r="Z147" s="131"/>
    </row>
    <row r="148" spans="1:26" x14ac:dyDescent="0.2">
      <c r="A148" s="75">
        <v>2024</v>
      </c>
      <c r="B148" s="76" t="s">
        <v>47</v>
      </c>
      <c r="C148" s="85"/>
      <c r="D148" s="207">
        <v>30423026.610000003</v>
      </c>
      <c r="E148" s="207"/>
      <c r="F148" s="208">
        <v>13273039.169999998</v>
      </c>
      <c r="G148" s="209">
        <v>23832</v>
      </c>
      <c r="H148" s="207">
        <v>4238711.51</v>
      </c>
      <c r="I148" s="209">
        <v>1861</v>
      </c>
      <c r="J148" s="210">
        <v>10237879.27</v>
      </c>
      <c r="K148" s="211">
        <v>27801.989999999998</v>
      </c>
      <c r="L148" s="209">
        <v>148</v>
      </c>
      <c r="M148" s="207">
        <v>34772.320000000007</v>
      </c>
      <c r="N148" s="212">
        <v>93.710000000000008</v>
      </c>
      <c r="O148" s="209">
        <v>341</v>
      </c>
      <c r="P148" s="210">
        <v>95961.94</v>
      </c>
      <c r="Q148" s="213">
        <v>332.22</v>
      </c>
      <c r="R148" s="209">
        <v>7320</v>
      </c>
      <c r="S148" s="210">
        <v>71920</v>
      </c>
      <c r="T148" s="211"/>
      <c r="U148" s="209">
        <v>196</v>
      </c>
      <c r="V148" s="210"/>
      <c r="W148" s="211"/>
      <c r="X148" s="209">
        <v>0</v>
      </c>
      <c r="Z148" s="131"/>
    </row>
    <row r="149" spans="1:26" x14ac:dyDescent="0.2">
      <c r="A149" s="75">
        <v>2024</v>
      </c>
      <c r="B149" s="76" t="s">
        <v>82</v>
      </c>
      <c r="C149" s="85"/>
      <c r="D149" s="207">
        <v>36158920.950000003</v>
      </c>
      <c r="E149" s="207"/>
      <c r="F149" s="208">
        <v>17823333.950000003</v>
      </c>
      <c r="G149" s="209">
        <v>23864</v>
      </c>
      <c r="H149" s="207">
        <v>4674634.830000001</v>
      </c>
      <c r="I149" s="209">
        <v>1855</v>
      </c>
      <c r="J149" s="210">
        <v>13589470.450000001</v>
      </c>
      <c r="K149" s="211">
        <v>36903.68</v>
      </c>
      <c r="L149" s="209">
        <v>148</v>
      </c>
      <c r="M149" s="207">
        <v>33642.899999999994</v>
      </c>
      <c r="N149" s="212">
        <v>93.71</v>
      </c>
      <c r="O149" s="209">
        <v>341</v>
      </c>
      <c r="P149" s="210">
        <v>87247.22</v>
      </c>
      <c r="Q149" s="213">
        <v>334.11</v>
      </c>
      <c r="R149" s="209">
        <v>7320</v>
      </c>
      <c r="S149" s="210">
        <v>69611</v>
      </c>
      <c r="T149" s="211"/>
      <c r="U149" s="209">
        <v>196</v>
      </c>
      <c r="V149" s="210"/>
      <c r="W149" s="211"/>
      <c r="X149" s="209">
        <v>0</v>
      </c>
      <c r="Z149" s="131"/>
    </row>
    <row r="150" spans="1:26" x14ac:dyDescent="0.2">
      <c r="A150" s="75">
        <v>2024</v>
      </c>
      <c r="B150" s="76" t="s">
        <v>83</v>
      </c>
      <c r="C150" s="85"/>
      <c r="D150" s="207">
        <v>42460733.059999995</v>
      </c>
      <c r="E150" s="207"/>
      <c r="F150" s="208">
        <v>22236723.369999997</v>
      </c>
      <c r="G150" s="209">
        <v>23908</v>
      </c>
      <c r="H150" s="207">
        <v>5345428.8099999996</v>
      </c>
      <c r="I150" s="209">
        <v>1859</v>
      </c>
      <c r="J150" s="210">
        <v>12838833.530000001</v>
      </c>
      <c r="K150" s="211">
        <v>32377.38</v>
      </c>
      <c r="L150" s="209">
        <v>148</v>
      </c>
      <c r="M150" s="207">
        <v>34692.340000000004</v>
      </c>
      <c r="N150" s="212">
        <v>93.490000000000009</v>
      </c>
      <c r="O150" s="209">
        <v>341</v>
      </c>
      <c r="P150" s="210">
        <v>93651.1</v>
      </c>
      <c r="Q150" s="213">
        <v>334.11</v>
      </c>
      <c r="R150" s="209">
        <v>7320</v>
      </c>
      <c r="S150" s="210">
        <v>71920</v>
      </c>
      <c r="T150" s="211"/>
      <c r="U150" s="209">
        <v>196</v>
      </c>
      <c r="V150" s="210"/>
      <c r="W150" s="211"/>
      <c r="X150" s="209">
        <v>0</v>
      </c>
      <c r="Z150" s="131"/>
    </row>
    <row r="151" spans="1:26" x14ac:dyDescent="0.2">
      <c r="A151" s="75">
        <v>2024</v>
      </c>
      <c r="B151" s="76" t="s">
        <v>84</v>
      </c>
      <c r="C151" s="85"/>
      <c r="D151" s="207">
        <v>38718871.799999997</v>
      </c>
      <c r="E151" s="207"/>
      <c r="F151" s="208">
        <v>19574993.610000003</v>
      </c>
      <c r="G151" s="209">
        <v>24018</v>
      </c>
      <c r="H151" s="207">
        <v>5022364.7199999988</v>
      </c>
      <c r="I151" s="209">
        <v>1871</v>
      </c>
      <c r="J151" s="210">
        <v>12298262.870000001</v>
      </c>
      <c r="K151" s="211">
        <v>32793.839999999997</v>
      </c>
      <c r="L151" s="209">
        <v>151</v>
      </c>
      <c r="M151" s="207">
        <v>34683.220000000008</v>
      </c>
      <c r="N151" s="212">
        <v>93.490000000000009</v>
      </c>
      <c r="O151" s="209">
        <v>341</v>
      </c>
      <c r="P151" s="210">
        <v>105077.64</v>
      </c>
      <c r="Q151" s="213">
        <v>334.11</v>
      </c>
      <c r="R151" s="209">
        <v>7329</v>
      </c>
      <c r="S151" s="210">
        <v>71920</v>
      </c>
      <c r="T151" s="211"/>
      <c r="U151" s="209">
        <v>196</v>
      </c>
      <c r="V151" s="210"/>
      <c r="W151" s="211"/>
      <c r="X151" s="209">
        <v>0</v>
      </c>
      <c r="Z151" s="131"/>
    </row>
    <row r="152" spans="1:26" x14ac:dyDescent="0.2">
      <c r="A152" s="75">
        <v>2024</v>
      </c>
      <c r="B152" s="76" t="s">
        <v>85</v>
      </c>
      <c r="C152" s="85"/>
      <c r="D152" s="207">
        <v>33712649.810000002</v>
      </c>
      <c r="E152" s="207"/>
      <c r="F152" s="208">
        <v>15870539.040000005</v>
      </c>
      <c r="G152" s="209">
        <v>24080</v>
      </c>
      <c r="H152" s="207">
        <v>4482480.3699999992</v>
      </c>
      <c r="I152" s="209">
        <v>1869</v>
      </c>
      <c r="J152" s="210">
        <v>11788195.91</v>
      </c>
      <c r="K152" s="211">
        <v>31312.799999999999</v>
      </c>
      <c r="L152" s="209">
        <v>150</v>
      </c>
      <c r="M152" s="207">
        <v>33472.439999999995</v>
      </c>
      <c r="N152" s="212">
        <v>91.02000000000001</v>
      </c>
      <c r="O152" s="209">
        <v>340</v>
      </c>
      <c r="P152" s="210">
        <v>115719.07</v>
      </c>
      <c r="Q152" s="213">
        <v>334.11</v>
      </c>
      <c r="R152" s="209">
        <v>7329</v>
      </c>
      <c r="S152" s="210">
        <v>69611</v>
      </c>
      <c r="T152" s="211"/>
      <c r="U152" s="209">
        <v>196</v>
      </c>
      <c r="V152" s="210"/>
      <c r="W152" s="211"/>
      <c r="X152" s="209">
        <v>0</v>
      </c>
      <c r="Z152" s="131"/>
    </row>
    <row r="153" spans="1:26" s="218" customFormat="1" x14ac:dyDescent="0.2">
      <c r="A153" s="214"/>
      <c r="B153" s="215"/>
      <c r="C153" s="215"/>
      <c r="D153" s="216"/>
      <c r="E153" s="216"/>
      <c r="F153" s="216"/>
      <c r="G153" s="217"/>
      <c r="H153" s="216"/>
      <c r="I153" s="217"/>
      <c r="J153" s="217"/>
      <c r="K153" s="217"/>
      <c r="L153" s="217"/>
      <c r="M153" s="216"/>
      <c r="N153" s="216"/>
      <c r="O153" s="217"/>
      <c r="P153" s="217"/>
      <c r="Q153" s="217"/>
      <c r="R153" s="217"/>
      <c r="S153" s="217"/>
      <c r="T153" s="217"/>
      <c r="U153" s="217"/>
      <c r="V153" s="217"/>
      <c r="W153" s="217"/>
      <c r="X153" s="217"/>
      <c r="Z153" s="219"/>
    </row>
    <row r="154" spans="1:26" x14ac:dyDescent="0.2">
      <c r="A154" s="58"/>
      <c r="B154" s="58"/>
      <c r="C154" s="85"/>
      <c r="D154" s="58"/>
      <c r="E154" s="77"/>
      <c r="F154" s="100"/>
      <c r="G154" s="100"/>
      <c r="H154" s="58"/>
      <c r="I154" s="101"/>
      <c r="J154" s="58"/>
      <c r="K154" s="101"/>
      <c r="L154" s="58"/>
      <c r="M154" s="58"/>
      <c r="N154" s="101"/>
      <c r="O154" s="58"/>
      <c r="P154" s="58"/>
      <c r="Q154" s="101"/>
      <c r="R154" s="58"/>
      <c r="S154" s="58"/>
      <c r="T154" s="101"/>
      <c r="U154" s="58"/>
      <c r="V154" s="58"/>
      <c r="W154" s="102"/>
      <c r="X154" s="102"/>
      <c r="Y154" s="58"/>
    </row>
    <row r="155" spans="1:26" s="136" customFormat="1" ht="14.25" x14ac:dyDescent="0.2">
      <c r="E155" s="137"/>
      <c r="G155" s="137"/>
      <c r="I155" s="137"/>
      <c r="L155" s="137"/>
      <c r="O155" s="138"/>
      <c r="X155" s="139"/>
    </row>
    <row r="156" spans="1:26" x14ac:dyDescent="0.2">
      <c r="A156" s="77"/>
      <c r="B156" s="77"/>
      <c r="C156" s="77"/>
      <c r="D156" s="77"/>
      <c r="E156" s="77"/>
      <c r="F156" s="100"/>
      <c r="G156" s="77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</row>
    <row r="157" spans="1:26" x14ac:dyDescent="0.2">
      <c r="A157" s="58"/>
      <c r="B157" s="58"/>
      <c r="C157" s="58"/>
      <c r="D157" s="58"/>
      <c r="E157" s="77"/>
      <c r="F157" s="100"/>
      <c r="G157" s="100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</row>
    <row r="158" spans="1:26" x14ac:dyDescent="0.2">
      <c r="A158" s="58"/>
      <c r="B158" s="58"/>
      <c r="C158" s="58"/>
      <c r="D158" s="58"/>
      <c r="E158" s="77"/>
      <c r="F158" s="100"/>
      <c r="G158" s="77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</row>
    <row r="159" spans="1:26" x14ac:dyDescent="0.2">
      <c r="A159" s="58"/>
      <c r="B159" s="58"/>
      <c r="C159" s="58"/>
      <c r="D159" s="58"/>
      <c r="E159" s="77"/>
      <c r="F159" s="100"/>
      <c r="G159" s="77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</row>
  </sheetData>
  <sheetProtection selectLockedCells="1" selectUnlockedCells="1"/>
  <mergeCells count="10">
    <mergeCell ref="A20:B20"/>
    <mergeCell ref="D20:E20"/>
    <mergeCell ref="F20:X20"/>
    <mergeCell ref="S21:U21"/>
    <mergeCell ref="V21:X21"/>
    <mergeCell ref="F21:G21"/>
    <mergeCell ref="H21:I21"/>
    <mergeCell ref="J21:L21"/>
    <mergeCell ref="M21:O21"/>
    <mergeCell ref="P21:R21"/>
  </mergeCells>
  <phoneticPr fontId="17" type="noConversion"/>
  <pageMargins left="0.70866141732283472" right="0.70866141732283472" top="0.74803149606299213" bottom="0.74803149606299213" header="0.31496062992125984" footer="0.31496062992125984"/>
  <pageSetup paperSize="17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  <pageSetUpPr fitToPage="1"/>
  </sheetPr>
  <dimension ref="A1:N65"/>
  <sheetViews>
    <sheetView tabSelected="1" workbookViewId="0">
      <selection activeCell="O1" sqref="O1:Z1048576"/>
    </sheetView>
  </sheetViews>
  <sheetFormatPr defaultRowHeight="12.75" x14ac:dyDescent="0.2"/>
  <cols>
    <col min="1" max="1" width="30.140625" customWidth="1"/>
    <col min="2" max="2" width="16.140625" bestFit="1" customWidth="1"/>
    <col min="3" max="3" width="14" bestFit="1" customWidth="1"/>
    <col min="4" max="8" width="12.5703125" bestFit="1" customWidth="1"/>
    <col min="9" max="10" width="12.5703125" customWidth="1"/>
    <col min="11" max="11" width="11.28515625" bestFit="1" customWidth="1"/>
    <col min="12" max="12" width="11.5703125" bestFit="1" customWidth="1"/>
    <col min="13" max="13" width="12.5703125" bestFit="1" customWidth="1"/>
  </cols>
  <sheetData>
    <row r="1" spans="1:14" ht="15.75" x14ac:dyDescent="0.25">
      <c r="A1" s="27" t="s">
        <v>115</v>
      </c>
    </row>
    <row r="2" spans="1:14" ht="38.25" x14ac:dyDescent="0.2">
      <c r="L2" s="29" t="s">
        <v>146</v>
      </c>
      <c r="M2" s="29" t="s">
        <v>112</v>
      </c>
    </row>
    <row r="3" spans="1:14" ht="25.5" x14ac:dyDescent="0.2">
      <c r="B3" s="29" t="s">
        <v>113</v>
      </c>
      <c r="C3" s="29" t="s">
        <v>111</v>
      </c>
      <c r="D3" s="29" t="s">
        <v>50</v>
      </c>
      <c r="E3" s="29" t="s">
        <v>51</v>
      </c>
      <c r="F3" s="29" t="s">
        <v>55</v>
      </c>
      <c r="G3" s="29" t="s">
        <v>56</v>
      </c>
      <c r="H3" s="29" t="s">
        <v>107</v>
      </c>
      <c r="I3" s="29" t="s">
        <v>63</v>
      </c>
      <c r="J3" s="29" t="s">
        <v>64</v>
      </c>
      <c r="K3" s="29" t="s">
        <v>116</v>
      </c>
      <c r="L3" s="29" t="s">
        <v>106</v>
      </c>
      <c r="M3" s="29" t="s">
        <v>106</v>
      </c>
    </row>
    <row r="4" spans="1:14" x14ac:dyDescent="0.2">
      <c r="A4" s="13" t="s">
        <v>42</v>
      </c>
      <c r="B4" s="20">
        <f>+'Power Purchased Model'!B152</f>
        <v>391741970.1024</v>
      </c>
      <c r="C4" s="20">
        <f>+'Power Purchased Model'!B153</f>
        <v>372659576.71719992</v>
      </c>
      <c r="D4" s="20">
        <f>+'Power Purchased Model'!B154</f>
        <v>380022205.18436003</v>
      </c>
      <c r="E4" s="20">
        <f>+'Power Purchased Model'!B155</f>
        <v>368596644.64483672</v>
      </c>
      <c r="F4" s="20">
        <f>+'Power Purchased Model'!B156</f>
        <v>393889926.42846549</v>
      </c>
      <c r="G4" s="20">
        <f>+'Power Purchased Model'!B157</f>
        <v>384791777.21642524</v>
      </c>
      <c r="H4" s="20">
        <f>+'Power Purchased Model'!B158</f>
        <v>380093690.36809278</v>
      </c>
      <c r="I4" s="20">
        <f>+'Power Purchased Model'!B159</f>
        <v>383895272.72321349</v>
      </c>
      <c r="J4" s="20">
        <f>+'Power Purchased Model'!B160</f>
        <v>392612235.87385601</v>
      </c>
      <c r="K4" s="20">
        <f>+'Power Purchased Model'!B161</f>
        <v>386633787.62211913</v>
      </c>
    </row>
    <row r="5" spans="1:14" x14ac:dyDescent="0.2">
      <c r="A5" s="13" t="s">
        <v>43</v>
      </c>
      <c r="B5" s="20">
        <f>+'Power Purchased Model'!H152</f>
        <v>372346922.60602123</v>
      </c>
      <c r="C5" s="20">
        <f>+'Power Purchased Model'!H153</f>
        <v>374746686.58305705</v>
      </c>
      <c r="D5" s="20">
        <f>+'Power Purchased Model'!H154</f>
        <v>388951613.52794182</v>
      </c>
      <c r="E5" s="20">
        <f>+'Power Purchased Model'!H155</f>
        <v>374031333.5970037</v>
      </c>
      <c r="F5" s="20">
        <f>+'Power Purchased Model'!H156</f>
        <v>390810343.664011</v>
      </c>
      <c r="G5" s="20">
        <f>+'Power Purchased Model'!H157</f>
        <v>382231010.00249338</v>
      </c>
      <c r="H5" s="20">
        <f>+'Power Purchased Model'!H158</f>
        <v>388610259.78411037</v>
      </c>
      <c r="I5" s="20">
        <f>+'Power Purchased Model'!H159</f>
        <v>389949359.07669818</v>
      </c>
      <c r="J5" s="20">
        <f>+'Power Purchased Model'!H160</f>
        <v>392856586.95164824</v>
      </c>
      <c r="K5" s="20">
        <f>+'Power Purchased Model'!H161</f>
        <v>385847534.33927774</v>
      </c>
      <c r="L5" s="20">
        <f>+'Power Purchased Model'!H162</f>
        <v>397790890.88678068</v>
      </c>
      <c r="M5" s="20">
        <f>+'Power Purchased Model'!H163</f>
        <v>401635119.08614975</v>
      </c>
    </row>
    <row r="6" spans="1:14" x14ac:dyDescent="0.2">
      <c r="A6" s="13" t="s">
        <v>6</v>
      </c>
      <c r="B6" s="28">
        <f t="shared" ref="B6:J6" si="0">(B5-B4)/B4</f>
        <v>-4.9509751256187791E-2</v>
      </c>
      <c r="C6" s="28">
        <f t="shared" si="0"/>
        <v>5.6005802513991714E-3</v>
      </c>
      <c r="D6" s="28">
        <f t="shared" si="0"/>
        <v>2.3497069965292883E-2</v>
      </c>
      <c r="E6" s="28">
        <f t="shared" si="0"/>
        <v>1.4744271363087416E-2</v>
      </c>
      <c r="F6" s="28">
        <f t="shared" si="0"/>
        <v>-7.8183841673182992E-3</v>
      </c>
      <c r="G6" s="28">
        <f t="shared" si="0"/>
        <v>-6.6549426613437242E-3</v>
      </c>
      <c r="H6" s="28">
        <f t="shared" si="0"/>
        <v>2.2406500375657171E-2</v>
      </c>
      <c r="I6" s="28">
        <f t="shared" si="0"/>
        <v>1.5770150829259248E-2</v>
      </c>
      <c r="J6" s="28">
        <f t="shared" si="0"/>
        <v>6.2237254844684929E-4</v>
      </c>
      <c r="K6" s="28">
        <f t="shared" ref="K6" si="1">(K5-K4)/K4</f>
        <v>-2.0335865824790199E-3</v>
      </c>
    </row>
    <row r="7" spans="1:14" x14ac:dyDescent="0.2">
      <c r="A7" s="13"/>
      <c r="B7" s="28"/>
      <c r="C7" s="28"/>
      <c r="D7" s="28"/>
      <c r="E7" s="28"/>
      <c r="F7" s="28"/>
      <c r="G7" s="28"/>
      <c r="H7" s="28"/>
      <c r="I7" s="28"/>
      <c r="J7" s="28"/>
      <c r="K7" s="28"/>
      <c r="L7" s="20"/>
      <c r="M7" s="20"/>
    </row>
    <row r="8" spans="1:14" x14ac:dyDescent="0.2">
      <c r="A8" s="13"/>
      <c r="B8" s="28"/>
      <c r="C8" s="28"/>
      <c r="D8" s="28"/>
      <c r="E8" s="28"/>
      <c r="F8" s="28"/>
      <c r="G8" s="28"/>
      <c r="H8" s="28"/>
      <c r="I8" s="28"/>
      <c r="J8" s="28"/>
      <c r="K8" s="28"/>
      <c r="L8" s="34"/>
      <c r="M8" s="34"/>
    </row>
    <row r="9" spans="1:14" x14ac:dyDescent="0.2">
      <c r="A9" s="13"/>
      <c r="B9" s="28"/>
      <c r="C9" s="28"/>
      <c r="D9" s="28"/>
      <c r="E9" s="28"/>
      <c r="F9" s="28"/>
      <c r="G9" s="28"/>
      <c r="H9" s="28"/>
      <c r="I9" s="28"/>
      <c r="J9" s="28"/>
      <c r="K9" s="168"/>
      <c r="L9" s="166"/>
      <c r="M9" s="166"/>
    </row>
    <row r="10" spans="1:14" x14ac:dyDescent="0.2">
      <c r="A10" s="13" t="s">
        <v>57</v>
      </c>
      <c r="B10" s="52">
        <f>'Rate Class Energy Model'!G3</f>
        <v>380885629</v>
      </c>
      <c r="C10" s="52">
        <f>'Rate Class Energy Model'!G4</f>
        <v>356369056</v>
      </c>
      <c r="D10" s="52">
        <f>'Rate Class Energy Model'!G5</f>
        <v>363388525</v>
      </c>
      <c r="E10" s="6">
        <f>'Rate Class Energy Model'!G6</f>
        <v>353716802</v>
      </c>
      <c r="F10" s="6">
        <f>'Rate Class Energy Model'!G7</f>
        <v>379090833.32999998</v>
      </c>
      <c r="G10" s="6">
        <f>'Rate Class Energy Model'!G8</f>
        <v>370608216.25</v>
      </c>
      <c r="H10" s="6">
        <f>'Rate Class Energy Model'!G9</f>
        <v>364637107.06999999</v>
      </c>
      <c r="I10" s="6">
        <f>'Rate Class Energy Model'!G10</f>
        <v>368482782.76999998</v>
      </c>
      <c r="J10" s="6">
        <f>'Rate Class Energy Model'!G11</f>
        <v>377130670.77999997</v>
      </c>
      <c r="K10" s="6">
        <f>'Rate Class Energy Model'!G12</f>
        <v>370827912.53724998</v>
      </c>
      <c r="L10" s="6">
        <f>'Rate Class Energy Model'!G13</f>
        <v>382224576.55017841</v>
      </c>
      <c r="M10" s="6">
        <f>'Rate Class Energy Model'!G14</f>
        <v>385918372.78666466</v>
      </c>
    </row>
    <row r="11" spans="1:14" x14ac:dyDescent="0.2">
      <c r="A11" s="13"/>
      <c r="B11" s="40"/>
      <c r="C11" s="40"/>
      <c r="D11" s="40"/>
      <c r="L11" s="6"/>
      <c r="M11" s="6"/>
    </row>
    <row r="12" spans="1:14" ht="15.75" x14ac:dyDescent="0.25">
      <c r="A12" s="27" t="s">
        <v>44</v>
      </c>
      <c r="B12" s="40"/>
      <c r="C12" s="46"/>
      <c r="D12" s="40"/>
      <c r="E12" s="1"/>
      <c r="H12" s="34"/>
    </row>
    <row r="13" spans="1:14" x14ac:dyDescent="0.2">
      <c r="A13" s="26" t="str">
        <f>'Rate Class Energy Model'!H2</f>
        <v>Residential</v>
      </c>
      <c r="B13" s="40"/>
      <c r="C13" s="46"/>
      <c r="D13" s="46"/>
      <c r="E13" s="1"/>
      <c r="H13" s="6"/>
      <c r="I13" s="6"/>
      <c r="J13" s="6"/>
      <c r="K13" s="6"/>
      <c r="L13" s="170"/>
      <c r="M13" s="6"/>
    </row>
    <row r="14" spans="1:14" x14ac:dyDescent="0.2">
      <c r="A14" t="s">
        <v>36</v>
      </c>
      <c r="B14" s="52">
        <f>'Rate Class Customer Model'!B11</f>
        <v>20472.166666666668</v>
      </c>
      <c r="C14" s="52">
        <f>'Rate Class Customer Model'!B12</f>
        <v>20635.5</v>
      </c>
      <c r="D14" s="52">
        <f>'Rate Class Customer Model'!B13</f>
        <v>20822.5</v>
      </c>
      <c r="E14" s="6">
        <f>'Rate Class Customer Model'!B14</f>
        <v>20986.583333333332</v>
      </c>
      <c r="F14" s="6">
        <f>'Rate Class Customer Model'!B15</f>
        <v>21242.333333333332</v>
      </c>
      <c r="G14" s="6">
        <f>'Rate Class Customer Model'!B16</f>
        <v>21580</v>
      </c>
      <c r="H14" s="6">
        <f>'Rate Class Customer Model'!B17</f>
        <v>21926.833333333332</v>
      </c>
      <c r="I14" s="6">
        <f>'Rate Class Customer Model'!B18</f>
        <v>22395.666666666668</v>
      </c>
      <c r="J14" s="6">
        <f>'Rate Class Customer Model'!B19</f>
        <v>22849</v>
      </c>
      <c r="K14" s="6">
        <f>'Rate Class Customer Model'!B20</f>
        <v>23410.333333333332</v>
      </c>
      <c r="L14" s="6">
        <f>'Rate Class Customer Model'!B21</f>
        <v>23945.038204845408</v>
      </c>
      <c r="M14" s="6">
        <f>'Rate Class Customer Model'!B22</f>
        <v>24304.521006352014</v>
      </c>
      <c r="N14" s="34"/>
    </row>
    <row r="15" spans="1:14" x14ac:dyDescent="0.2">
      <c r="A15" t="s">
        <v>37</v>
      </c>
      <c r="B15" s="52">
        <f>'Rate Class Energy Model'!H3</f>
        <v>158185053</v>
      </c>
      <c r="C15" s="52">
        <f>'Rate Class Energy Model'!H4</f>
        <v>157973719</v>
      </c>
      <c r="D15" s="52">
        <f>'Rate Class Energy Model'!H5</f>
        <v>163109690</v>
      </c>
      <c r="E15" s="33">
        <f>'Rate Class Energy Model'!H6</f>
        <v>153825741</v>
      </c>
      <c r="F15" s="6">
        <f>'Rate Class Energy Model'!H7</f>
        <v>170461439</v>
      </c>
      <c r="G15" s="6">
        <f>'Rate Class Energy Model'!H8</f>
        <v>165806296.44</v>
      </c>
      <c r="H15" s="6">
        <f>'Rate Class Energy Model'!H9</f>
        <v>179914470.27000001</v>
      </c>
      <c r="I15" s="6">
        <f>'Rate Class Energy Model'!H10</f>
        <v>182892381.72999999</v>
      </c>
      <c r="J15" s="6">
        <f>'Rate Class Energy Model'!H11</f>
        <v>182644896.51999998</v>
      </c>
      <c r="K15" s="6">
        <f>'Rate Class Energy Model'!H12</f>
        <v>177391636.47999999</v>
      </c>
      <c r="L15" s="6">
        <f>'Rate Class Energy Model'!H32</f>
        <v>181538889.44312426</v>
      </c>
      <c r="M15" s="6">
        <f>'Rate Class Energy Model'!H33</f>
        <v>185873020.6490908</v>
      </c>
      <c r="N15" s="34"/>
    </row>
    <row r="16" spans="1:14" x14ac:dyDescent="0.2">
      <c r="B16" s="40"/>
      <c r="C16" s="138"/>
      <c r="D16" s="40"/>
      <c r="F16" s="34"/>
      <c r="G16" s="34"/>
      <c r="I16" s="34"/>
      <c r="J16" s="34"/>
      <c r="K16" s="34"/>
      <c r="L16" s="34"/>
      <c r="M16" s="34"/>
      <c r="N16" s="34"/>
    </row>
    <row r="17" spans="1:14" x14ac:dyDescent="0.2">
      <c r="A17" s="26" t="str">
        <f>'Rate Class Energy Model'!I2</f>
        <v>General Service &lt; 50 kW</v>
      </c>
      <c r="B17" s="40"/>
      <c r="C17" s="141"/>
      <c r="D17" s="46"/>
      <c r="E17" s="1"/>
      <c r="F17" s="1"/>
      <c r="G17" s="6"/>
      <c r="H17" s="6"/>
      <c r="I17" s="6"/>
      <c r="J17" s="6"/>
      <c r="K17" s="6"/>
      <c r="L17" s="6"/>
      <c r="M17" s="6"/>
      <c r="N17" s="34"/>
    </row>
    <row r="18" spans="1:14" ht="13.5" customHeight="1" x14ac:dyDescent="0.2">
      <c r="A18" t="s">
        <v>36</v>
      </c>
      <c r="B18" s="52">
        <f>'Rate Class Customer Model'!C11</f>
        <v>1742.8333333333333</v>
      </c>
      <c r="C18" s="52">
        <f>'Rate Class Customer Model'!C12</f>
        <v>1769.0833333333333</v>
      </c>
      <c r="D18" s="52">
        <f>'Rate Class Customer Model'!C13</f>
        <v>1770.5833333333333</v>
      </c>
      <c r="E18" s="6">
        <f>'Rate Class Customer Model'!C14</f>
        <v>1791.4166666666667</v>
      </c>
      <c r="F18" s="6">
        <f>'Rate Class Customer Model'!C15</f>
        <v>1798.25</v>
      </c>
      <c r="G18" s="6">
        <f>'Rate Class Customer Model'!C16</f>
        <v>1797.3333333333333</v>
      </c>
      <c r="H18" s="6">
        <f>'Rate Class Customer Model'!C17</f>
        <v>1787.5</v>
      </c>
      <c r="I18" s="6">
        <f>'Rate Class Customer Model'!C18</f>
        <v>1836.5</v>
      </c>
      <c r="J18" s="6">
        <f>'Rate Class Customer Model'!C19</f>
        <v>1838.0833333333333</v>
      </c>
      <c r="K18" s="6">
        <f>'Rate Class Customer Model'!C20</f>
        <v>1845.3333333333333</v>
      </c>
      <c r="L18" s="6">
        <f>'Rate Class Customer Model'!C21</f>
        <v>1862.564695171367</v>
      </c>
      <c r="M18" s="6">
        <f>'Rate Class Customer Model'!C22</f>
        <v>1874.4291515896209</v>
      </c>
      <c r="N18" s="34"/>
    </row>
    <row r="19" spans="1:14" x14ac:dyDescent="0.2">
      <c r="A19" t="s">
        <v>37</v>
      </c>
      <c r="B19" s="52">
        <f>'Rate Class Energy Model'!I3</f>
        <v>53903009</v>
      </c>
      <c r="C19" s="52">
        <f>'Rate Class Energy Model'!I4</f>
        <v>54312604</v>
      </c>
      <c r="D19" s="52">
        <f>'Rate Class Energy Model'!I5</f>
        <v>53545593</v>
      </c>
      <c r="E19" s="6">
        <f>'Rate Class Energy Model'!I6</f>
        <v>52319962</v>
      </c>
      <c r="F19" s="6">
        <f>'Rate Class Energy Model'!I7</f>
        <v>52983336.789999999</v>
      </c>
      <c r="G19" s="6">
        <f>'Rate Class Energy Model'!I8</f>
        <v>50506434.530000001</v>
      </c>
      <c r="H19" s="6">
        <f>'Rate Class Energy Model'!I9</f>
        <v>48537507.109999992</v>
      </c>
      <c r="I19" s="6">
        <f>'Rate Class Energy Model'!I10</f>
        <v>54230049.899999999</v>
      </c>
      <c r="J19" s="6">
        <f>'Rate Class Energy Model'!I11</f>
        <v>55719441.800000004</v>
      </c>
      <c r="K19" s="6">
        <f>'Rate Class Energy Model'!I12</f>
        <v>54279424.499999993</v>
      </c>
      <c r="L19" s="6">
        <f>'Rate Class Energy Model'!I32</f>
        <v>54815120.314909093</v>
      </c>
      <c r="M19" s="6">
        <f>'Rate Class Energy Model'!I33</f>
        <v>55645901.831770591</v>
      </c>
      <c r="N19" s="34"/>
    </row>
    <row r="20" spans="1:14" x14ac:dyDescent="0.2">
      <c r="B20" s="52"/>
      <c r="C20" s="46"/>
      <c r="D20" s="40"/>
      <c r="G20" s="34"/>
      <c r="I20" s="34"/>
      <c r="J20" s="34"/>
      <c r="K20" s="34"/>
      <c r="L20" s="34"/>
      <c r="M20" s="34"/>
      <c r="N20" s="34"/>
    </row>
    <row r="21" spans="1:14" x14ac:dyDescent="0.2">
      <c r="A21" s="26" t="str">
        <f>'Rate Class Energy Model'!J2</f>
        <v>General Service &gt; 50 to 4999 kW</v>
      </c>
      <c r="B21" s="52"/>
      <c r="C21" s="46"/>
      <c r="D21" s="46"/>
      <c r="E21" s="1"/>
      <c r="F21" s="1"/>
      <c r="N21" s="34"/>
    </row>
    <row r="22" spans="1:14" x14ac:dyDescent="0.2">
      <c r="A22" t="s">
        <v>36</v>
      </c>
      <c r="B22" s="52">
        <f>'Rate Class Customer Model'!D11</f>
        <v>165.33333333333334</v>
      </c>
      <c r="C22" s="52">
        <f>'Rate Class Customer Model'!D12</f>
        <v>158.83333333333334</v>
      </c>
      <c r="D22" s="52">
        <f>'Rate Class Customer Model'!D13</f>
        <v>159</v>
      </c>
      <c r="E22" s="6">
        <f>'Rate Class Customer Model'!D14</f>
        <v>159.16666666666666</v>
      </c>
      <c r="F22" s="6">
        <f>'Rate Class Customer Model'!D15</f>
        <v>164</v>
      </c>
      <c r="G22" s="6">
        <f>'Rate Class Customer Model'!D16</f>
        <v>166.16666666666666</v>
      </c>
      <c r="H22" s="6">
        <f>'Rate Class Customer Model'!D17</f>
        <v>161.08333333333334</v>
      </c>
      <c r="I22" s="6">
        <f>'Rate Class Customer Model'!D18</f>
        <v>139.75</v>
      </c>
      <c r="J22" s="6">
        <f>'Rate Class Customer Model'!D19</f>
        <v>138.75</v>
      </c>
      <c r="K22" s="6">
        <f>'Rate Class Customer Model'!D20</f>
        <v>142</v>
      </c>
      <c r="L22" s="6">
        <f>'Rate Class Customer Model'!D21</f>
        <v>148.95042516039706</v>
      </c>
      <c r="M22" s="6">
        <f>'Rate Class Customer Model'!D22</f>
        <v>146.45371925770544</v>
      </c>
      <c r="N22" s="34"/>
    </row>
    <row r="23" spans="1:14" x14ac:dyDescent="0.2">
      <c r="A23" t="s">
        <v>37</v>
      </c>
      <c r="B23" s="52">
        <f>'Rate Class Energy Model'!J3</f>
        <v>144192534</v>
      </c>
      <c r="C23" s="52">
        <f>'Rate Class Energy Model'!J4</f>
        <v>139796962</v>
      </c>
      <c r="D23" s="52">
        <f>'Rate Class Energy Model'!J5</f>
        <v>143431671</v>
      </c>
      <c r="E23" s="6">
        <f>'Rate Class Energy Model'!J6</f>
        <v>144490127</v>
      </c>
      <c r="F23" s="6">
        <f>'Rate Class Energy Model'!J7</f>
        <v>152610120.72999999</v>
      </c>
      <c r="G23" s="6">
        <f>'Rate Class Energy Model'!J8</f>
        <v>151352403.78</v>
      </c>
      <c r="H23" s="6">
        <f>'Rate Class Energy Model'!J9</f>
        <v>133284408.77</v>
      </c>
      <c r="I23" s="6">
        <f>'Rate Class Energy Model'!J10</f>
        <v>128548463.13</v>
      </c>
      <c r="J23" s="6">
        <f>'Rate Class Energy Model'!J11</f>
        <v>136029471.30000001</v>
      </c>
      <c r="K23" s="6">
        <f>'Rate Class Energy Model'!J12</f>
        <v>136432089.50725001</v>
      </c>
      <c r="L23" s="6">
        <f>'Rate Class Energy Model'!J32</f>
        <v>143168755.76717088</v>
      </c>
      <c r="M23" s="6">
        <f>'Rate Class Energy Model'!J33</f>
        <v>141727685.21500671</v>
      </c>
      <c r="N23" s="34"/>
    </row>
    <row r="24" spans="1:14" x14ac:dyDescent="0.2">
      <c r="A24" t="s">
        <v>38</v>
      </c>
      <c r="B24" s="52">
        <f>'Rate Class Load Model'!B2</f>
        <v>402375</v>
      </c>
      <c r="C24" s="52">
        <f>'Rate Class Load Model'!B3</f>
        <v>402768</v>
      </c>
      <c r="D24" s="52">
        <f>'Rate Class Load Model'!B4</f>
        <v>396528</v>
      </c>
      <c r="E24" s="6">
        <f>'Rate Class Load Model'!B5</f>
        <v>397736</v>
      </c>
      <c r="F24" s="6">
        <f>'Rate Class Load Model'!B6</f>
        <v>413412</v>
      </c>
      <c r="G24" s="6">
        <f>'Rate Class Load Model'!B7</f>
        <v>415535.11</v>
      </c>
      <c r="H24" s="6">
        <f>'Rate Class Load Model'!B8</f>
        <v>381720.89</v>
      </c>
      <c r="I24" s="6">
        <f>'Rate Class Load Model'!B9</f>
        <v>349225.27</v>
      </c>
      <c r="J24" s="6">
        <f>'Rate Class Load Model'!B10</f>
        <v>357213.14999999997</v>
      </c>
      <c r="K24" s="6">
        <f>'Rate Class Load Model'!B11</f>
        <v>353804.11000000004</v>
      </c>
      <c r="L24" s="6">
        <f>'Rate Class Load Model'!B12</f>
        <v>392901.14759996335</v>
      </c>
      <c r="M24" s="6">
        <f>'Rate Class Load Model'!B13</f>
        <v>388946.38616696885</v>
      </c>
      <c r="N24" s="34"/>
    </row>
    <row r="25" spans="1:14" x14ac:dyDescent="0.2">
      <c r="B25" s="52"/>
      <c r="C25" s="52"/>
      <c r="D25" s="52"/>
      <c r="E25" s="6"/>
      <c r="F25" s="6"/>
      <c r="G25" s="6"/>
      <c r="H25" s="6"/>
      <c r="I25" s="6"/>
      <c r="L25" s="6"/>
      <c r="M25" s="6"/>
      <c r="N25" s="34"/>
    </row>
    <row r="26" spans="1:14" x14ac:dyDescent="0.2">
      <c r="A26" s="26" t="str">
        <f>'Rate Class Energy Model'!K2</f>
        <v xml:space="preserve">Sentinel </v>
      </c>
      <c r="B26" s="40"/>
      <c r="C26" s="40"/>
      <c r="D26" s="40"/>
      <c r="E26" s="1"/>
      <c r="F26" s="1"/>
      <c r="H26" s="1"/>
      <c r="N26" s="34"/>
    </row>
    <row r="27" spans="1:14" x14ac:dyDescent="0.2">
      <c r="A27" t="s">
        <v>39</v>
      </c>
      <c r="B27" s="52">
        <f>'Rate Class Customer Model'!E11</f>
        <v>519.16666666666663</v>
      </c>
      <c r="C27" s="52">
        <f>'Rate Class Customer Model'!E12</f>
        <v>515.08333333333337</v>
      </c>
      <c r="D27" s="52">
        <f>'Rate Class Customer Model'!E13</f>
        <v>508.75</v>
      </c>
      <c r="E27" s="6">
        <f>'Rate Class Customer Model'!E14</f>
        <v>500.08333333333331</v>
      </c>
      <c r="F27" s="6">
        <f>'Rate Class Customer Model'!E15</f>
        <v>486.5</v>
      </c>
      <c r="G27" s="6">
        <f>'Rate Class Customer Model'!E16</f>
        <v>453.58333333333331</v>
      </c>
      <c r="H27" s="6">
        <f>'Rate Class Customer Model'!E17</f>
        <v>405.75</v>
      </c>
      <c r="I27" s="6">
        <f>'Rate Class Customer Model'!E18</f>
        <v>377.66666666666669</v>
      </c>
      <c r="J27" s="6">
        <f>'Rate Class Customer Model'!E19</f>
        <v>344.91666666666669</v>
      </c>
      <c r="K27" s="6">
        <f>'Rate Class Customer Model'!E20</f>
        <v>341.75</v>
      </c>
      <c r="L27" s="6">
        <f>'Rate Class Customer Model'!E21</f>
        <v>340.61121376389104</v>
      </c>
      <c r="M27" s="6">
        <f>'Rate Class Customer Model'!E22</f>
        <v>325.1482010575661</v>
      </c>
      <c r="N27" s="34"/>
    </row>
    <row r="28" spans="1:14" x14ac:dyDescent="0.2">
      <c r="A28" t="s">
        <v>37</v>
      </c>
      <c r="B28" s="52">
        <f>'Rate Class Energy Model'!K3</f>
        <v>767199</v>
      </c>
      <c r="C28" s="52">
        <f>'Rate Class Energy Model'!K4</f>
        <v>753964</v>
      </c>
      <c r="D28" s="52">
        <f>'Rate Class Energy Model'!K5</f>
        <v>749437</v>
      </c>
      <c r="E28" s="6">
        <f>'Rate Class Energy Model'!K6</f>
        <v>729133</v>
      </c>
      <c r="F28" s="6">
        <f>'Rate Class Energy Model'!K7</f>
        <v>675874</v>
      </c>
      <c r="G28" s="6">
        <f>'Rate Class Energy Model'!K8</f>
        <v>583837.25</v>
      </c>
      <c r="H28" s="6">
        <f>'Rate Class Energy Model'!K9</f>
        <v>535934.71999999997</v>
      </c>
      <c r="I28" s="6">
        <f>'Rate Class Energy Model'!K10</f>
        <v>481895.06</v>
      </c>
      <c r="J28" s="6">
        <f>'Rate Class Energy Model'!K11</f>
        <v>422907.26</v>
      </c>
      <c r="K28" s="6">
        <f>'Rate Class Energy Model'!K12</f>
        <v>419670.93999999994</v>
      </c>
      <c r="L28" s="6">
        <f>'Rate Class Energy Model'!K32</f>
        <v>418272.50403755106</v>
      </c>
      <c r="M28" s="6">
        <f>'Rate Class Energy Model'!K33</f>
        <v>399283.83665585291</v>
      </c>
      <c r="N28" s="34"/>
    </row>
    <row r="29" spans="1:14" x14ac:dyDescent="0.2">
      <c r="A29" t="s">
        <v>38</v>
      </c>
      <c r="B29" s="52">
        <f>'Rate Class Load Model'!C2</f>
        <v>2120</v>
      </c>
      <c r="C29" s="52">
        <f>'Rate Class Load Model'!C3</f>
        <v>2077</v>
      </c>
      <c r="D29" s="52">
        <f>'Rate Class Load Model'!C4</f>
        <v>2061</v>
      </c>
      <c r="E29" s="6">
        <f>'Rate Class Load Model'!C5</f>
        <v>2012</v>
      </c>
      <c r="F29" s="6">
        <f>'Rate Class Load Model'!C6</f>
        <v>1898</v>
      </c>
      <c r="G29" s="6">
        <f>'Rate Class Load Model'!C7</f>
        <v>1605</v>
      </c>
      <c r="H29" s="6">
        <f>'Rate Class Load Model'!C8</f>
        <v>1473.6</v>
      </c>
      <c r="I29" s="6">
        <f>'Rate Class Load Model'!C9</f>
        <v>1327.5</v>
      </c>
      <c r="J29" s="6">
        <f>'Rate Class Load Model'!C10</f>
        <v>1162.21</v>
      </c>
      <c r="K29" s="6">
        <f>'Rate Class Load Model'!C11</f>
        <v>1153.1099999999999</v>
      </c>
      <c r="L29" s="6">
        <f>'Rate Class Load Model'!C12</f>
        <v>1153.8039525851389</v>
      </c>
      <c r="M29" s="6">
        <f>'Rate Class Load Model'!C13</f>
        <v>1101.4237476521346</v>
      </c>
      <c r="N29" s="34"/>
    </row>
    <row r="30" spans="1:14" x14ac:dyDescent="0.2">
      <c r="B30" s="40"/>
      <c r="C30" s="40"/>
      <c r="D30" s="40"/>
      <c r="H30" s="6"/>
      <c r="I30" s="6"/>
      <c r="L30" s="6"/>
      <c r="M30" s="6"/>
    </row>
    <row r="31" spans="1:14" x14ac:dyDescent="0.2">
      <c r="A31" s="26" t="str">
        <f>'Rate Class Energy Model'!L2</f>
        <v xml:space="preserve">Street Lighting </v>
      </c>
      <c r="B31" s="40"/>
      <c r="C31" s="40"/>
      <c r="D31" s="40"/>
      <c r="E31" s="1"/>
      <c r="G31" s="1"/>
    </row>
    <row r="32" spans="1:14" x14ac:dyDescent="0.2">
      <c r="A32" t="s">
        <v>39</v>
      </c>
      <c r="B32" s="52">
        <f>'Rate Class Customer Model'!F11</f>
        <v>6784.333333333333</v>
      </c>
      <c r="C32" s="52">
        <f>'Rate Class Customer Model'!F12</f>
        <v>6792.583333333333</v>
      </c>
      <c r="D32" s="52">
        <f>'Rate Class Customer Model'!F13</f>
        <v>6825</v>
      </c>
      <c r="E32" s="6">
        <f>'Rate Class Customer Model'!F14</f>
        <v>6865.333333333333</v>
      </c>
      <c r="F32" s="6">
        <f>'Rate Class Customer Model'!F15</f>
        <v>6956.25</v>
      </c>
      <c r="G32" s="6">
        <f>'Rate Class Customer Model'!F16</f>
        <v>7006.75</v>
      </c>
      <c r="H32" s="6">
        <f>'Rate Class Customer Model'!F17</f>
        <v>7066.75</v>
      </c>
      <c r="I32" s="6">
        <f>'Rate Class Customer Model'!F18</f>
        <v>7115.166666666667</v>
      </c>
      <c r="J32" s="6">
        <f>'Rate Class Customer Model'!F19</f>
        <v>7186.166666666667</v>
      </c>
      <c r="K32" s="6">
        <f>'Rate Class Customer Model'!F20</f>
        <v>7335.916666666667</v>
      </c>
      <c r="L32" s="6">
        <f>'Rate Class Customer Model'!F21</f>
        <v>7311.2655982613132</v>
      </c>
      <c r="M32" s="6">
        <f>'Rate Class Customer Model'!F22</f>
        <v>7375.0415819619884</v>
      </c>
      <c r="N32" s="34"/>
    </row>
    <row r="33" spans="1:14" x14ac:dyDescent="0.2">
      <c r="A33" t="s">
        <v>37</v>
      </c>
      <c r="B33" s="52">
        <f>'Rate Class Energy Model'!L3</f>
        <v>2503378</v>
      </c>
      <c r="C33" s="52">
        <f>'Rate Class Energy Model'!L4</f>
        <v>2284687</v>
      </c>
      <c r="D33" s="52">
        <f>'Rate Class Energy Model'!L5</f>
        <v>1575426</v>
      </c>
      <c r="E33" s="6">
        <f>'Rate Class Energy Model'!L6</f>
        <v>1393112</v>
      </c>
      <c r="F33" s="6">
        <f>'Rate Class Energy Model'!L7</f>
        <v>1403955.81</v>
      </c>
      <c r="G33" s="6">
        <f>'Rate Class Energy Model'!L8</f>
        <v>1406314.25</v>
      </c>
      <c r="H33" s="6">
        <f>'Rate Class Energy Model'!L9</f>
        <v>1423807.2000000002</v>
      </c>
      <c r="I33" s="6">
        <f>'Rate Class Energy Model'!L10</f>
        <v>1410627.9499999997</v>
      </c>
      <c r="J33" s="6">
        <f>'Rate Class Energy Model'!L11</f>
        <v>1418459.9</v>
      </c>
      <c r="K33" s="6">
        <f>'Rate Class Energy Model'!L12</f>
        <v>1453176.11</v>
      </c>
      <c r="L33" s="6">
        <f>'Rate Class Energy Model'!L32</f>
        <v>1448292.9651497584</v>
      </c>
      <c r="M33" s="6">
        <f>'Rate Class Energy Model'!L33</f>
        <v>1460926.3878175328</v>
      </c>
    </row>
    <row r="34" spans="1:14" x14ac:dyDescent="0.2">
      <c r="A34" t="s">
        <v>38</v>
      </c>
      <c r="B34" s="52">
        <f>'Rate Class Load Model'!D2</f>
        <v>6992</v>
      </c>
      <c r="C34" s="52">
        <f>'Rate Class Load Model'!D3</f>
        <v>6476</v>
      </c>
      <c r="D34" s="52">
        <f>'Rate Class Load Model'!D4</f>
        <v>4561</v>
      </c>
      <c r="E34" s="6">
        <f>'Rate Class Load Model'!D5</f>
        <v>3890</v>
      </c>
      <c r="F34" s="6">
        <f>'Rate Class Load Model'!D6</f>
        <v>3915</v>
      </c>
      <c r="G34" s="6">
        <f>'Rate Class Load Model'!D7</f>
        <v>3924.2</v>
      </c>
      <c r="H34" s="6">
        <f>'Rate Class Load Model'!D8</f>
        <v>3960</v>
      </c>
      <c r="I34" s="6">
        <f>'Rate Class Load Model'!D9</f>
        <v>3933.6000000000008</v>
      </c>
      <c r="J34" s="6">
        <f>'Rate Class Load Model'!D10</f>
        <v>3955.4399999999991</v>
      </c>
      <c r="K34" s="6">
        <f>'Rate Class Load Model'!D11</f>
        <v>4056.9600000000009</v>
      </c>
      <c r="L34" s="6">
        <f>'Rate Class Load Model'!D12</f>
        <v>4061.6026629702164</v>
      </c>
      <c r="M34" s="6">
        <f>'Rate Class Load Model'!D13</f>
        <v>4097.0319196086029</v>
      </c>
    </row>
    <row r="35" spans="1:14" x14ac:dyDescent="0.2">
      <c r="B35" s="40"/>
      <c r="C35" s="40"/>
      <c r="D35" s="40"/>
    </row>
    <row r="36" spans="1:14" x14ac:dyDescent="0.2">
      <c r="A36" s="26" t="str">
        <f>'Rate Class Energy Model'!M2</f>
        <v>USL</v>
      </c>
      <c r="B36" s="40"/>
      <c r="C36" s="40"/>
      <c r="D36" s="40"/>
      <c r="E36" s="1"/>
      <c r="F36" s="1"/>
      <c r="G36" s="1"/>
      <c r="H36" s="1"/>
    </row>
    <row r="37" spans="1:14" x14ac:dyDescent="0.2">
      <c r="A37" t="s">
        <v>39</v>
      </c>
      <c r="B37" s="52">
        <f>'Rate Class Customer Model'!G11</f>
        <v>259.33333333333331</v>
      </c>
      <c r="C37" s="52">
        <f>'Rate Class Customer Model'!G12</f>
        <v>256.66666666666669</v>
      </c>
      <c r="D37" s="52">
        <f>'Rate Class Customer Model'!G13</f>
        <v>261.33333333333331</v>
      </c>
      <c r="E37" s="6">
        <f>'Rate Class Customer Model'!G14</f>
        <v>261.91666666666669</v>
      </c>
      <c r="F37" s="6">
        <f>'Rate Class Customer Model'!G15</f>
        <v>262.83333333333331</v>
      </c>
      <c r="G37" s="6">
        <f>'Rate Class Customer Model'!G16</f>
        <v>261.83333333333331</v>
      </c>
      <c r="H37" s="6">
        <f>'Rate Class Customer Model'!G17</f>
        <v>258.25</v>
      </c>
      <c r="I37" s="6">
        <f>'Rate Class Customer Model'!G18</f>
        <v>255.83333333333334</v>
      </c>
      <c r="J37" s="6">
        <f>'Rate Class Customer Model'!G19</f>
        <v>252.08333333333334</v>
      </c>
      <c r="K37" s="6">
        <f>'Rate Class Customer Model'!G20</f>
        <v>200.16666666666666</v>
      </c>
      <c r="L37" s="6">
        <f>'Rate Class Customer Model'!G21</f>
        <v>196.25</v>
      </c>
      <c r="M37" s="6">
        <f>'Rate Class Customer Model'!G22</f>
        <v>190.68361562951188</v>
      </c>
      <c r="N37" s="34"/>
    </row>
    <row r="38" spans="1:14" x14ac:dyDescent="0.2">
      <c r="A38" t="s">
        <v>37</v>
      </c>
      <c r="B38" s="52">
        <f>'Rate Class Energy Model'!M3</f>
        <v>966945</v>
      </c>
      <c r="C38" s="52">
        <f>'Rate Class Energy Model'!M4</f>
        <v>970041</v>
      </c>
      <c r="D38" s="52">
        <f>'Rate Class Energy Model'!M5</f>
        <v>976708</v>
      </c>
      <c r="E38" s="6">
        <f>'Rate Class Energy Model'!M6</f>
        <v>958727</v>
      </c>
      <c r="F38" s="6">
        <f>'Rate Class Energy Model'!M7</f>
        <v>956107</v>
      </c>
      <c r="G38" s="6">
        <f>'Rate Class Energy Model'!M8</f>
        <v>952930</v>
      </c>
      <c r="H38" s="6">
        <f>'Rate Class Energy Model'!M9</f>
        <v>940979</v>
      </c>
      <c r="I38" s="6">
        <f>'Rate Class Energy Model'!M10</f>
        <v>919365</v>
      </c>
      <c r="J38" s="6">
        <f>'Rate Class Energy Model'!M11</f>
        <v>895494</v>
      </c>
      <c r="K38" s="6">
        <f>'Rate Class Energy Model'!M12</f>
        <v>851915</v>
      </c>
      <c r="L38" s="6">
        <f>'Rate Class Energy Model'!M32</f>
        <v>835245.55578684446</v>
      </c>
      <c r="M38" s="6">
        <f>'Rate Class Energy Model'!M33</f>
        <v>811554.8663231422</v>
      </c>
    </row>
    <row r="39" spans="1:14" x14ac:dyDescent="0.2">
      <c r="B39" s="40"/>
      <c r="C39" s="40"/>
      <c r="D39" s="40"/>
    </row>
    <row r="40" spans="1:14" x14ac:dyDescent="0.2">
      <c r="A40" s="26" t="str">
        <f>'Rate Class Energy Model'!N2</f>
        <v>Large User</v>
      </c>
      <c r="B40" s="40"/>
      <c r="C40" s="40"/>
      <c r="D40" s="40"/>
      <c r="E40" s="1"/>
      <c r="G40" s="1"/>
    </row>
    <row r="41" spans="1:14" x14ac:dyDescent="0.2">
      <c r="A41" t="s">
        <v>39</v>
      </c>
      <c r="B41" s="52">
        <v>1</v>
      </c>
      <c r="C41" s="52">
        <f>'Rate Class Customer Model'!H12</f>
        <v>0</v>
      </c>
      <c r="D41" s="52">
        <f>'Rate Class Customer Model'!H13</f>
        <v>0</v>
      </c>
      <c r="E41" s="6">
        <f>'Rate Class Customer Model'!H14</f>
        <v>0</v>
      </c>
      <c r="F41" s="6">
        <f>'Rate Class Customer Model'!H15</f>
        <v>0</v>
      </c>
      <c r="G41" s="6">
        <f>'Rate Class Customer Model'!H16</f>
        <v>0</v>
      </c>
      <c r="H41" s="6">
        <f>'Rate Class Customer Model'!H17</f>
        <v>0</v>
      </c>
      <c r="I41" s="6">
        <f>'Rate Class Customer Model'!H18</f>
        <v>0</v>
      </c>
      <c r="J41" s="6">
        <f>'Rate Class Customer Model'!H19</f>
        <v>0</v>
      </c>
      <c r="K41" s="6">
        <f>'Rate Class Customer Model'!H20</f>
        <v>0</v>
      </c>
      <c r="L41" s="6">
        <f>'Rate Class Customer Model'!H21</f>
        <v>0</v>
      </c>
      <c r="M41" s="6">
        <f>'Rate Class Customer Model'!H22</f>
        <v>0</v>
      </c>
    </row>
    <row r="42" spans="1:14" x14ac:dyDescent="0.2">
      <c r="A42" t="s">
        <v>37</v>
      </c>
      <c r="B42" s="52">
        <f>'Rate Class Energy Model'!N3</f>
        <v>20367511</v>
      </c>
      <c r="C42" s="52">
        <f>'Rate Class Energy Model'!N4</f>
        <v>277079</v>
      </c>
      <c r="D42" s="52">
        <f>'Rate Class Energy Model'!N5</f>
        <v>0</v>
      </c>
      <c r="E42" s="6">
        <f>'Rate Class Energy Model'!N6</f>
        <v>0</v>
      </c>
      <c r="F42" s="6">
        <f>'Rate Class Energy Model'!N7</f>
        <v>0</v>
      </c>
      <c r="G42" s="6">
        <f>'Rate Class Energy Model'!N8</f>
        <v>0</v>
      </c>
      <c r="H42" s="6">
        <f>'Rate Class Energy Model'!N9</f>
        <v>0</v>
      </c>
      <c r="I42" s="6">
        <f>'Rate Class Energy Model'!N10</f>
        <v>0</v>
      </c>
      <c r="J42" s="6">
        <f>'Rate Class Energy Model'!N11</f>
        <v>0</v>
      </c>
      <c r="K42" s="6">
        <f>'Rate Class Energy Model'!N12</f>
        <v>0</v>
      </c>
      <c r="L42" s="6">
        <f>'Rate Class Energy Model'!N32</f>
        <v>0</v>
      </c>
      <c r="M42" s="6">
        <f>'Rate Class Energy Model'!N33</f>
        <v>0</v>
      </c>
    </row>
    <row r="43" spans="1:14" x14ac:dyDescent="0.2">
      <c r="A43" t="s">
        <v>38</v>
      </c>
      <c r="B43" s="52">
        <f>'Rate Class Load Model'!E2</f>
        <v>59144</v>
      </c>
      <c r="C43" s="52">
        <f>'Rate Class Load Model'!E3</f>
        <v>479</v>
      </c>
      <c r="D43" s="52">
        <f>'Rate Class Load Model'!E4</f>
        <v>0</v>
      </c>
      <c r="E43" s="6">
        <f>'Rate Class Load Model'!E5</f>
        <v>0</v>
      </c>
      <c r="F43" s="6">
        <f>'Rate Class Load Model'!E6</f>
        <v>0</v>
      </c>
      <c r="G43" s="6">
        <f>'Rate Class Load Model'!E7</f>
        <v>0</v>
      </c>
      <c r="H43" s="6">
        <f>'Rate Class Load Model'!E8</f>
        <v>0</v>
      </c>
      <c r="I43" s="6">
        <f>'Rate Class Load Model'!E9</f>
        <v>0</v>
      </c>
      <c r="J43" s="6">
        <f>'Rate Class Load Model'!E10</f>
        <v>0</v>
      </c>
      <c r="K43" s="6">
        <f>'Rate Class Load Model'!E11</f>
        <v>0</v>
      </c>
      <c r="L43" s="6">
        <f>'Rate Class Load Model'!E12</f>
        <v>0</v>
      </c>
      <c r="M43" s="6">
        <f>'Rate Class Load Model'!E13</f>
        <v>0</v>
      </c>
    </row>
    <row r="44" spans="1:14" x14ac:dyDescent="0.2">
      <c r="B44" s="40"/>
      <c r="C44" s="40"/>
      <c r="D44" s="40"/>
    </row>
    <row r="45" spans="1:14" x14ac:dyDescent="0.2">
      <c r="A45" s="26" t="s">
        <v>7</v>
      </c>
      <c r="B45" s="40"/>
      <c r="C45" s="46"/>
      <c r="D45" s="40"/>
      <c r="E45" s="1"/>
      <c r="H45" s="41"/>
    </row>
    <row r="46" spans="1:14" x14ac:dyDescent="0.2">
      <c r="A46" t="s">
        <v>41</v>
      </c>
      <c r="B46" s="52">
        <f>+B14+B18+B22+B27+B32+B37+B41</f>
        <v>29944.166666666664</v>
      </c>
      <c r="C46" s="52">
        <f>+C14+C18+C22+C27+C32+C37+C41</f>
        <v>30127.749999999996</v>
      </c>
      <c r="D46" s="52">
        <f t="shared" ref="D46:M46" si="2">+D14+D18+D22+D27+D32+D37+D41</f>
        <v>30347.166666666664</v>
      </c>
      <c r="E46" s="6">
        <f t="shared" si="2"/>
        <v>30564.5</v>
      </c>
      <c r="F46" s="6">
        <f t="shared" si="2"/>
        <v>30910.166666666664</v>
      </c>
      <c r="G46" s="6">
        <f t="shared" si="2"/>
        <v>31265.666666666664</v>
      </c>
      <c r="H46" s="6">
        <f t="shared" si="2"/>
        <v>31606.166666666664</v>
      </c>
      <c r="I46" s="6">
        <f>+I14+I18+I22+I27+I32+I37+I41</f>
        <v>32120.583333333336</v>
      </c>
      <c r="J46" s="6">
        <f t="shared" si="2"/>
        <v>32609</v>
      </c>
      <c r="K46" s="6">
        <f t="shared" ref="K46" si="3">+K14+K18+K22+K27+K32+K37+K41</f>
        <v>33275.499999999993</v>
      </c>
      <c r="L46" s="6">
        <f t="shared" si="2"/>
        <v>33804.680137202376</v>
      </c>
      <c r="M46" s="6">
        <f t="shared" si="2"/>
        <v>34216.277275848406</v>
      </c>
    </row>
    <row r="47" spans="1:14" x14ac:dyDescent="0.2">
      <c r="A47" t="s">
        <v>37</v>
      </c>
      <c r="B47" s="52">
        <f>+B15+B19+B23+B28+B33+B38+B42</f>
        <v>380885629</v>
      </c>
      <c r="C47" s="52">
        <f t="shared" ref="C47:M47" si="4">+C15+C19+C23+C28+C33+C38+C42</f>
        <v>356369056</v>
      </c>
      <c r="D47" s="52">
        <f t="shared" si="4"/>
        <v>363388525</v>
      </c>
      <c r="E47" s="6">
        <f t="shared" si="4"/>
        <v>353716802</v>
      </c>
      <c r="F47" s="6">
        <f>+F15+F19+F23+F28+F33+F38+F42</f>
        <v>379090833.32999998</v>
      </c>
      <c r="G47" s="6">
        <f t="shared" si="4"/>
        <v>370608216.25</v>
      </c>
      <c r="H47" s="6">
        <f t="shared" si="4"/>
        <v>364637107.06999999</v>
      </c>
      <c r="I47" s="6">
        <f t="shared" si="4"/>
        <v>368482782.76999998</v>
      </c>
      <c r="J47" s="6">
        <f>+J15+J19+J23+J28+J33+J38+J42</f>
        <v>377130670.77999997</v>
      </c>
      <c r="K47" s="6">
        <f t="shared" ref="K47" si="5">+K15+K19+K23+K28+K33+K38+K42</f>
        <v>370827912.53724998</v>
      </c>
      <c r="L47" s="6">
        <f t="shared" si="4"/>
        <v>382224576.55017841</v>
      </c>
      <c r="M47" s="6">
        <f t="shared" si="4"/>
        <v>385918372.78666466</v>
      </c>
    </row>
    <row r="48" spans="1:14" x14ac:dyDescent="0.2">
      <c r="A48" t="s">
        <v>40</v>
      </c>
      <c r="B48" s="52">
        <f>+B24+B29+B34+B43</f>
        <v>470631</v>
      </c>
      <c r="C48" s="52">
        <f t="shared" ref="C48:J48" si="6">+C24+C29+C34+C43</f>
        <v>411800</v>
      </c>
      <c r="D48" s="52">
        <f t="shared" si="6"/>
        <v>403150</v>
      </c>
      <c r="E48" s="6">
        <f t="shared" si="6"/>
        <v>403638</v>
      </c>
      <c r="F48" s="6">
        <f t="shared" si="6"/>
        <v>419225</v>
      </c>
      <c r="G48" s="6">
        <f t="shared" si="6"/>
        <v>421064.31</v>
      </c>
      <c r="H48" s="6">
        <f t="shared" si="6"/>
        <v>387154.49</v>
      </c>
      <c r="I48" s="6">
        <f t="shared" si="6"/>
        <v>354486.37</v>
      </c>
      <c r="J48" s="6">
        <f t="shared" si="6"/>
        <v>362330.8</v>
      </c>
      <c r="K48" s="6">
        <f t="shared" ref="K48" si="7">+K24+K29+K34+K43</f>
        <v>359014.18000000005</v>
      </c>
      <c r="L48" s="6">
        <f>+L24+L29+L34+L43</f>
        <v>398116.5542155187</v>
      </c>
      <c r="M48" s="6">
        <f>+M24+M29+M34+M43</f>
        <v>394144.84183422959</v>
      </c>
    </row>
    <row r="49" spans="1:13" x14ac:dyDescent="0.2">
      <c r="B49" s="40"/>
      <c r="C49" s="142"/>
      <c r="D49" s="46"/>
      <c r="E49" s="1"/>
      <c r="F49" s="1"/>
    </row>
    <row r="50" spans="1:13" x14ac:dyDescent="0.2">
      <c r="A50" t="s">
        <v>41</v>
      </c>
      <c r="B50" s="52">
        <f>'Rate Class Customer Model'!I11</f>
        <v>29944.166666666664</v>
      </c>
      <c r="C50" s="52">
        <f>'Rate Class Customer Model'!I12</f>
        <v>30127.749999999996</v>
      </c>
      <c r="D50" s="52">
        <f>'Rate Class Customer Model'!I13</f>
        <v>30347.166666666664</v>
      </c>
      <c r="E50" s="6">
        <f>'Rate Class Customer Model'!I14</f>
        <v>30564.5</v>
      </c>
      <c r="F50" s="6">
        <f>'Rate Class Customer Model'!I15</f>
        <v>30910.166666666664</v>
      </c>
      <c r="G50" s="6">
        <f>'Rate Class Customer Model'!I16</f>
        <v>31265.666666666664</v>
      </c>
      <c r="H50" s="6">
        <f>'Rate Class Customer Model'!I17</f>
        <v>31606.166666666664</v>
      </c>
      <c r="I50" s="6">
        <f>'Rate Class Customer Model'!I18</f>
        <v>32120.583333333336</v>
      </c>
      <c r="J50" s="6">
        <f>'Rate Class Customer Model'!I19</f>
        <v>32609</v>
      </c>
      <c r="K50" s="6">
        <f>'Rate Class Customer Model'!I20</f>
        <v>33275.499999999993</v>
      </c>
      <c r="L50" s="6">
        <f>'Rate Class Customer Model'!I21</f>
        <v>33804.680137202376</v>
      </c>
      <c r="M50" s="6">
        <f>'Rate Class Customer Model'!I22</f>
        <v>34216.277275848406</v>
      </c>
    </row>
    <row r="51" spans="1:13" x14ac:dyDescent="0.2">
      <c r="A51" t="s">
        <v>37</v>
      </c>
      <c r="B51" s="6">
        <f>'Rate Class Energy Model'!G3</f>
        <v>380885629</v>
      </c>
      <c r="C51" s="6">
        <f>'Rate Class Energy Model'!G4</f>
        <v>356369056</v>
      </c>
      <c r="D51" s="6">
        <f>'Rate Class Energy Model'!G5</f>
        <v>363388525</v>
      </c>
      <c r="E51" s="6">
        <f>'Rate Class Energy Model'!G6</f>
        <v>353716802</v>
      </c>
      <c r="F51" s="6">
        <f>'Rate Class Energy Model'!G7</f>
        <v>379090833.32999998</v>
      </c>
      <c r="G51" s="6">
        <f>'Rate Class Energy Model'!G8</f>
        <v>370608216.25</v>
      </c>
      <c r="H51" s="6">
        <f>'Rate Class Energy Model'!G9</f>
        <v>364637107.06999999</v>
      </c>
      <c r="I51" s="6">
        <f>'Rate Class Energy Model'!G10</f>
        <v>368482782.76999998</v>
      </c>
      <c r="J51" s="6">
        <f>'Rate Class Energy Model'!G11</f>
        <v>377130670.77999997</v>
      </c>
      <c r="K51" s="6">
        <f>'Rate Class Energy Model'!G12</f>
        <v>370827912.53724998</v>
      </c>
      <c r="L51" s="6">
        <f>'Rate Class Energy Model'!O32</f>
        <v>382224576.55017841</v>
      </c>
      <c r="M51" s="6">
        <f>'Rate Class Energy Model'!O33</f>
        <v>385918372.78666466</v>
      </c>
    </row>
    <row r="52" spans="1:13" x14ac:dyDescent="0.2">
      <c r="A52" t="s">
        <v>40</v>
      </c>
      <c r="B52" s="6">
        <f>'Rate Class Load Model'!F2</f>
        <v>470631</v>
      </c>
      <c r="C52" s="6">
        <f>'Rate Class Load Model'!F3</f>
        <v>411800</v>
      </c>
      <c r="D52" s="6">
        <f>'Rate Class Load Model'!F4</f>
        <v>403150</v>
      </c>
      <c r="E52" s="6">
        <f>'Rate Class Load Model'!F5</f>
        <v>403638</v>
      </c>
      <c r="F52" s="6">
        <f>'Rate Class Load Model'!F6</f>
        <v>419225</v>
      </c>
      <c r="G52" s="6">
        <f>'Rate Class Load Model'!F7</f>
        <v>421064.31</v>
      </c>
      <c r="H52" s="6">
        <f>'Rate Class Load Model'!F8</f>
        <v>387154.49</v>
      </c>
      <c r="I52" s="6">
        <f>'Rate Class Load Model'!F9</f>
        <v>354486.37</v>
      </c>
      <c r="J52" s="6">
        <f>'Rate Class Load Model'!F10</f>
        <v>362330.8</v>
      </c>
      <c r="K52" s="6">
        <f>'Rate Class Load Model'!F11</f>
        <v>359014.18000000005</v>
      </c>
      <c r="L52" s="6">
        <f>'Rate Class Load Model'!F12</f>
        <v>398116.5542155187</v>
      </c>
      <c r="M52" s="6">
        <f>'Rate Class Load Model'!F13</f>
        <v>394144.84183422959</v>
      </c>
    </row>
    <row r="54" spans="1:13" hidden="1" x14ac:dyDescent="0.2">
      <c r="A54" t="s">
        <v>41</v>
      </c>
      <c r="H54" s="6">
        <f>'Rate Class Load Model'!F12</f>
        <v>398116.5542155187</v>
      </c>
      <c r="I54" s="6" t="e">
        <f>#REF!</f>
        <v>#REF!</v>
      </c>
      <c r="J54" s="6"/>
      <c r="K54" s="6"/>
      <c r="L54" s="6" t="e">
        <f>#REF!</f>
        <v>#REF!</v>
      </c>
      <c r="M54" s="6" t="e">
        <f>#REF!</f>
        <v>#REF!</v>
      </c>
    </row>
    <row r="55" spans="1:13" hidden="1" x14ac:dyDescent="0.2">
      <c r="A55" t="s">
        <v>37</v>
      </c>
      <c r="H55" s="6">
        <f>'Rate Class Load Model'!F13</f>
        <v>394144.84183422959</v>
      </c>
      <c r="I55" s="6" t="e">
        <f>#REF!</f>
        <v>#REF!</v>
      </c>
      <c r="J55" s="6"/>
      <c r="K55" s="6"/>
      <c r="L55" s="6" t="e">
        <f>#REF!</f>
        <v>#REF!</v>
      </c>
      <c r="M55" s="6" t="e">
        <f>#REF!</f>
        <v>#REF!</v>
      </c>
    </row>
    <row r="56" spans="1:13" hidden="1" x14ac:dyDescent="0.2">
      <c r="A56" t="s">
        <v>40</v>
      </c>
      <c r="H56" s="6">
        <f>'Rate Class Load Model'!F14</f>
        <v>0</v>
      </c>
      <c r="I56" s="6" t="e">
        <f>#REF!</f>
        <v>#REF!</v>
      </c>
      <c r="J56" s="6"/>
      <c r="K56" s="6"/>
      <c r="L56" s="6" t="e">
        <f>#REF!</f>
        <v>#REF!</v>
      </c>
      <c r="M56" s="6" t="e">
        <f>#REF!</f>
        <v>#REF!</v>
      </c>
    </row>
    <row r="57" spans="1:13" hidden="1" x14ac:dyDescent="0.2">
      <c r="H57" s="6">
        <f>'Rate Class Load Model'!F15</f>
        <v>0</v>
      </c>
    </row>
    <row r="58" spans="1:13" hidden="1" x14ac:dyDescent="0.2">
      <c r="A58" t="s">
        <v>41</v>
      </c>
      <c r="H58" s="6">
        <f>'Rate Class Load Model'!F16</f>
        <v>0</v>
      </c>
      <c r="I58" s="6" t="e">
        <f>#REF!-I54</f>
        <v>#REF!</v>
      </c>
      <c r="J58" s="6"/>
      <c r="K58" s="6"/>
      <c r="L58" s="6" t="e">
        <f>#REF!-L54</f>
        <v>#REF!</v>
      </c>
      <c r="M58" s="6" t="e">
        <f>#REF!-M54</f>
        <v>#REF!</v>
      </c>
    </row>
    <row r="59" spans="1:13" hidden="1" x14ac:dyDescent="0.2">
      <c r="A59" t="s">
        <v>37</v>
      </c>
      <c r="H59" s="6">
        <f>'Rate Class Load Model'!F17</f>
        <v>0</v>
      </c>
      <c r="I59" s="6" t="e">
        <f>#REF!-I55</f>
        <v>#REF!</v>
      </c>
      <c r="J59" s="6"/>
      <c r="K59" s="6"/>
      <c r="L59" s="6" t="e">
        <f>#REF!-L55</f>
        <v>#REF!</v>
      </c>
      <c r="M59" s="6" t="e">
        <f>#REF!-M55</f>
        <v>#REF!</v>
      </c>
    </row>
    <row r="60" spans="1:13" hidden="1" x14ac:dyDescent="0.2">
      <c r="A60" t="s">
        <v>40</v>
      </c>
      <c r="H60" s="6">
        <f>'Rate Class Load Model'!F18</f>
        <v>0</v>
      </c>
      <c r="I60" s="6" t="e">
        <f>#REF!-I56</f>
        <v>#REF!</v>
      </c>
      <c r="J60" s="6"/>
      <c r="K60" s="6"/>
      <c r="L60" s="6" t="e">
        <f>#REF!-L56</f>
        <v>#REF!</v>
      </c>
      <c r="M60" s="6" t="e">
        <f>#REF!-M56</f>
        <v>#REF!</v>
      </c>
    </row>
    <row r="61" spans="1:13" hidden="1" x14ac:dyDescent="0.2">
      <c r="H61" s="6">
        <f>'Rate Class Load Model'!F19</f>
        <v>0</v>
      </c>
    </row>
    <row r="62" spans="1:13" x14ac:dyDescent="0.2">
      <c r="A62" s="40" t="s">
        <v>12</v>
      </c>
      <c r="H62" s="6"/>
    </row>
    <row r="63" spans="1:13" x14ac:dyDescent="0.2">
      <c r="A63" t="s">
        <v>41</v>
      </c>
      <c r="B63" s="6">
        <f t="shared" ref="B63:M63" si="8">B46-B50</f>
        <v>0</v>
      </c>
      <c r="C63" s="6">
        <f>C46-C50</f>
        <v>0</v>
      </c>
      <c r="D63" s="6">
        <f t="shared" si="8"/>
        <v>0</v>
      </c>
      <c r="E63" s="6">
        <f t="shared" si="8"/>
        <v>0</v>
      </c>
      <c r="F63" s="6">
        <f t="shared" si="8"/>
        <v>0</v>
      </c>
      <c r="G63" s="6">
        <f t="shared" si="8"/>
        <v>0</v>
      </c>
      <c r="H63" s="6">
        <f t="shared" si="8"/>
        <v>0</v>
      </c>
      <c r="I63" s="6">
        <f t="shared" si="8"/>
        <v>0</v>
      </c>
      <c r="J63" s="6">
        <f t="shared" ref="J63:J65" si="9">J46-J50</f>
        <v>0</v>
      </c>
      <c r="K63" s="6">
        <f t="shared" ref="K63" si="10">K46-K50</f>
        <v>0</v>
      </c>
      <c r="L63" s="6">
        <f t="shared" si="8"/>
        <v>0</v>
      </c>
      <c r="M63" s="6">
        <f t="shared" si="8"/>
        <v>0</v>
      </c>
    </row>
    <row r="64" spans="1:13" x14ac:dyDescent="0.2">
      <c r="A64" t="s">
        <v>37</v>
      </c>
      <c r="B64" s="6">
        <f>B47-B51</f>
        <v>0</v>
      </c>
      <c r="C64" s="6">
        <f t="shared" ref="C64:M64" si="11">C47-C51</f>
        <v>0</v>
      </c>
      <c r="D64" s="6">
        <f t="shared" si="11"/>
        <v>0</v>
      </c>
      <c r="E64" s="6">
        <f t="shared" si="11"/>
        <v>0</v>
      </c>
      <c r="F64" s="6">
        <f t="shared" si="11"/>
        <v>0</v>
      </c>
      <c r="G64" s="6">
        <f t="shared" si="11"/>
        <v>0</v>
      </c>
      <c r="H64" s="6">
        <f t="shared" si="11"/>
        <v>0</v>
      </c>
      <c r="I64" s="6">
        <f t="shared" si="11"/>
        <v>0</v>
      </c>
      <c r="J64" s="6">
        <f t="shared" si="9"/>
        <v>0</v>
      </c>
      <c r="K64" s="6">
        <f t="shared" ref="K64" si="12">K47-K51</f>
        <v>0</v>
      </c>
      <c r="L64" s="6">
        <f t="shared" si="11"/>
        <v>0</v>
      </c>
      <c r="M64" s="6">
        <f t="shared" si="11"/>
        <v>0</v>
      </c>
    </row>
    <row r="65" spans="1:13" x14ac:dyDescent="0.2">
      <c r="A65" t="s">
        <v>40</v>
      </c>
      <c r="B65" s="6">
        <f t="shared" ref="B65:M65" si="13">B48-B52</f>
        <v>0</v>
      </c>
      <c r="C65" s="6">
        <f t="shared" si="13"/>
        <v>0</v>
      </c>
      <c r="D65" s="6">
        <f t="shared" si="13"/>
        <v>0</v>
      </c>
      <c r="E65" s="6">
        <f t="shared" si="13"/>
        <v>0</v>
      </c>
      <c r="F65" s="6">
        <f t="shared" si="13"/>
        <v>0</v>
      </c>
      <c r="G65" s="6">
        <f t="shared" si="13"/>
        <v>0</v>
      </c>
      <c r="H65" s="6">
        <f t="shared" si="13"/>
        <v>0</v>
      </c>
      <c r="I65" s="6">
        <f t="shared" si="13"/>
        <v>0</v>
      </c>
      <c r="J65" s="6">
        <f t="shared" si="9"/>
        <v>0</v>
      </c>
      <c r="K65" s="6">
        <f t="shared" ref="K65" si="14">K48-K52</f>
        <v>0</v>
      </c>
      <c r="L65" s="6">
        <f t="shared" si="13"/>
        <v>0</v>
      </c>
      <c r="M65" s="6">
        <f t="shared" si="13"/>
        <v>0</v>
      </c>
    </row>
  </sheetData>
  <phoneticPr fontId="0" type="noConversion"/>
  <pageMargins left="0.38" right="0.75" top="0.73" bottom="0.74" header="0.5" footer="0.5"/>
  <pageSetup scale="69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0242-EF32-4FE0-859B-E0C4A9DC8D14}">
  <sheetPr>
    <tabColor rgb="FF00B0F0"/>
  </sheetPr>
  <dimension ref="A2:X174"/>
  <sheetViews>
    <sheetView zoomScale="85" zoomScaleNormal="85" workbookViewId="0">
      <selection activeCell="K32" sqref="K32"/>
    </sheetView>
  </sheetViews>
  <sheetFormatPr defaultRowHeight="12.75" x14ac:dyDescent="0.2"/>
  <cols>
    <col min="1" max="1" width="11.85546875" style="25" customWidth="1"/>
    <col min="2" max="2" width="16.85546875" style="6" customWidth="1"/>
    <col min="3" max="3" width="11.5703125" style="1" customWidth="1"/>
    <col min="4" max="4" width="13.42578125" style="1" customWidth="1"/>
    <col min="5" max="5" width="10.140625" style="1" customWidth="1"/>
    <col min="6" max="6" width="10.28515625" style="50" customWidth="1"/>
    <col min="7" max="7" width="13" style="1" customWidth="1"/>
    <col min="8" max="8" width="16.28515625" style="1" bestFit="1" customWidth="1"/>
    <col min="9" max="11" width="16.28515625" style="1" customWidth="1"/>
    <col min="12" max="12" width="22.42578125" style="1" bestFit="1" customWidth="1"/>
    <col min="13" max="13" width="13" style="1" customWidth="1"/>
    <col min="14" max="14" width="19.7109375" style="1" bestFit="1" customWidth="1"/>
    <col min="15" max="15" width="15.7109375" style="1" customWidth="1"/>
    <col min="16" max="16" width="35.28515625" style="1" bestFit="1" customWidth="1"/>
    <col min="17" max="17" width="20.42578125" style="1" customWidth="1"/>
    <col min="18" max="18" width="31.7109375" customWidth="1"/>
    <col min="19" max="19" width="18.42578125" customWidth="1"/>
    <col min="20" max="24" width="12.5703125" customWidth="1"/>
  </cols>
  <sheetData>
    <row r="2" spans="1:21" ht="38.25" x14ac:dyDescent="0.2">
      <c r="A2" s="154"/>
      <c r="B2" s="155" t="s">
        <v>52</v>
      </c>
      <c r="C2" s="156" t="s">
        <v>2</v>
      </c>
      <c r="D2" s="156" t="s">
        <v>3</v>
      </c>
      <c r="E2" s="156" t="s">
        <v>91</v>
      </c>
      <c r="F2" s="157" t="s">
        <v>13</v>
      </c>
      <c r="G2" s="156" t="s">
        <v>105</v>
      </c>
      <c r="H2" s="156" t="s">
        <v>8</v>
      </c>
      <c r="I2" s="146" t="s">
        <v>134</v>
      </c>
      <c r="J2" s="146" t="s">
        <v>135</v>
      </c>
      <c r="K2" s="146" t="s">
        <v>136</v>
      </c>
      <c r="L2" s="146" t="s">
        <v>131</v>
      </c>
      <c r="M2" s="146" t="s">
        <v>132</v>
      </c>
      <c r="N2" s="146" t="s">
        <v>133</v>
      </c>
      <c r="O2" s="146"/>
      <c r="P2" t="s">
        <v>14</v>
      </c>
      <c r="Q2"/>
    </row>
    <row r="3" spans="1:21" ht="13.5" thickBot="1" x14ac:dyDescent="0.25">
      <c r="A3" s="160">
        <v>41670</v>
      </c>
      <c r="B3" s="161">
        <f>Inputs!D24</f>
        <v>40172298.198266663</v>
      </c>
      <c r="C3" s="161">
        <v>783.19999999999993</v>
      </c>
      <c r="D3" s="161">
        <v>0</v>
      </c>
      <c r="E3" s="161">
        <v>31</v>
      </c>
      <c r="F3" s="162">
        <v>0</v>
      </c>
      <c r="G3" s="161">
        <f>Inputs!G24+Inputs!I24+Inputs!L24+Inputs!X24</f>
        <v>22329</v>
      </c>
      <c r="H3" s="161">
        <f>$Q$18+$Q$19*C3+$Q$20*D3+$Q$21*E3+$Q$22*F3+$Q$23*G3</f>
        <v>35940957.444484323</v>
      </c>
      <c r="I3" s="9">
        <f>H3-B3</f>
        <v>-4231340.7537823394</v>
      </c>
      <c r="J3" s="171">
        <f>I3/B3</f>
        <v>-0.10532981540908982</v>
      </c>
      <c r="K3" s="171">
        <f>ABS(J3)</f>
        <v>0.10532981540908982</v>
      </c>
      <c r="L3" s="172">
        <f t="shared" ref="L3:L34" si="0">I3*I3</f>
        <v>17904244574619.297</v>
      </c>
      <c r="M3" s="11"/>
      <c r="N3" s="11"/>
      <c r="O3" s="11"/>
      <c r="P3"/>
      <c r="Q3"/>
    </row>
    <row r="4" spans="1:21" x14ac:dyDescent="0.2">
      <c r="A4" s="160">
        <v>41698</v>
      </c>
      <c r="B4" s="161">
        <f>Inputs!D25</f>
        <v>35904108.981466666</v>
      </c>
      <c r="C4" s="161">
        <v>743.69999999999993</v>
      </c>
      <c r="D4" s="161">
        <v>0</v>
      </c>
      <c r="E4" s="161">
        <v>28</v>
      </c>
      <c r="F4" s="162">
        <v>0</v>
      </c>
      <c r="G4" s="161">
        <f>Inputs!G25+Inputs!I25+Inputs!L25+Inputs!X25</f>
        <v>22326</v>
      </c>
      <c r="H4" s="161">
        <f>$Q$18+$Q$19*C4+$Q$20*D4+$Q$21*E4+$Q$22*F4+$Q$23*G4</f>
        <v>31685768.318572581</v>
      </c>
      <c r="I4" s="9">
        <f>H4-B4</f>
        <v>-4218340.662894085</v>
      </c>
      <c r="J4" s="171">
        <f>I4/B4</f>
        <v>-0.11748907806266824</v>
      </c>
      <c r="K4" s="171">
        <f t="shared" ref="K4:K67" si="1">ABS(J4)</f>
        <v>0.11748907806266824</v>
      </c>
      <c r="L4" s="172">
        <f t="shared" si="0"/>
        <v>17794397948225.707</v>
      </c>
      <c r="M4" s="172">
        <f t="shared" ref="M4:M35" si="2">I4-I3</f>
        <v>13000.090888254344</v>
      </c>
      <c r="N4" s="172">
        <f>M4*M4</f>
        <v>169002363.10287362</v>
      </c>
      <c r="O4" s="11"/>
      <c r="P4" s="180" t="s">
        <v>15</v>
      </c>
      <c r="Q4" s="180"/>
    </row>
    <row r="5" spans="1:21" x14ac:dyDescent="0.2">
      <c r="A5" s="160">
        <v>41729</v>
      </c>
      <c r="B5" s="161">
        <f>Inputs!D26</f>
        <v>37359874.474666663</v>
      </c>
      <c r="C5" s="161">
        <v>692.30000000000007</v>
      </c>
      <c r="D5" s="161">
        <v>0</v>
      </c>
      <c r="E5" s="161">
        <v>31</v>
      </c>
      <c r="F5" s="162">
        <v>1</v>
      </c>
      <c r="G5" s="161">
        <f>Inputs!G26+Inputs!I26+Inputs!L26+Inputs!X26</f>
        <v>22340</v>
      </c>
      <c r="H5" s="161">
        <f>$Q$18+$Q$19*C5+$Q$20*D5+$Q$21*E5+$Q$22*F5+$Q$23*G5</f>
        <v>32609728.287138797</v>
      </c>
      <c r="I5" s="9">
        <f>H5-B5</f>
        <v>-4750146.1875278652</v>
      </c>
      <c r="J5" s="171">
        <f>I5/B5</f>
        <v>-0.12714566776044414</v>
      </c>
      <c r="K5" s="171">
        <f t="shared" si="1"/>
        <v>0.12714566776044414</v>
      </c>
      <c r="L5" s="172">
        <f t="shared" si="0"/>
        <v>22563888802885.512</v>
      </c>
      <c r="M5" s="172">
        <f t="shared" si="2"/>
        <v>-531805.52463378012</v>
      </c>
      <c r="N5" s="172">
        <f t="shared" ref="N5:N68" si="3">M5*M5</f>
        <v>282817116031.01013</v>
      </c>
      <c r="O5" s="11"/>
      <c r="P5" t="s">
        <v>16</v>
      </c>
      <c r="Q5">
        <v>0.94525835421030091</v>
      </c>
    </row>
    <row r="6" spans="1:21" x14ac:dyDescent="0.2">
      <c r="A6" s="160">
        <v>41759</v>
      </c>
      <c r="B6" s="161">
        <f>Inputs!D27</f>
        <v>29870903.297066666</v>
      </c>
      <c r="C6" s="161">
        <v>338.40000000000009</v>
      </c>
      <c r="D6" s="161">
        <v>0</v>
      </c>
      <c r="E6" s="161">
        <v>30</v>
      </c>
      <c r="F6" s="162">
        <v>1</v>
      </c>
      <c r="G6" s="161">
        <f>Inputs!G27+Inputs!I27+Inputs!L27+Inputs!X27</f>
        <v>22334</v>
      </c>
      <c r="H6" s="161">
        <f>$Q$18+$Q$19*C6+$Q$20*D6+$Q$21*E6+$Q$22*F6+$Q$23*G6</f>
        <v>27655135.651276425</v>
      </c>
      <c r="I6" s="9">
        <f>H6-B6</f>
        <v>-2215767.6457902417</v>
      </c>
      <c r="J6" s="171">
        <f>I6/B6</f>
        <v>-7.4178126578710826E-2</v>
      </c>
      <c r="K6" s="171">
        <f t="shared" si="1"/>
        <v>7.4178126578710826E-2</v>
      </c>
      <c r="L6" s="172">
        <f t="shared" si="0"/>
        <v>4909626260130.8301</v>
      </c>
      <c r="M6" s="172">
        <f t="shared" si="2"/>
        <v>2534378.5417376235</v>
      </c>
      <c r="N6" s="172">
        <f t="shared" si="3"/>
        <v>6423074592820.123</v>
      </c>
      <c r="O6" s="11"/>
      <c r="P6" t="s">
        <v>17</v>
      </c>
      <c r="Q6">
        <v>0.89351335620436678</v>
      </c>
    </row>
    <row r="7" spans="1:21" x14ac:dyDescent="0.2">
      <c r="A7" s="160">
        <v>41790</v>
      </c>
      <c r="B7" s="161">
        <f>Inputs!D28</f>
        <v>27607357.325866669</v>
      </c>
      <c r="C7" s="161">
        <v>143.89999999999995</v>
      </c>
      <c r="D7" s="161">
        <v>7.3</v>
      </c>
      <c r="E7" s="161">
        <v>31</v>
      </c>
      <c r="F7" s="162">
        <v>1</v>
      </c>
      <c r="G7" s="161">
        <f>Inputs!G28+Inputs!I28+Inputs!L28+Inputs!X28</f>
        <v>22336</v>
      </c>
      <c r="H7" s="161">
        <f>$Q$18+$Q$19*C7+$Q$20*D7+$Q$21*E7+$Q$22*F7+$Q$23*G7</f>
        <v>27593612.813736446</v>
      </c>
      <c r="I7" s="9">
        <f>H7-B7</f>
        <v>-13744.512130223215</v>
      </c>
      <c r="J7" s="171">
        <f>I7/B7</f>
        <v>-4.9785685634406291E-4</v>
      </c>
      <c r="K7" s="171">
        <f t="shared" si="1"/>
        <v>4.9785685634406291E-4</v>
      </c>
      <c r="L7" s="172">
        <f t="shared" si="0"/>
        <v>188911613.69785309</v>
      </c>
      <c r="M7" s="172">
        <f t="shared" si="2"/>
        <v>2202023.1336600184</v>
      </c>
      <c r="N7" s="172">
        <f t="shared" si="3"/>
        <v>4848905881173.8877</v>
      </c>
      <c r="O7" s="11"/>
      <c r="P7" t="s">
        <v>18</v>
      </c>
      <c r="Q7">
        <v>0.88918463084682076</v>
      </c>
    </row>
    <row r="8" spans="1:21" x14ac:dyDescent="0.2">
      <c r="A8" s="160">
        <v>41820</v>
      </c>
      <c r="B8" s="161">
        <f>Inputs!D29</f>
        <v>32169591.381466668</v>
      </c>
      <c r="C8" s="161">
        <v>21.3</v>
      </c>
      <c r="D8" s="161">
        <v>62.800000000000004</v>
      </c>
      <c r="E8" s="161">
        <v>30</v>
      </c>
      <c r="F8" s="162">
        <v>0</v>
      </c>
      <c r="G8" s="161">
        <f>Inputs!G29+Inputs!I29+Inputs!L29+Inputs!X29</f>
        <v>22351</v>
      </c>
      <c r="H8" s="161">
        <f>$Q$18+$Q$19*C8+$Q$20*D8+$Q$21*E8+$Q$22*F8+$Q$23*G8</f>
        <v>32560909.836053532</v>
      </c>
      <c r="I8" s="9">
        <f>H8-B8</f>
        <v>391318.45458686352</v>
      </c>
      <c r="J8" s="171">
        <f>I8/B8</f>
        <v>1.2164234538966116E-2</v>
      </c>
      <c r="K8" s="171">
        <f t="shared" si="1"/>
        <v>1.2164234538966116E-2</v>
      </c>
      <c r="L8" s="172">
        <f t="shared" si="0"/>
        <v>153130132900.25116</v>
      </c>
      <c r="M8" s="172">
        <f t="shared" si="2"/>
        <v>405062.96671708673</v>
      </c>
      <c r="N8" s="172">
        <f t="shared" si="3"/>
        <v>164076007005.64771</v>
      </c>
      <c r="O8" s="11"/>
      <c r="P8" t="s">
        <v>19</v>
      </c>
      <c r="Q8">
        <v>1254986.9719355979</v>
      </c>
    </row>
    <row r="9" spans="1:21" ht="13.5" thickBot="1" x14ac:dyDescent="0.25">
      <c r="A9" s="160">
        <v>41851</v>
      </c>
      <c r="B9" s="161">
        <f>Inputs!D30</f>
        <v>33916845.750666663</v>
      </c>
      <c r="C9" s="161">
        <v>13.700000000000001</v>
      </c>
      <c r="D9" s="161">
        <v>51</v>
      </c>
      <c r="E9" s="161">
        <v>31</v>
      </c>
      <c r="F9" s="162">
        <v>0</v>
      </c>
      <c r="G9" s="161">
        <f>Inputs!G30+Inputs!I30+Inputs!L30+Inputs!X30</f>
        <v>22375</v>
      </c>
      <c r="H9" s="161">
        <f>$Q$18+$Q$19*C9+$Q$20*D9+$Q$21*E9+$Q$22*F9+$Q$23*G9</f>
        <v>32688666.245164759</v>
      </c>
      <c r="I9" s="9">
        <f>H9-B9</f>
        <v>-1228179.5055019036</v>
      </c>
      <c r="J9" s="171">
        <f>I9/B9</f>
        <v>-3.6211489550963406E-2</v>
      </c>
      <c r="K9" s="171">
        <f t="shared" si="1"/>
        <v>3.6211489550963406E-2</v>
      </c>
      <c r="L9" s="172">
        <f t="shared" si="0"/>
        <v>1508424897734.9004</v>
      </c>
      <c r="M9" s="172">
        <f t="shared" si="2"/>
        <v>-1619497.9600887671</v>
      </c>
      <c r="N9" s="172">
        <f t="shared" si="3"/>
        <v>2622773642731.6777</v>
      </c>
      <c r="O9" s="11"/>
      <c r="P9" s="178" t="s">
        <v>20</v>
      </c>
      <c r="Q9" s="178">
        <v>129</v>
      </c>
    </row>
    <row r="10" spans="1:21" x14ac:dyDescent="0.2">
      <c r="A10" s="160">
        <v>41882</v>
      </c>
      <c r="B10" s="161">
        <f>Inputs!D31</f>
        <v>33253613.143466666</v>
      </c>
      <c r="C10" s="161">
        <v>11.999999999999998</v>
      </c>
      <c r="D10" s="161">
        <v>56.999999999999993</v>
      </c>
      <c r="E10" s="161">
        <v>31</v>
      </c>
      <c r="F10" s="162">
        <v>0</v>
      </c>
      <c r="G10" s="161">
        <f>Inputs!G31+Inputs!I31+Inputs!L31+Inputs!X31</f>
        <v>22386</v>
      </c>
      <c r="H10" s="161">
        <f>$Q$18+$Q$19*C10+$Q$20*D10+$Q$21*E10+$Q$22*F10+$Q$23*G10</f>
        <v>33230292.289025187</v>
      </c>
      <c r="I10" s="9">
        <f>H10-B10</f>
        <v>-23320.854441478848</v>
      </c>
      <c r="J10" s="171">
        <f>I10/B10</f>
        <v>-7.0130287319050905E-4</v>
      </c>
      <c r="K10" s="171">
        <f t="shared" si="1"/>
        <v>7.0130287319050905E-4</v>
      </c>
      <c r="L10" s="172">
        <f t="shared" si="0"/>
        <v>543862251.88064373</v>
      </c>
      <c r="M10" s="172">
        <f t="shared" si="2"/>
        <v>1204858.6510604247</v>
      </c>
      <c r="N10" s="172">
        <f t="shared" si="3"/>
        <v>1451684369035.1462</v>
      </c>
      <c r="O10" s="11"/>
      <c r="P10"/>
      <c r="Q10"/>
    </row>
    <row r="11" spans="1:21" ht="13.5" thickBot="1" x14ac:dyDescent="0.25">
      <c r="A11" s="160">
        <v>41912</v>
      </c>
      <c r="B11" s="161">
        <f>Inputs!D32</f>
        <v>28705908.135466669</v>
      </c>
      <c r="C11" s="161">
        <v>85.300000000000011</v>
      </c>
      <c r="D11" s="161">
        <v>27.500000000000004</v>
      </c>
      <c r="E11" s="161">
        <v>30</v>
      </c>
      <c r="F11" s="162">
        <v>0</v>
      </c>
      <c r="G11" s="161">
        <f>Inputs!G32+Inputs!I32+Inputs!L32+Inputs!X32</f>
        <v>22411</v>
      </c>
      <c r="H11" s="161">
        <f>$Q$18+$Q$19*C11+$Q$20*D11+$Q$21*E11+$Q$22*F11+$Q$23*G11</f>
        <v>30002998.290060975</v>
      </c>
      <c r="I11" s="9">
        <f>H11-B11</f>
        <v>1297090.1545943059</v>
      </c>
      <c r="J11" s="171">
        <f>I11/B11</f>
        <v>4.5185477096672221E-2</v>
      </c>
      <c r="K11" s="171">
        <f t="shared" si="1"/>
        <v>4.5185477096672221E-2</v>
      </c>
      <c r="L11" s="172">
        <f t="shared" si="0"/>
        <v>1682442869145.4805</v>
      </c>
      <c r="M11" s="172">
        <f t="shared" si="2"/>
        <v>1320411.0090357848</v>
      </c>
      <c r="N11" s="172">
        <f t="shared" si="3"/>
        <v>1743485232782.8992</v>
      </c>
      <c r="O11" s="11"/>
      <c r="P11" t="s">
        <v>21</v>
      </c>
      <c r="Q11"/>
    </row>
    <row r="12" spans="1:21" x14ac:dyDescent="0.2">
      <c r="A12" s="160">
        <v>41943</v>
      </c>
      <c r="B12" s="161">
        <f>Inputs!D33</f>
        <v>29560489.815066669</v>
      </c>
      <c r="C12" s="161">
        <v>223.09999999999997</v>
      </c>
      <c r="D12" s="161">
        <v>4.5</v>
      </c>
      <c r="E12" s="161">
        <v>31</v>
      </c>
      <c r="F12" s="162">
        <v>1</v>
      </c>
      <c r="G12" s="161">
        <f>Inputs!G33+Inputs!I33+Inputs!L33+Inputs!X33</f>
        <v>22460</v>
      </c>
      <c r="H12" s="161">
        <f>$Q$18+$Q$19*C12+$Q$20*D12+$Q$21*E12+$Q$22*F12+$Q$23*G12</f>
        <v>28225058.566039335</v>
      </c>
      <c r="I12" s="9">
        <f>H12-B12</f>
        <v>-1335431.2490273342</v>
      </c>
      <c r="J12" s="171">
        <f>I12/B12</f>
        <v>-4.5176221956467005E-2</v>
      </c>
      <c r="K12" s="171">
        <f t="shared" si="1"/>
        <v>4.5176221956467005E-2</v>
      </c>
      <c r="L12" s="172">
        <f t="shared" si="0"/>
        <v>1783376620878.7058</v>
      </c>
      <c r="M12" s="172">
        <f t="shared" si="2"/>
        <v>-2632521.4036216401</v>
      </c>
      <c r="N12" s="172">
        <f t="shared" si="3"/>
        <v>6930168940526.0498</v>
      </c>
      <c r="O12" s="11"/>
      <c r="P12" s="179"/>
      <c r="Q12" s="179" t="s">
        <v>25</v>
      </c>
      <c r="R12" s="179" t="s">
        <v>26</v>
      </c>
      <c r="S12" s="179" t="s">
        <v>27</v>
      </c>
      <c r="T12" s="179" t="s">
        <v>28</v>
      </c>
      <c r="U12" s="179" t="s">
        <v>29</v>
      </c>
    </row>
    <row r="13" spans="1:21" x14ac:dyDescent="0.2">
      <c r="A13" s="160">
        <v>41973</v>
      </c>
      <c r="B13" s="161">
        <f>Inputs!D34</f>
        <v>30512368.479866669</v>
      </c>
      <c r="C13" s="161">
        <v>465.7</v>
      </c>
      <c r="D13" s="161">
        <v>0</v>
      </c>
      <c r="E13" s="161">
        <v>30</v>
      </c>
      <c r="F13" s="162">
        <v>1</v>
      </c>
      <c r="G13" s="161">
        <f>Inputs!G34+Inputs!I34+Inputs!L34+Inputs!X34</f>
        <v>22458</v>
      </c>
      <c r="H13" s="161">
        <f>$Q$18+$Q$19*C13+$Q$20*D13+$Q$21*E13+$Q$22*F13+$Q$23*G13</f>
        <v>29043542.404156957</v>
      </c>
      <c r="I13" s="9">
        <f>H13-B13</f>
        <v>-1468826.0757097118</v>
      </c>
      <c r="J13" s="171">
        <f>I13/B13</f>
        <v>-4.8138710591375575E-2</v>
      </c>
      <c r="K13" s="171">
        <f t="shared" si="1"/>
        <v>4.8138710591375575E-2</v>
      </c>
      <c r="L13" s="172">
        <f t="shared" si="0"/>
        <v>2157450040684.792</v>
      </c>
      <c r="M13" s="172">
        <f t="shared" si="2"/>
        <v>-133394.82668237761</v>
      </c>
      <c r="N13" s="172">
        <f t="shared" si="3"/>
        <v>17794179785.621559</v>
      </c>
      <c r="O13" s="11"/>
      <c r="P13" t="s">
        <v>22</v>
      </c>
      <c r="Q13">
        <v>5</v>
      </c>
      <c r="R13">
        <v>1625509289094574</v>
      </c>
      <c r="S13">
        <v>325101857818914.81</v>
      </c>
      <c r="T13">
        <v>206.41488715534859</v>
      </c>
      <c r="U13">
        <v>4.7788126339918318E-58</v>
      </c>
    </row>
    <row r="14" spans="1:21" x14ac:dyDescent="0.2">
      <c r="A14" s="160">
        <v>42004</v>
      </c>
      <c r="B14" s="161">
        <f>Inputs!D35</f>
        <v>32708611.119066667</v>
      </c>
      <c r="C14" s="161">
        <v>540.79999999999995</v>
      </c>
      <c r="D14" s="161">
        <v>0</v>
      </c>
      <c r="E14" s="161">
        <v>31</v>
      </c>
      <c r="F14" s="162">
        <v>1</v>
      </c>
      <c r="G14" s="161">
        <f>Inputs!G35+Inputs!I35+Inputs!L35+Inputs!X35</f>
        <v>22470</v>
      </c>
      <c r="H14" s="161">
        <f>$Q$18+$Q$19*C14+$Q$20*D14+$Q$21*E14+$Q$22*F14+$Q$23*G14</f>
        <v>31110252.460311912</v>
      </c>
      <c r="I14" s="9">
        <f>H14-B14</f>
        <v>-1598358.6587547548</v>
      </c>
      <c r="J14" s="171">
        <f>I14/B14</f>
        <v>-4.8866601303747551E-2</v>
      </c>
      <c r="K14" s="171">
        <f t="shared" si="1"/>
        <v>4.8866601303747551E-2</v>
      </c>
      <c r="L14" s="172">
        <f t="shared" si="0"/>
        <v>2554750402016.2988</v>
      </c>
      <c r="M14" s="172">
        <f t="shared" si="2"/>
        <v>-129532.58304504305</v>
      </c>
      <c r="N14" s="172">
        <f t="shared" si="3"/>
        <v>16778690070.320974</v>
      </c>
      <c r="O14" s="11"/>
      <c r="P14" t="s">
        <v>23</v>
      </c>
      <c r="Q14">
        <v>123</v>
      </c>
      <c r="R14">
        <v>193724052866553.97</v>
      </c>
      <c r="S14">
        <v>1574992299728.0811</v>
      </c>
    </row>
    <row r="15" spans="1:21" ht="13.5" thickBot="1" x14ac:dyDescent="0.25">
      <c r="A15" s="160">
        <v>42035</v>
      </c>
      <c r="B15" s="161">
        <f>Inputs!D36</f>
        <v>35265002.026533335</v>
      </c>
      <c r="C15" s="161">
        <v>753.1</v>
      </c>
      <c r="D15" s="161">
        <v>0</v>
      </c>
      <c r="E15" s="161">
        <v>31</v>
      </c>
      <c r="F15" s="162">
        <v>0</v>
      </c>
      <c r="G15" s="161">
        <f>Inputs!G36+Inputs!I36+Inputs!L36+Inputs!X36</f>
        <v>22484</v>
      </c>
      <c r="H15" s="161">
        <f>$Q$18+$Q$19*C15+$Q$20*D15+$Q$21*E15+$Q$22*F15+$Q$23*G15</f>
        <v>35714181.587611876</v>
      </c>
      <c r="I15" s="9">
        <f>H15-B15</f>
        <v>449179.56107854098</v>
      </c>
      <c r="J15" s="171">
        <f>I15/B15</f>
        <v>1.2737261740140522E-2</v>
      </c>
      <c r="K15" s="171">
        <f t="shared" si="1"/>
        <v>1.2737261740140522E-2</v>
      </c>
      <c r="L15" s="172">
        <f t="shared" si="0"/>
        <v>201762278090.71072</v>
      </c>
      <c r="M15" s="172">
        <f t="shared" si="2"/>
        <v>2047538.2198332958</v>
      </c>
      <c r="N15" s="172">
        <f t="shared" si="3"/>
        <v>4192412761678.1021</v>
      </c>
      <c r="O15" s="11"/>
      <c r="P15" s="178" t="s">
        <v>7</v>
      </c>
      <c r="Q15" s="178">
        <v>128</v>
      </c>
      <c r="R15" s="178">
        <v>1819233341961128</v>
      </c>
      <c r="S15" s="178"/>
      <c r="T15" s="178"/>
      <c r="U15" s="178"/>
    </row>
    <row r="16" spans="1:21" ht="13.5" thickBot="1" x14ac:dyDescent="0.25">
      <c r="A16" s="160">
        <v>42063</v>
      </c>
      <c r="B16" s="161">
        <f>Inputs!D37</f>
        <v>32520528.185333334</v>
      </c>
      <c r="C16" s="161">
        <v>871.9</v>
      </c>
      <c r="D16" s="161">
        <v>0</v>
      </c>
      <c r="E16" s="161">
        <v>28</v>
      </c>
      <c r="F16" s="162">
        <v>0</v>
      </c>
      <c r="G16" s="161">
        <f>Inputs!G37+Inputs!I37+Inputs!L37+Inputs!X37</f>
        <v>22480</v>
      </c>
      <c r="H16" s="161">
        <f>$Q$18+$Q$19*C16+$Q$20*D16+$Q$21*E16+$Q$22*F16+$Q$23*G16</f>
        <v>33100030.331154577</v>
      </c>
      <c r="I16" s="9">
        <f>H16-B16</f>
        <v>579502.14582124352</v>
      </c>
      <c r="J16" s="171">
        <f>I16/B16</f>
        <v>1.7819579759550071E-2</v>
      </c>
      <c r="K16" s="171">
        <f t="shared" si="1"/>
        <v>1.7819579759550071E-2</v>
      </c>
      <c r="L16" s="172">
        <f t="shared" si="0"/>
        <v>335822737011.42578</v>
      </c>
      <c r="M16" s="172">
        <f t="shared" si="2"/>
        <v>130322.58474270254</v>
      </c>
      <c r="N16" s="172">
        <f t="shared" si="3"/>
        <v>16983976094.018887</v>
      </c>
      <c r="O16" s="11"/>
      <c r="P16"/>
      <c r="Q16"/>
    </row>
    <row r="17" spans="1:24" x14ac:dyDescent="0.2">
      <c r="A17" s="160">
        <v>42094</v>
      </c>
      <c r="B17" s="161">
        <f>Inputs!D38</f>
        <v>32214658.640933331</v>
      </c>
      <c r="C17" s="161">
        <v>637</v>
      </c>
      <c r="D17" s="161">
        <v>0</v>
      </c>
      <c r="E17" s="161">
        <v>31</v>
      </c>
      <c r="F17" s="162">
        <v>1</v>
      </c>
      <c r="G17" s="161">
        <f>Inputs!G38+Inputs!I38+Inputs!L38+Inputs!X38</f>
        <v>22502</v>
      </c>
      <c r="H17" s="161">
        <f>$Q$18+$Q$19*C17+$Q$20*D17+$Q$21*E17+$Q$22*F17+$Q$23*G17</f>
        <v>32125480.797778428</v>
      </c>
      <c r="I17" s="9">
        <f>H17-B17</f>
        <v>-89177.843154903501</v>
      </c>
      <c r="J17" s="171">
        <f>I17/B17</f>
        <v>-2.7682380294289477E-3</v>
      </c>
      <c r="K17" s="171">
        <f t="shared" si="1"/>
        <v>2.7682380294289477E-3</v>
      </c>
      <c r="L17" s="172">
        <f t="shared" si="0"/>
        <v>7952687709.7605696</v>
      </c>
      <c r="M17" s="172">
        <f t="shared" si="2"/>
        <v>-668679.98897614703</v>
      </c>
      <c r="N17" s="172">
        <f t="shared" si="3"/>
        <v>447132927657.14014</v>
      </c>
      <c r="O17" s="11"/>
      <c r="P17" s="179"/>
      <c r="Q17" s="179" t="s">
        <v>117</v>
      </c>
      <c r="R17" s="179" t="s">
        <v>19</v>
      </c>
      <c r="S17" s="179" t="s">
        <v>118</v>
      </c>
      <c r="T17" s="179" t="s">
        <v>119</v>
      </c>
      <c r="U17" s="179" t="s">
        <v>120</v>
      </c>
      <c r="V17" s="179" t="s">
        <v>121</v>
      </c>
      <c r="W17" s="179" t="s">
        <v>122</v>
      </c>
      <c r="X17" s="179" t="s">
        <v>123</v>
      </c>
    </row>
    <row r="18" spans="1:24" x14ac:dyDescent="0.2">
      <c r="A18" s="160">
        <v>42124</v>
      </c>
      <c r="B18" s="161">
        <f>Inputs!D39</f>
        <v>27411226.508933332</v>
      </c>
      <c r="C18" s="161">
        <v>319.59999999999997</v>
      </c>
      <c r="D18" s="161">
        <v>0</v>
      </c>
      <c r="E18" s="161">
        <v>30</v>
      </c>
      <c r="F18" s="162">
        <v>1</v>
      </c>
      <c r="G18" s="161">
        <f>Inputs!G39+Inputs!I39+Inputs!L39+Inputs!X39</f>
        <v>22537</v>
      </c>
      <c r="H18" s="161">
        <f>$Q$18+$Q$19*C18+$Q$20*D18+$Q$21*E18+$Q$22*F18+$Q$23*G18</f>
        <v>27571977.506678939</v>
      </c>
      <c r="I18" s="9">
        <f>H18-B18</f>
        <v>160750.99774560705</v>
      </c>
      <c r="J18" s="171">
        <f>I18/B18</f>
        <v>5.86442192556463E-3</v>
      </c>
      <c r="K18" s="171">
        <f t="shared" si="1"/>
        <v>5.86442192556463E-3</v>
      </c>
      <c r="L18" s="172">
        <f t="shared" si="0"/>
        <v>25840883276.208164</v>
      </c>
      <c r="M18" s="172">
        <f t="shared" si="2"/>
        <v>249928.84090051055</v>
      </c>
      <c r="N18" s="172">
        <f t="shared" si="3"/>
        <v>62464425513.872711</v>
      </c>
      <c r="O18" s="11"/>
      <c r="P18" t="s">
        <v>24</v>
      </c>
      <c r="Q18">
        <v>-24198838.058729626</v>
      </c>
      <c r="R18">
        <v>5286553.1024430161</v>
      </c>
      <c r="S18">
        <v>-4.5774321357988228</v>
      </c>
      <c r="T18">
        <v>1.134367922248697E-5</v>
      </c>
      <c r="U18">
        <v>-34663245.780505359</v>
      </c>
      <c r="V18">
        <v>-13734430.33695389</v>
      </c>
      <c r="W18">
        <v>-34663245.780505359</v>
      </c>
      <c r="X18">
        <v>-13734430.33695389</v>
      </c>
    </row>
    <row r="19" spans="1:24" x14ac:dyDescent="0.2">
      <c r="A19" s="160">
        <v>42155</v>
      </c>
      <c r="B19" s="161">
        <f>Inputs!D40</f>
        <v>28734001.131733332</v>
      </c>
      <c r="C19" s="161">
        <v>96.5</v>
      </c>
      <c r="D19" s="161">
        <v>34.200000000000003</v>
      </c>
      <c r="E19" s="161">
        <v>31</v>
      </c>
      <c r="F19" s="162">
        <v>1</v>
      </c>
      <c r="G19" s="161">
        <f>Inputs!G40+Inputs!I40+Inputs!L40+Inputs!X40</f>
        <v>22526</v>
      </c>
      <c r="H19" s="161">
        <f>$Q$18+$Q$19*C19+$Q$20*D19+$Q$21*E19+$Q$22*F19+$Q$23*G19</f>
        <v>29686876.918576397</v>
      </c>
      <c r="I19" s="9">
        <f>H19-B19</f>
        <v>952875.78684306517</v>
      </c>
      <c r="J19" s="171">
        <f>I19/B19</f>
        <v>3.3161959675387001E-2</v>
      </c>
      <c r="K19" s="171">
        <f t="shared" si="1"/>
        <v>3.3161959675387001E-2</v>
      </c>
      <c r="L19" s="172">
        <f t="shared" si="0"/>
        <v>907972265151.79053</v>
      </c>
      <c r="M19" s="172">
        <f t="shared" si="2"/>
        <v>792124.78909745812</v>
      </c>
      <c r="N19" s="172">
        <f t="shared" si="3"/>
        <v>627461681502.6925</v>
      </c>
      <c r="O19" s="11"/>
      <c r="P19" t="s">
        <v>2</v>
      </c>
      <c r="Q19">
        <v>10370.111232517409</v>
      </c>
      <c r="R19">
        <v>641.88530043318042</v>
      </c>
      <c r="S19">
        <v>16.155707609317542</v>
      </c>
      <c r="T19">
        <v>3.3934452253644828E-32</v>
      </c>
      <c r="U19">
        <v>9099.5386374472328</v>
      </c>
      <c r="V19">
        <v>11640.683827587585</v>
      </c>
      <c r="W19">
        <v>9099.5386374472328</v>
      </c>
      <c r="X19">
        <v>11640.683827587585</v>
      </c>
    </row>
    <row r="20" spans="1:24" x14ac:dyDescent="0.2">
      <c r="A20" s="160">
        <v>42185</v>
      </c>
      <c r="B20" s="161">
        <f>Inputs!D41</f>
        <v>29750992.611733332</v>
      </c>
      <c r="C20" s="161">
        <v>35.9</v>
      </c>
      <c r="D20" s="161">
        <v>28.599999999999998</v>
      </c>
      <c r="E20" s="161">
        <v>30</v>
      </c>
      <c r="F20" s="162">
        <v>0</v>
      </c>
      <c r="G20" s="161">
        <f>Inputs!G41+Inputs!I41+Inputs!L41+Inputs!X41</f>
        <v>22535</v>
      </c>
      <c r="H20" s="161">
        <f>$Q$18+$Q$19*C20+$Q$20*D20+$Q$21*E20+$Q$22*F20+$Q$23*G20</f>
        <v>29660425.857913859</v>
      </c>
      <c r="I20" s="9">
        <f>H20-B20</f>
        <v>-90566.753819473088</v>
      </c>
      <c r="J20" s="171">
        <f>I20/B20</f>
        <v>-3.0441590639148945E-3</v>
      </c>
      <c r="K20" s="171">
        <f t="shared" si="1"/>
        <v>3.0441590639148945E-3</v>
      </c>
      <c r="L20" s="172">
        <f t="shared" si="0"/>
        <v>8202336897.3970432</v>
      </c>
      <c r="M20" s="172">
        <f t="shared" si="2"/>
        <v>-1043442.5406625383</v>
      </c>
      <c r="N20" s="172">
        <f t="shared" si="3"/>
        <v>1088772335664.2928</v>
      </c>
      <c r="O20" s="11"/>
      <c r="P20" t="s">
        <v>3</v>
      </c>
      <c r="Q20">
        <v>92199.517961984689</v>
      </c>
      <c r="R20">
        <v>4910.528350452586</v>
      </c>
      <c r="S20">
        <v>18.775885481546396</v>
      </c>
      <c r="T20">
        <v>6.3444741797096749E-38</v>
      </c>
      <c r="U20">
        <v>82479.428180851421</v>
      </c>
      <c r="V20">
        <v>101919.60774311796</v>
      </c>
      <c r="W20">
        <v>82479.428180851421</v>
      </c>
      <c r="X20">
        <v>101919.60774311796</v>
      </c>
    </row>
    <row r="21" spans="1:24" x14ac:dyDescent="0.2">
      <c r="A21" s="160">
        <v>42216</v>
      </c>
      <c r="B21" s="161">
        <f>Inputs!D42</f>
        <v>35319999.557733327</v>
      </c>
      <c r="C21" s="161">
        <v>7.6</v>
      </c>
      <c r="D21" s="161">
        <v>79.100000000000009</v>
      </c>
      <c r="E21" s="161">
        <v>31</v>
      </c>
      <c r="F21" s="162">
        <v>0</v>
      </c>
      <c r="G21" s="161">
        <f>Inputs!G42+Inputs!I42+Inputs!L42+Inputs!X42</f>
        <v>22560</v>
      </c>
      <c r="H21" s="161">
        <f>$Q$18+$Q$19*C21+$Q$20*D21+$Q$21*E21+$Q$22*F21+$Q$23*G21</f>
        <v>35318101.672196701</v>
      </c>
      <c r="I21" s="9">
        <f>H21-B21</f>
        <v>-1897.8855366259813</v>
      </c>
      <c r="J21" s="171">
        <f>I21/B21</f>
        <v>-5.3734019263611191E-5</v>
      </c>
      <c r="K21" s="171">
        <f t="shared" si="1"/>
        <v>5.3734019263611191E-5</v>
      </c>
      <c r="L21" s="172">
        <f t="shared" si="0"/>
        <v>3601969.5101340893</v>
      </c>
      <c r="M21" s="172">
        <f t="shared" si="2"/>
        <v>88668.868282847106</v>
      </c>
      <c r="N21" s="172">
        <f t="shared" si="3"/>
        <v>7862168202.5608892</v>
      </c>
      <c r="O21" s="11"/>
      <c r="P21" t="s">
        <v>91</v>
      </c>
      <c r="Q21">
        <v>1281305.838756029</v>
      </c>
      <c r="R21">
        <v>158798.07508252162</v>
      </c>
      <c r="S21">
        <v>8.0687743733050965</v>
      </c>
      <c r="T21">
        <v>5.416109735252124E-13</v>
      </c>
      <c r="U21">
        <v>966974.78581933444</v>
      </c>
      <c r="V21">
        <v>1595636.8916927236</v>
      </c>
      <c r="W21">
        <v>966974.78581933444</v>
      </c>
      <c r="X21">
        <v>1595636.8916927236</v>
      </c>
    </row>
    <row r="22" spans="1:24" x14ac:dyDescent="0.2">
      <c r="A22" s="160">
        <v>42247</v>
      </c>
      <c r="B22" s="161">
        <f>Inputs!D43</f>
        <v>33778593.432533331</v>
      </c>
      <c r="C22" s="161">
        <v>12</v>
      </c>
      <c r="D22" s="161">
        <v>59</v>
      </c>
      <c r="E22" s="161">
        <v>31</v>
      </c>
      <c r="F22" s="162">
        <v>0</v>
      </c>
      <c r="G22" s="161">
        <f>Inputs!G43+Inputs!I43+Inputs!L43+Inputs!X43</f>
        <v>22588</v>
      </c>
      <c r="H22" s="161">
        <f>$Q$18+$Q$19*C22+$Q$20*D22+$Q$21*E22+$Q$22*F22+$Q$23*G22</f>
        <v>33525940.532869928</v>
      </c>
      <c r="I22" s="9">
        <f>H22-B22</f>
        <v>-252652.89966340363</v>
      </c>
      <c r="J22" s="171">
        <f>I22/B22</f>
        <v>-7.4796749653899116E-3</v>
      </c>
      <c r="K22" s="171">
        <f t="shared" si="1"/>
        <v>7.4796749653899116E-3</v>
      </c>
      <c r="L22" s="172">
        <f t="shared" si="0"/>
        <v>63833487708.325905</v>
      </c>
      <c r="M22" s="172">
        <f t="shared" si="2"/>
        <v>-250755.01412677765</v>
      </c>
      <c r="N22" s="172">
        <f t="shared" si="3"/>
        <v>62878077109.720459</v>
      </c>
      <c r="O22" s="11"/>
      <c r="P22" t="s">
        <v>13</v>
      </c>
      <c r="Q22">
        <v>-2394644.1714934949</v>
      </c>
      <c r="R22">
        <v>306632.87351311033</v>
      </c>
      <c r="S22">
        <v>-7.8094828648276353</v>
      </c>
      <c r="T22">
        <v>2.1564292133152191E-12</v>
      </c>
      <c r="U22">
        <v>-3001605.1434466676</v>
      </c>
      <c r="V22">
        <v>-1787683.1995403222</v>
      </c>
      <c r="W22">
        <v>-3001605.1434466676</v>
      </c>
      <c r="X22">
        <v>-1787683.1995403222</v>
      </c>
    </row>
    <row r="23" spans="1:24" ht="13.5" thickBot="1" x14ac:dyDescent="0.25">
      <c r="A23" s="160">
        <v>42277</v>
      </c>
      <c r="B23" s="161">
        <f>Inputs!D44</f>
        <v>32399240.260533333</v>
      </c>
      <c r="C23" s="161">
        <v>37</v>
      </c>
      <c r="D23" s="161">
        <v>54.4</v>
      </c>
      <c r="E23" s="161">
        <v>30</v>
      </c>
      <c r="F23" s="162">
        <v>0</v>
      </c>
      <c r="G23" s="161">
        <f>Inputs!G44+Inputs!I44+Inputs!L44+Inputs!X44</f>
        <v>22606</v>
      </c>
      <c r="H23" s="161">
        <f>$Q$18+$Q$19*C23+$Q$20*D23+$Q$21*E23+$Q$22*F23+$Q$23*G23</f>
        <v>32089682.988057025</v>
      </c>
      <c r="I23" s="9">
        <f>H23-B23</f>
        <v>-309557.27247630805</v>
      </c>
      <c r="J23" s="171">
        <f>I23/B23</f>
        <v>-9.5544608449782322E-3</v>
      </c>
      <c r="K23" s="171">
        <f t="shared" si="1"/>
        <v>9.5544608449782322E-3</v>
      </c>
      <c r="L23" s="172">
        <f t="shared" si="0"/>
        <v>95825704942.971222</v>
      </c>
      <c r="M23" s="172">
        <f t="shared" si="2"/>
        <v>-56904.372812904418</v>
      </c>
      <c r="N23" s="172">
        <f t="shared" si="3"/>
        <v>3238107645.2300153</v>
      </c>
      <c r="O23" s="11"/>
      <c r="P23" s="178" t="s">
        <v>105</v>
      </c>
      <c r="Q23" s="178">
        <v>550.73865307310746</v>
      </c>
      <c r="R23" s="178">
        <v>100.87929127844797</v>
      </c>
      <c r="S23" s="178">
        <v>5.4593826551869151</v>
      </c>
      <c r="T23" s="178">
        <v>2.5259870180878541E-7</v>
      </c>
      <c r="U23" s="178">
        <v>351.05428139175194</v>
      </c>
      <c r="V23" s="178">
        <v>750.42302475446297</v>
      </c>
      <c r="W23" s="178">
        <v>351.05428139175194</v>
      </c>
      <c r="X23" s="178">
        <v>750.42302475446297</v>
      </c>
    </row>
    <row r="24" spans="1:24" x14ac:dyDescent="0.2">
      <c r="A24" s="160">
        <v>42308</v>
      </c>
      <c r="B24" s="161">
        <f>Inputs!D45</f>
        <v>27207724.193333331</v>
      </c>
      <c r="C24" s="161">
        <v>252.3</v>
      </c>
      <c r="D24" s="161">
        <v>0.9</v>
      </c>
      <c r="E24" s="161">
        <v>31</v>
      </c>
      <c r="F24" s="162">
        <v>1</v>
      </c>
      <c r="G24" s="161">
        <f>Inputs!G45+Inputs!I45+Inputs!L45+Inputs!X45</f>
        <v>22626</v>
      </c>
      <c r="H24" s="161">
        <f>$Q$18+$Q$19*C24+$Q$20*D24+$Q$21*E24+$Q$22*F24+$Q$23*G24</f>
        <v>28287370.165775836</v>
      </c>
      <c r="I24" s="9">
        <f>H24-B24</f>
        <v>1079645.972442504</v>
      </c>
      <c r="J24" s="171">
        <f>I24/B24</f>
        <v>3.9681597945154419E-2</v>
      </c>
      <c r="K24" s="171">
        <f t="shared" si="1"/>
        <v>3.9681597945154419E-2</v>
      </c>
      <c r="L24" s="172">
        <f t="shared" si="0"/>
        <v>1165635425811.3201</v>
      </c>
      <c r="M24" s="172">
        <f t="shared" si="2"/>
        <v>1389203.2449188121</v>
      </c>
      <c r="N24" s="172">
        <f t="shared" si="3"/>
        <v>1929885655692.957</v>
      </c>
      <c r="O24" s="11"/>
      <c r="P24"/>
      <c r="Q24"/>
    </row>
    <row r="25" spans="1:24" x14ac:dyDescent="0.2">
      <c r="A25" s="160">
        <v>42338</v>
      </c>
      <c r="B25" s="161">
        <f>Inputs!D46</f>
        <v>27907416.640533332</v>
      </c>
      <c r="C25" s="161">
        <v>337</v>
      </c>
      <c r="D25" s="161">
        <v>0</v>
      </c>
      <c r="E25" s="161">
        <v>30</v>
      </c>
      <c r="F25" s="162">
        <v>1</v>
      </c>
      <c r="G25" s="161">
        <f>Inputs!G46+Inputs!I46+Inputs!L46+Inputs!X46</f>
        <v>22650</v>
      </c>
      <c r="H25" s="161">
        <f>$Q$18+$Q$19*C25+$Q$20*D25+$Q$21*E25+$Q$22*F25+$Q$23*G25</f>
        <v>27814650.909922</v>
      </c>
      <c r="I25" s="9">
        <f>H25-B25</f>
        <v>-92765.730611331761</v>
      </c>
      <c r="J25" s="171">
        <f>I25/B25</f>
        <v>-3.324052950017481E-3</v>
      </c>
      <c r="K25" s="171">
        <f t="shared" si="1"/>
        <v>3.324052950017481E-3</v>
      </c>
      <c r="L25" s="172">
        <f t="shared" si="0"/>
        <v>8605480775.8541737</v>
      </c>
      <c r="M25" s="172">
        <f t="shared" si="2"/>
        <v>-1172411.7030538358</v>
      </c>
      <c r="N25" s="172">
        <f t="shared" si="3"/>
        <v>1374549201457.5957</v>
      </c>
      <c r="O25" s="11"/>
      <c r="P25" t="s">
        <v>147</v>
      </c>
      <c r="Q25" s="220">
        <f>K132</f>
        <v>2.7460507371892481E-2</v>
      </c>
    </row>
    <row r="26" spans="1:24" x14ac:dyDescent="0.2">
      <c r="A26" s="160">
        <v>42369</v>
      </c>
      <c r="B26" s="161">
        <f>Inputs!D47</f>
        <v>30150193.52733333</v>
      </c>
      <c r="C26" s="161">
        <v>408.99999999999989</v>
      </c>
      <c r="D26" s="161">
        <v>0</v>
      </c>
      <c r="E26" s="161">
        <v>31</v>
      </c>
      <c r="F26" s="162">
        <v>1</v>
      </c>
      <c r="G26" s="161">
        <f>Inputs!G47+Inputs!I47+Inputs!L47+Inputs!X47</f>
        <v>22667</v>
      </c>
      <c r="H26" s="161">
        <f>$Q$18+$Q$19*C26+$Q$20*D26+$Q$21*E26+$Q$22*F26+$Q$23*G26</f>
        <v>29851967.314521521</v>
      </c>
      <c r="I26" s="9">
        <f>H26-B26</f>
        <v>-298226.21281180903</v>
      </c>
      <c r="J26" s="171">
        <f>I26/B26</f>
        <v>-9.8913531862223503E-3</v>
      </c>
      <c r="K26" s="171">
        <f t="shared" si="1"/>
        <v>9.8913531862223503E-3</v>
      </c>
      <c r="L26" s="172">
        <f t="shared" si="0"/>
        <v>88938874008.074417</v>
      </c>
      <c r="M26" s="172">
        <f t="shared" si="2"/>
        <v>-205460.48220047727</v>
      </c>
      <c r="N26" s="172">
        <f t="shared" si="3"/>
        <v>42214009746.052635</v>
      </c>
      <c r="O26" s="11"/>
      <c r="P26"/>
      <c r="Q26"/>
    </row>
    <row r="27" spans="1:24" x14ac:dyDescent="0.2">
      <c r="A27" s="160">
        <v>42400</v>
      </c>
      <c r="B27" s="161">
        <f>Inputs!D48</f>
        <v>33030100.046666667</v>
      </c>
      <c r="C27" s="161">
        <v>657.2</v>
      </c>
      <c r="D27" s="161">
        <v>0</v>
      </c>
      <c r="E27" s="161">
        <v>31</v>
      </c>
      <c r="F27" s="162">
        <v>0</v>
      </c>
      <c r="G27" s="161">
        <f>Inputs!G48+Inputs!I48+Inputs!L48+Inputs!X48</f>
        <v>22670</v>
      </c>
      <c r="H27" s="161">
        <f>$Q$18+$Q$19*C27+$Q$20*D27+$Q$21*E27+$Q$22*F27+$Q$23*G27</f>
        <v>34822125.309885062</v>
      </c>
      <c r="I27" s="9">
        <f>H27-B27</f>
        <v>1792025.2632183954</v>
      </c>
      <c r="J27" s="171">
        <f>I27/B27</f>
        <v>5.425430927204361E-2</v>
      </c>
      <c r="K27" s="171">
        <f t="shared" si="1"/>
        <v>5.425430927204361E-2</v>
      </c>
      <c r="L27" s="172">
        <f t="shared" si="0"/>
        <v>3211354544012.9595</v>
      </c>
      <c r="M27" s="172">
        <f t="shared" si="2"/>
        <v>2090251.4760302044</v>
      </c>
      <c r="N27" s="172">
        <f t="shared" si="3"/>
        <v>4369151233046.4482</v>
      </c>
      <c r="O27" s="11"/>
      <c r="P27" t="s">
        <v>137</v>
      </c>
      <c r="Q27" s="132">
        <f>N132</f>
        <v>212499189027570.25</v>
      </c>
    </row>
    <row r="28" spans="1:24" x14ac:dyDescent="0.2">
      <c r="A28" s="160">
        <v>42429</v>
      </c>
      <c r="B28" s="161">
        <f>Inputs!D49</f>
        <v>30335368.476666667</v>
      </c>
      <c r="C28" s="161">
        <v>587.1</v>
      </c>
      <c r="D28" s="161">
        <v>0</v>
      </c>
      <c r="E28" s="161">
        <v>29</v>
      </c>
      <c r="F28" s="162">
        <v>0</v>
      </c>
      <c r="G28" s="161">
        <f>Inputs!G49+Inputs!I49+Inputs!L49+Inputs!X49</f>
        <v>22695</v>
      </c>
      <c r="H28" s="161">
        <f>$Q$18+$Q$19*C28+$Q$20*D28+$Q$21*E28+$Q$22*F28+$Q$23*G28</f>
        <v>31546337.301300358</v>
      </c>
      <c r="I28" s="9">
        <f>H28-B28</f>
        <v>1210968.8246336915</v>
      </c>
      <c r="J28" s="171">
        <f>I28/B28</f>
        <v>3.9919370867874684E-2</v>
      </c>
      <c r="K28" s="171">
        <f t="shared" si="1"/>
        <v>3.9919370867874684E-2</v>
      </c>
      <c r="L28" s="172">
        <f t="shared" si="0"/>
        <v>1466445494234.7041</v>
      </c>
      <c r="M28" s="172">
        <f t="shared" si="2"/>
        <v>-581056.43858470395</v>
      </c>
      <c r="N28" s="172">
        <f t="shared" si="3"/>
        <v>337626584820.73981</v>
      </c>
      <c r="O28" s="11"/>
      <c r="P28" t="s">
        <v>138</v>
      </c>
      <c r="Q28" s="132">
        <f>L132</f>
        <v>193724052866553.69</v>
      </c>
    </row>
    <row r="29" spans="1:24" x14ac:dyDescent="0.2">
      <c r="A29" s="160">
        <v>42460</v>
      </c>
      <c r="B29" s="161">
        <f>Inputs!D50</f>
        <v>29470505.726666667</v>
      </c>
      <c r="C29" s="161">
        <v>448.80000000000007</v>
      </c>
      <c r="D29" s="161">
        <v>0</v>
      </c>
      <c r="E29" s="161">
        <v>31</v>
      </c>
      <c r="F29" s="162">
        <v>1</v>
      </c>
      <c r="G29" s="161">
        <f>Inputs!G50+Inputs!I50+Inputs!L50+Inputs!X50</f>
        <v>22699</v>
      </c>
      <c r="H29" s="161">
        <f>$Q$18+$Q$19*C29+$Q$20*D29+$Q$21*E29+$Q$22*F29+$Q$23*G29</f>
        <v>30282321.378474057</v>
      </c>
      <c r="I29" s="9">
        <f>H29-B29</f>
        <v>811815.65180739015</v>
      </c>
      <c r="J29" s="171">
        <f>I29/B29</f>
        <v>2.7546716006057917E-2</v>
      </c>
      <c r="K29" s="171">
        <f t="shared" si="1"/>
        <v>2.7546716006057917E-2</v>
      </c>
      <c r="L29" s="172">
        <f t="shared" si="0"/>
        <v>659044652519.45776</v>
      </c>
      <c r="M29" s="172">
        <f t="shared" si="2"/>
        <v>-399153.17282630131</v>
      </c>
      <c r="N29" s="172">
        <f t="shared" si="3"/>
        <v>159323255377.30316</v>
      </c>
      <c r="O29" s="11"/>
      <c r="P29"/>
      <c r="Q29"/>
    </row>
    <row r="30" spans="1:24" x14ac:dyDescent="0.2">
      <c r="A30" s="160">
        <v>42490</v>
      </c>
      <c r="B30" s="161">
        <f>Inputs!D51</f>
        <v>27500006.806666669</v>
      </c>
      <c r="C30" s="161">
        <v>352.8</v>
      </c>
      <c r="D30" s="161">
        <v>0</v>
      </c>
      <c r="E30" s="161">
        <v>30</v>
      </c>
      <c r="F30" s="162">
        <v>1</v>
      </c>
      <c r="G30" s="161">
        <f>Inputs!G51+Inputs!I51+Inputs!L51+Inputs!X51</f>
        <v>22717</v>
      </c>
      <c r="H30" s="161">
        <f>$Q$18+$Q$19*C30+$Q$20*D30+$Q$21*E30+$Q$22*F30+$Q$23*G30</f>
        <v>28015398.157151677</v>
      </c>
      <c r="I30" s="9">
        <f>H30-B30</f>
        <v>515391.35048500821</v>
      </c>
      <c r="J30" s="171">
        <f>I30/B30</f>
        <v>1.8741499015195329E-2</v>
      </c>
      <c r="K30" s="171">
        <f t="shared" si="1"/>
        <v>1.8741499015195329E-2</v>
      </c>
      <c r="L30" s="172">
        <f t="shared" si="0"/>
        <v>265628244154.76056</v>
      </c>
      <c r="M30" s="172">
        <f t="shared" si="2"/>
        <v>-296424.30132238194</v>
      </c>
      <c r="N30" s="172">
        <f t="shared" si="3"/>
        <v>87867366414.46228</v>
      </c>
      <c r="O30" s="11"/>
      <c r="P30" s="147" t="s">
        <v>139</v>
      </c>
      <c r="Q30" s="173">
        <f>Q27/Q28</f>
        <v>1.0969169077520269</v>
      </c>
    </row>
    <row r="31" spans="1:24" x14ac:dyDescent="0.2">
      <c r="A31" s="160">
        <v>42521</v>
      </c>
      <c r="B31" s="161">
        <f>Inputs!D52</f>
        <v>28052824.666666668</v>
      </c>
      <c r="C31" s="161">
        <v>144.60000000000002</v>
      </c>
      <c r="D31" s="161">
        <v>24.400000000000002</v>
      </c>
      <c r="E31" s="161">
        <v>31</v>
      </c>
      <c r="F31" s="162">
        <v>1</v>
      </c>
      <c r="G31" s="161">
        <f>Inputs!G52+Inputs!I52+Inputs!L52+Inputs!X52</f>
        <v>22722</v>
      </c>
      <c r="H31" s="161">
        <f>$Q$18+$Q$19*C31+$Q$20*D31+$Q$21*E31+$Q$22*F31+$Q$23*G31</f>
        <v>29390068.768835373</v>
      </c>
      <c r="I31" s="9">
        <f>H31-B31</f>
        <v>1337244.1021687053</v>
      </c>
      <c r="J31" s="171">
        <f>I31/B31</f>
        <v>4.7668786229490279E-2</v>
      </c>
      <c r="K31" s="171">
        <f t="shared" si="1"/>
        <v>4.7668786229490279E-2</v>
      </c>
      <c r="L31" s="172">
        <f t="shared" si="0"/>
        <v>1788221788784.9868</v>
      </c>
      <c r="M31" s="172">
        <f t="shared" si="2"/>
        <v>821852.7516836971</v>
      </c>
      <c r="N31" s="172">
        <f t="shared" si="3"/>
        <v>675441945450.0647</v>
      </c>
      <c r="O31" s="11"/>
      <c r="P31" s="147"/>
      <c r="S31" s="40"/>
    </row>
    <row r="32" spans="1:24" x14ac:dyDescent="0.2">
      <c r="A32" s="160">
        <v>42551</v>
      </c>
      <c r="B32" s="161">
        <f>Inputs!D53</f>
        <v>31979033.996666666</v>
      </c>
      <c r="C32" s="161">
        <v>29.2</v>
      </c>
      <c r="D32" s="161">
        <v>51.699999999999996</v>
      </c>
      <c r="E32" s="161">
        <v>30</v>
      </c>
      <c r="F32" s="162">
        <v>0</v>
      </c>
      <c r="G32" s="161">
        <f>Inputs!G53+Inputs!I53+Inputs!L53+Inputs!X53</f>
        <v>22733</v>
      </c>
      <c r="H32" s="161">
        <f>$Q$18+$Q$19*C32+$Q$20*D32+$Q$21*E32+$Q$22*F32+$Q$23*G32</f>
        <v>31829801.230886318</v>
      </c>
      <c r="I32" s="9">
        <f>H32-B32</f>
        <v>-149232.76578034833</v>
      </c>
      <c r="J32" s="171">
        <f>I32/B32</f>
        <v>-4.6665814169340953E-3</v>
      </c>
      <c r="K32" s="171">
        <f t="shared" si="1"/>
        <v>4.6665814169340953E-3</v>
      </c>
      <c r="L32" s="172">
        <f t="shared" si="0"/>
        <v>22270418382.452305</v>
      </c>
      <c r="M32" s="172">
        <f t="shared" si="2"/>
        <v>-1486476.8679490536</v>
      </c>
      <c r="N32" s="172">
        <f t="shared" si="3"/>
        <v>2209613478947.6284</v>
      </c>
      <c r="O32" s="11"/>
      <c r="P32" s="147"/>
      <c r="S32" s="40"/>
    </row>
    <row r="33" spans="1:19" x14ac:dyDescent="0.2">
      <c r="A33" s="160">
        <v>42582</v>
      </c>
      <c r="B33" s="161">
        <f>Inputs!D54</f>
        <v>38582728.506666668</v>
      </c>
      <c r="C33" s="161">
        <v>0</v>
      </c>
      <c r="D33" s="161">
        <v>140.69999999999996</v>
      </c>
      <c r="E33" s="161">
        <v>31</v>
      </c>
      <c r="F33" s="162">
        <v>0</v>
      </c>
      <c r="G33" s="161">
        <f>Inputs!G54+Inputs!I54+Inputs!L54+Inputs!X54</f>
        <v>22761</v>
      </c>
      <c r="H33" s="161">
        <f>$Q$18+$Q$19*C33+$Q$20*D33+$Q$21*E33+$Q$22*F33+$Q$23*G33</f>
        <v>41029477.602555513</v>
      </c>
      <c r="I33" s="9">
        <f>H33-B33</f>
        <v>2446749.0958888456</v>
      </c>
      <c r="J33" s="171">
        <f>I33/B33</f>
        <v>6.3415657486900506E-2</v>
      </c>
      <c r="K33" s="171">
        <f t="shared" si="1"/>
        <v>6.3415657486900506E-2</v>
      </c>
      <c r="L33" s="172">
        <f t="shared" si="0"/>
        <v>5986581138232.8838</v>
      </c>
      <c r="M33" s="172">
        <f t="shared" si="2"/>
        <v>2595981.861669194</v>
      </c>
      <c r="N33" s="172">
        <f t="shared" si="3"/>
        <v>6739121826115.4541</v>
      </c>
      <c r="O33" s="11"/>
      <c r="P33" s="147"/>
      <c r="Q33"/>
      <c r="S33" s="40"/>
    </row>
    <row r="34" spans="1:19" x14ac:dyDescent="0.2">
      <c r="A34" s="160">
        <v>42613</v>
      </c>
      <c r="B34" s="161">
        <f>Inputs!D55</f>
        <v>41437079.986666664</v>
      </c>
      <c r="C34" s="161">
        <v>0.1</v>
      </c>
      <c r="D34" s="161">
        <v>159.30000000000001</v>
      </c>
      <c r="E34" s="161">
        <v>31</v>
      </c>
      <c r="F34" s="162">
        <v>0</v>
      </c>
      <c r="G34" s="161">
        <f>Inputs!G55+Inputs!I55+Inputs!L55+Inputs!X55</f>
        <v>22775</v>
      </c>
      <c r="H34" s="161">
        <f>$Q$18+$Q$19*C34+$Q$20*D34+$Q$21*E34+$Q$22*F34+$Q$23*G34</f>
        <v>42753135.988914706</v>
      </c>
      <c r="I34" s="9">
        <f>H34-B34</f>
        <v>1316056.0022480413</v>
      </c>
      <c r="J34" s="171">
        <f>I34/B34</f>
        <v>3.1760346112021227E-2</v>
      </c>
      <c r="K34" s="171">
        <f t="shared" si="1"/>
        <v>3.1760346112021227E-2</v>
      </c>
      <c r="L34" s="172">
        <f t="shared" si="0"/>
        <v>1732003401053.0967</v>
      </c>
      <c r="M34" s="172">
        <f t="shared" si="2"/>
        <v>-1130693.0936408043</v>
      </c>
      <c r="N34" s="172">
        <f t="shared" si="3"/>
        <v>1278466872007.0127</v>
      </c>
      <c r="O34" s="11"/>
      <c r="P34" s="147"/>
      <c r="Q34"/>
      <c r="S34" s="40"/>
    </row>
    <row r="35" spans="1:19" x14ac:dyDescent="0.2">
      <c r="A35" s="160">
        <v>42643</v>
      </c>
      <c r="B35" s="161">
        <f>Inputs!D56</f>
        <v>31887811.926666666</v>
      </c>
      <c r="C35" s="161">
        <v>34.299999999999997</v>
      </c>
      <c r="D35" s="161">
        <v>47.3</v>
      </c>
      <c r="E35" s="161">
        <v>30</v>
      </c>
      <c r="F35" s="162">
        <v>0</v>
      </c>
      <c r="G35" s="161">
        <f>Inputs!G56+Inputs!I56+Inputs!L56+Inputs!X56</f>
        <v>22784</v>
      </c>
      <c r="H35" s="161">
        <f>$Q$18+$Q$19*C35+$Q$20*D35+$Q$21*E35+$Q$22*F35+$Q$23*G35</f>
        <v>31505098.590446148</v>
      </c>
      <c r="I35" s="9">
        <f>H35-B35</f>
        <v>-382713.33622051775</v>
      </c>
      <c r="J35" s="171">
        <f>I35/B35</f>
        <v>-1.2001868836301933E-2</v>
      </c>
      <c r="K35" s="171">
        <f t="shared" si="1"/>
        <v>1.2001868836301933E-2</v>
      </c>
      <c r="L35" s="172">
        <f t="shared" ref="L35:L66" si="4">I35*I35</f>
        <v>146469497721.03906</v>
      </c>
      <c r="M35" s="172">
        <f t="shared" si="2"/>
        <v>-1698769.3384685591</v>
      </c>
      <c r="N35" s="172">
        <f t="shared" si="3"/>
        <v>2885817265320.9058</v>
      </c>
      <c r="O35" s="11"/>
      <c r="P35" s="147"/>
      <c r="Q35"/>
      <c r="S35" s="40"/>
    </row>
    <row r="36" spans="1:19" x14ac:dyDescent="0.2">
      <c r="A36" s="160">
        <v>42674</v>
      </c>
      <c r="B36" s="161">
        <f>Inputs!D57</f>
        <v>27632019.866666667</v>
      </c>
      <c r="C36" s="161">
        <v>184.50000000000003</v>
      </c>
      <c r="D36" s="161">
        <v>5.0999999999999996</v>
      </c>
      <c r="E36" s="161">
        <v>31</v>
      </c>
      <c r="F36" s="162">
        <v>1</v>
      </c>
      <c r="G36" s="161">
        <f>Inputs!G57+Inputs!I57+Inputs!L57+Inputs!X57</f>
        <v>22793</v>
      </c>
      <c r="H36" s="161">
        <f>$Q$18+$Q$19*C36+$Q$20*D36+$Q$21*E36+$Q$22*F36+$Q$23*G36</f>
        <v>28063487.954714697</v>
      </c>
      <c r="I36" s="9">
        <f>H36-B36</f>
        <v>431468.08804802969</v>
      </c>
      <c r="J36" s="171">
        <f>I36/B36</f>
        <v>1.5614786401066632E-2</v>
      </c>
      <c r="K36" s="171">
        <f t="shared" si="1"/>
        <v>1.5614786401066632E-2</v>
      </c>
      <c r="L36" s="172">
        <f t="shared" si="4"/>
        <v>186164711003.8223</v>
      </c>
      <c r="M36" s="172">
        <f t="shared" ref="M36:M72" si="5">I36-I35</f>
        <v>814181.42426854745</v>
      </c>
      <c r="N36" s="172">
        <f t="shared" si="3"/>
        <v>662891391623.96045</v>
      </c>
      <c r="O36" s="11"/>
      <c r="P36" s="147"/>
      <c r="Q36"/>
      <c r="S36" s="40"/>
    </row>
    <row r="37" spans="1:19" x14ac:dyDescent="0.2">
      <c r="A37" s="160">
        <v>42704</v>
      </c>
      <c r="B37" s="161">
        <f>Inputs!D58</f>
        <v>28072689.79275357</v>
      </c>
      <c r="C37" s="161">
        <v>356.7</v>
      </c>
      <c r="D37" s="161">
        <v>0</v>
      </c>
      <c r="E37" s="161">
        <v>30</v>
      </c>
      <c r="F37" s="162">
        <v>1</v>
      </c>
      <c r="G37" s="161">
        <f>Inputs!G58+Inputs!I58+Inputs!L58+Inputs!X58</f>
        <v>22824</v>
      </c>
      <c r="H37" s="161">
        <f>$Q$18+$Q$19*C37+$Q$20*D37+$Q$21*E37+$Q$22*F37+$Q$23*G37</f>
        <v>28114770.626837317</v>
      </c>
      <c r="I37" s="9">
        <f>H37-B37</f>
        <v>42080.834083747119</v>
      </c>
      <c r="J37" s="171">
        <f>I37/B37</f>
        <v>1.49899544341524E-3</v>
      </c>
      <c r="K37" s="171">
        <f t="shared" si="1"/>
        <v>1.49899544341524E-3</v>
      </c>
      <c r="L37" s="172">
        <f t="shared" si="4"/>
        <v>1770796597.1838531</v>
      </c>
      <c r="M37" s="172">
        <f t="shared" si="5"/>
        <v>-389387.25396428257</v>
      </c>
      <c r="N37" s="172">
        <f t="shared" si="3"/>
        <v>151622433549.8447</v>
      </c>
      <c r="O37" s="11"/>
      <c r="P37" s="147"/>
      <c r="Q37"/>
      <c r="S37" s="40"/>
    </row>
    <row r="38" spans="1:19" x14ac:dyDescent="0.2">
      <c r="A38" s="160">
        <v>42735</v>
      </c>
      <c r="B38" s="161">
        <f>Inputs!D59</f>
        <v>32042035.384939767</v>
      </c>
      <c r="C38" s="161">
        <v>567.70000000000005</v>
      </c>
      <c r="D38" s="161">
        <v>0</v>
      </c>
      <c r="E38" s="161">
        <v>31</v>
      </c>
      <c r="F38" s="162">
        <v>1</v>
      </c>
      <c r="G38" s="161">
        <f>Inputs!G59+Inputs!I59+Inputs!L59+Inputs!X59</f>
        <v>22852</v>
      </c>
      <c r="H38" s="161">
        <f>$Q$18+$Q$19*C38+$Q$20*D38+$Q$21*E38+$Q$22*F38+$Q$23*G38</f>
        <v>31599590.61794056</v>
      </c>
      <c r="I38" s="9">
        <f>H38-B38</f>
        <v>-442444.76699920744</v>
      </c>
      <c r="J38" s="171">
        <f>I38/B38</f>
        <v>-1.3808260358115797E-2</v>
      </c>
      <c r="K38" s="171">
        <f t="shared" si="1"/>
        <v>1.3808260358115797E-2</v>
      </c>
      <c r="L38" s="172">
        <f t="shared" si="4"/>
        <v>195757371844.98297</v>
      </c>
      <c r="M38" s="172">
        <f t="shared" si="5"/>
        <v>-484525.60108295456</v>
      </c>
      <c r="N38" s="172">
        <f t="shared" si="3"/>
        <v>234765058104.7984</v>
      </c>
      <c r="O38" s="11"/>
      <c r="P38" s="147"/>
      <c r="Q38"/>
      <c r="S38" s="40"/>
    </row>
    <row r="39" spans="1:19" x14ac:dyDescent="0.2">
      <c r="A39" s="160">
        <v>42766</v>
      </c>
      <c r="B39" s="161">
        <f>Inputs!D60</f>
        <v>32603243.687800001</v>
      </c>
      <c r="C39" s="161">
        <v>593.9</v>
      </c>
      <c r="D39" s="161">
        <v>0</v>
      </c>
      <c r="E39" s="161">
        <v>31</v>
      </c>
      <c r="F39" s="162">
        <v>0</v>
      </c>
      <c r="G39" s="161">
        <f>Inputs!G60+Inputs!I60+Inputs!L60+Inputs!X60</f>
        <v>22862</v>
      </c>
      <c r="H39" s="161">
        <f>$Q$18+$Q$19*C39+$Q$20*D39+$Q$21*E39+$Q$22*F39+$Q$23*G39</f>
        <v>34271439.090256743</v>
      </c>
      <c r="I39" s="9">
        <f>H39-B39</f>
        <v>1668195.4024567418</v>
      </c>
      <c r="J39" s="171">
        <f>I39/B39</f>
        <v>5.1166547059885749E-2</v>
      </c>
      <c r="K39" s="171">
        <f t="shared" si="1"/>
        <v>5.1166547059885749E-2</v>
      </c>
      <c r="L39" s="172">
        <f t="shared" si="4"/>
        <v>2782875900777.8105</v>
      </c>
      <c r="M39" s="172">
        <f t="shared" si="5"/>
        <v>2110640.1694559492</v>
      </c>
      <c r="N39" s="172">
        <f t="shared" si="3"/>
        <v>4454801924921.0381</v>
      </c>
      <c r="O39" s="11"/>
      <c r="P39" s="147"/>
      <c r="Q39"/>
      <c r="S39" s="40"/>
    </row>
    <row r="40" spans="1:19" x14ac:dyDescent="0.2">
      <c r="A40" s="160">
        <v>42794</v>
      </c>
      <c r="B40" s="161">
        <f>Inputs!D61</f>
        <v>28442344.894508798</v>
      </c>
      <c r="C40" s="161">
        <v>487.80000000000007</v>
      </c>
      <c r="D40" s="161">
        <v>0</v>
      </c>
      <c r="E40" s="161">
        <v>28</v>
      </c>
      <c r="F40" s="162">
        <v>0</v>
      </c>
      <c r="G40" s="161">
        <f>Inputs!G61+Inputs!I61+Inputs!L61+Inputs!X61</f>
        <v>22870</v>
      </c>
      <c r="H40" s="161">
        <f>$Q$18+$Q$19*C40+$Q$20*D40+$Q$21*E40+$Q$22*F40+$Q$23*G40</f>
        <v>29331658.681443147</v>
      </c>
      <c r="I40" s="9">
        <f>H40-B40</f>
        <v>889313.78693434969</v>
      </c>
      <c r="J40" s="171">
        <f>I40/B40</f>
        <v>3.1267245729308502E-2</v>
      </c>
      <c r="K40" s="171">
        <f t="shared" si="1"/>
        <v>3.1267245729308502E-2</v>
      </c>
      <c r="L40" s="172">
        <f t="shared" si="4"/>
        <v>790879011631.51392</v>
      </c>
      <c r="M40" s="172">
        <f t="shared" si="5"/>
        <v>-778881.61552239209</v>
      </c>
      <c r="N40" s="172">
        <f t="shared" si="3"/>
        <v>606656570998.77136</v>
      </c>
      <c r="O40" s="11"/>
      <c r="P40" s="147"/>
      <c r="Q40"/>
    </row>
    <row r="41" spans="1:19" x14ac:dyDescent="0.2">
      <c r="A41" s="160">
        <v>42825</v>
      </c>
      <c r="B41" s="161">
        <f>Inputs!D62</f>
        <v>31091148.4114093</v>
      </c>
      <c r="C41" s="161">
        <v>555.29999999999995</v>
      </c>
      <c r="D41" s="161">
        <v>0</v>
      </c>
      <c r="E41" s="161">
        <v>31</v>
      </c>
      <c r="F41" s="162">
        <v>1</v>
      </c>
      <c r="G41" s="161">
        <f>Inputs!G62+Inputs!I62+Inputs!L62+Inputs!X62</f>
        <v>22881</v>
      </c>
      <c r="H41" s="161">
        <f>$Q$18+$Q$19*C41+$Q$20*D41+$Q$21*E41+$Q$22*F41+$Q$23*G41</f>
        <v>31486972.659596466</v>
      </c>
      <c r="I41" s="9">
        <f>H41-B41</f>
        <v>395824.24818716571</v>
      </c>
      <c r="J41" s="171">
        <f>I41/B41</f>
        <v>1.2731091272328585E-2</v>
      </c>
      <c r="K41" s="171">
        <f t="shared" si="1"/>
        <v>1.2731091272328585E-2</v>
      </c>
      <c r="L41" s="172">
        <f t="shared" si="4"/>
        <v>156676835452.93497</v>
      </c>
      <c r="M41" s="172">
        <f t="shared" si="5"/>
        <v>-493489.53874718398</v>
      </c>
      <c r="N41" s="172">
        <f t="shared" si="3"/>
        <v>243531924852.90839</v>
      </c>
      <c r="O41" s="11"/>
      <c r="P41" s="147"/>
      <c r="Q41"/>
    </row>
    <row r="42" spans="1:19" x14ac:dyDescent="0.2">
      <c r="A42" s="160">
        <v>42855</v>
      </c>
      <c r="B42" s="161">
        <f>Inputs!D63</f>
        <v>26726381.985407598</v>
      </c>
      <c r="C42" s="161">
        <v>261.80000000000007</v>
      </c>
      <c r="D42" s="161">
        <v>0.5</v>
      </c>
      <c r="E42" s="161">
        <v>30</v>
      </c>
      <c r="F42" s="162">
        <v>1</v>
      </c>
      <c r="G42" s="161">
        <f>Inputs!G63+Inputs!I63+Inputs!L63+Inputs!X63</f>
        <v>22886</v>
      </c>
      <c r="H42" s="161">
        <f>$Q$18+$Q$19*C42+$Q$20*D42+$Q$21*E42+$Q$22*F42+$Q$23*G42</f>
        <v>27210892.626342941</v>
      </c>
      <c r="I42" s="9">
        <f>H42-B42</f>
        <v>484510.64093534276</v>
      </c>
      <c r="J42" s="171">
        <f>I42/B42</f>
        <v>1.8128553322327053E-2</v>
      </c>
      <c r="K42" s="171">
        <f t="shared" si="1"/>
        <v>1.8128553322327053E-2</v>
      </c>
      <c r="L42" s="172">
        <f t="shared" si="4"/>
        <v>234750561179.57663</v>
      </c>
      <c r="M42" s="172">
        <f t="shared" si="5"/>
        <v>88686.392748177052</v>
      </c>
      <c r="N42" s="172">
        <f t="shared" si="3"/>
        <v>7865276258.6839113</v>
      </c>
      <c r="O42" s="11"/>
      <c r="P42" s="147"/>
      <c r="Q42"/>
    </row>
    <row r="43" spans="1:19" x14ac:dyDescent="0.2">
      <c r="A43" s="160">
        <v>42886</v>
      </c>
      <c r="B43" s="161">
        <f>Inputs!D64</f>
        <v>27100631.439999998</v>
      </c>
      <c r="C43" s="161">
        <v>168.29999999999998</v>
      </c>
      <c r="D43" s="161">
        <v>6.4999999999999991</v>
      </c>
      <c r="E43" s="161">
        <v>31</v>
      </c>
      <c r="F43" s="162">
        <v>1</v>
      </c>
      <c r="G43" s="161">
        <f>Inputs!G64+Inputs!I64+Inputs!L64+Inputs!X64</f>
        <v>22907</v>
      </c>
      <c r="H43" s="161">
        <f>$Q$18+$Q$19*C43+$Q$20*D43+$Q$21*E43+$Q$22*F43+$Q$23*G43</f>
        <v>28087355.684345029</v>
      </c>
      <c r="I43" s="9">
        <f>H43-B43</f>
        <v>986724.24434503168</v>
      </c>
      <c r="J43" s="171">
        <f>I43/B43</f>
        <v>3.6409640363163132E-2</v>
      </c>
      <c r="K43" s="171">
        <f t="shared" si="1"/>
        <v>3.6409640363163132E-2</v>
      </c>
      <c r="L43" s="172">
        <f t="shared" si="4"/>
        <v>973624734378.2738</v>
      </c>
      <c r="M43" s="172">
        <f t="shared" si="5"/>
        <v>502213.60340968892</v>
      </c>
      <c r="N43" s="172">
        <f t="shared" si="3"/>
        <v>252218503449.74429</v>
      </c>
      <c r="O43" s="11"/>
      <c r="P43" s="147"/>
      <c r="Q43"/>
    </row>
    <row r="44" spans="1:19" x14ac:dyDescent="0.2">
      <c r="A44" s="160">
        <v>42916</v>
      </c>
      <c r="B44" s="161">
        <f>Inputs!D65</f>
        <v>31069771.245993197</v>
      </c>
      <c r="C44" s="161">
        <v>32.599999999999994</v>
      </c>
      <c r="D44" s="161">
        <v>62.20000000000001</v>
      </c>
      <c r="E44" s="161">
        <v>30</v>
      </c>
      <c r="F44" s="162">
        <v>0</v>
      </c>
      <c r="G44" s="161">
        <f>Inputs!G65+Inputs!I65+Inputs!L65+Inputs!X65</f>
        <v>22911</v>
      </c>
      <c r="H44" s="161">
        <f>$Q$18+$Q$19*C44+$Q$20*D44+$Q$21*E44+$Q$22*F44+$Q$23*G44</f>
        <v>32931186.027924731</v>
      </c>
      <c r="I44" s="9">
        <f>H44-B44</f>
        <v>1861414.7819315344</v>
      </c>
      <c r="J44" s="171">
        <f>I44/B44</f>
        <v>5.9910797771695383E-2</v>
      </c>
      <c r="K44" s="171">
        <f t="shared" si="1"/>
        <v>5.9910797771695383E-2</v>
      </c>
      <c r="L44" s="172">
        <f t="shared" si="4"/>
        <v>3464864990393.2217</v>
      </c>
      <c r="M44" s="172">
        <f t="shared" si="5"/>
        <v>874690.53758650273</v>
      </c>
      <c r="N44" s="172">
        <f t="shared" si="3"/>
        <v>765083536543.36511</v>
      </c>
      <c r="O44" s="11"/>
      <c r="P44" s="147"/>
      <c r="Q44"/>
    </row>
    <row r="45" spans="1:19" x14ac:dyDescent="0.2">
      <c r="A45" s="160">
        <v>42947</v>
      </c>
      <c r="B45" s="161">
        <f>Inputs!D66</f>
        <v>35551342.793448403</v>
      </c>
      <c r="C45" s="161">
        <v>2.2000000000000002</v>
      </c>
      <c r="D45" s="161">
        <v>83</v>
      </c>
      <c r="E45" s="161">
        <v>31</v>
      </c>
      <c r="F45" s="162">
        <v>0</v>
      </c>
      <c r="G45" s="161">
        <f>Inputs!G66+Inputs!I66+Inputs!L66+Inputs!X66</f>
        <v>22937</v>
      </c>
      <c r="H45" s="161">
        <f>$Q$18+$Q$19*C45+$Q$20*D45+$Q$21*E45+$Q$22*F45+$Q$23*G45</f>
        <v>35829309.663801402</v>
      </c>
      <c r="I45" s="9">
        <f>H45-B45</f>
        <v>277966.87035299838</v>
      </c>
      <c r="J45" s="171">
        <f>I45/B45</f>
        <v>7.8187446243021697E-3</v>
      </c>
      <c r="K45" s="171">
        <f t="shared" si="1"/>
        <v>7.8187446243021697E-3</v>
      </c>
      <c r="L45" s="172">
        <f t="shared" si="4"/>
        <v>77265581013.840607</v>
      </c>
      <c r="M45" s="172">
        <f t="shared" si="5"/>
        <v>-1583447.911578536</v>
      </c>
      <c r="N45" s="172">
        <f t="shared" si="3"/>
        <v>2507307288682.4272</v>
      </c>
      <c r="O45" s="11"/>
      <c r="P45" s="147"/>
      <c r="Q45"/>
    </row>
    <row r="46" spans="1:19" x14ac:dyDescent="0.2">
      <c r="A46" s="160">
        <v>42978</v>
      </c>
      <c r="B46" s="161">
        <f>Inputs!D67</f>
        <v>34125261.1615927</v>
      </c>
      <c r="C46" s="161">
        <v>19.200000000000003</v>
      </c>
      <c r="D46" s="161">
        <v>50.800000000000004</v>
      </c>
      <c r="E46" s="161">
        <v>31</v>
      </c>
      <c r="F46" s="162">
        <v>0</v>
      </c>
      <c r="G46" s="161">
        <f>Inputs!G67+Inputs!I67+Inputs!L67+Inputs!X67</f>
        <v>22952</v>
      </c>
      <c r="H46" s="161">
        <f>$Q$18+$Q$19*C46+$Q$20*D46+$Q$21*E46+$Q$22*F46+$Q$23*G46</f>
        <v>33045038.156174388</v>
      </c>
      <c r="I46" s="9">
        <f>H46-B46</f>
        <v>-1080223.0054183118</v>
      </c>
      <c r="J46" s="171">
        <f>I46/B46</f>
        <v>-3.1654644349918742E-2</v>
      </c>
      <c r="K46" s="171">
        <f t="shared" si="1"/>
        <v>3.1654644349918742E-2</v>
      </c>
      <c r="L46" s="172">
        <f t="shared" si="4"/>
        <v>1166881741434.9702</v>
      </c>
      <c r="M46" s="172">
        <f t="shared" si="5"/>
        <v>-1358189.8757713102</v>
      </c>
      <c r="N46" s="172">
        <f t="shared" si="3"/>
        <v>1844679738647.687</v>
      </c>
      <c r="O46" s="11"/>
      <c r="P46" s="147"/>
      <c r="Q46"/>
    </row>
    <row r="47" spans="1:19" x14ac:dyDescent="0.2">
      <c r="A47" s="160">
        <v>43008</v>
      </c>
      <c r="B47" s="161">
        <f>Inputs!D68</f>
        <v>31037006.541170798</v>
      </c>
      <c r="C47" s="161">
        <v>66.5</v>
      </c>
      <c r="D47" s="161">
        <v>49.3</v>
      </c>
      <c r="E47" s="161">
        <v>30</v>
      </c>
      <c r="F47" s="162">
        <v>0</v>
      </c>
      <c r="G47" s="161">
        <f>Inputs!G68+Inputs!I68+Inputs!L68+Inputs!X68</f>
        <v>22968</v>
      </c>
      <c r="H47" s="161">
        <f>$Q$18+$Q$19*C47+$Q$20*D47+$Q$21*E47+$Q$22*F47+$Q$23*G47</f>
        <v>32124751.120222628</v>
      </c>
      <c r="I47" s="9">
        <f>H47-B47</f>
        <v>1087744.5790518299</v>
      </c>
      <c r="J47" s="171">
        <f>I47/B47</f>
        <v>3.5046697483822394E-2</v>
      </c>
      <c r="K47" s="171">
        <f t="shared" si="1"/>
        <v>3.5046697483822394E-2</v>
      </c>
      <c r="L47" s="172">
        <f t="shared" si="4"/>
        <v>1183188269256.6426</v>
      </c>
      <c r="M47" s="172">
        <f t="shared" si="5"/>
        <v>2167967.5844701417</v>
      </c>
      <c r="N47" s="172">
        <f t="shared" si="3"/>
        <v>4700083447313.3008</v>
      </c>
      <c r="O47" s="11"/>
      <c r="P47" s="147"/>
      <c r="Q47"/>
    </row>
    <row r="48" spans="1:19" x14ac:dyDescent="0.2">
      <c r="A48" s="160">
        <v>43039</v>
      </c>
      <c r="B48" s="161">
        <f>Inputs!D69</f>
        <v>28262231.379913501</v>
      </c>
      <c r="C48" s="161">
        <v>148.5</v>
      </c>
      <c r="D48" s="161">
        <v>6.4</v>
      </c>
      <c r="E48" s="161">
        <v>31</v>
      </c>
      <c r="F48" s="162">
        <v>1</v>
      </c>
      <c r="G48" s="161">
        <f>Inputs!G69+Inputs!I69+Inputs!L69+Inputs!X69</f>
        <v>22997</v>
      </c>
      <c r="H48" s="161">
        <f>$Q$18+$Q$19*C48+$Q$20*D48+$Q$21*E48+$Q$22*F48+$Q$23*G48</f>
        <v>27922374.008921567</v>
      </c>
      <c r="I48" s="9">
        <f>H48-B48</f>
        <v>-339857.37099193409</v>
      </c>
      <c r="J48" s="171">
        <f>I48/B48</f>
        <v>-1.2025142899137012E-2</v>
      </c>
      <c r="K48" s="171">
        <f t="shared" si="1"/>
        <v>1.2025142899137012E-2</v>
      </c>
      <c r="L48" s="172">
        <f t="shared" si="4"/>
        <v>115503032617.54912</v>
      </c>
      <c r="M48" s="172">
        <f t="shared" si="5"/>
        <v>-1427601.950043764</v>
      </c>
      <c r="N48" s="172">
        <f t="shared" si="3"/>
        <v>2038047327768.7576</v>
      </c>
      <c r="O48" s="11"/>
      <c r="P48" s="147"/>
      <c r="Q48"/>
    </row>
    <row r="49" spans="1:17" x14ac:dyDescent="0.2">
      <c r="A49" s="160">
        <v>43069</v>
      </c>
      <c r="B49" s="161">
        <f>Inputs!D70</f>
        <v>29451606.664241601</v>
      </c>
      <c r="C49" s="161">
        <v>411.39999999999992</v>
      </c>
      <c r="D49" s="161">
        <v>0</v>
      </c>
      <c r="E49" s="161">
        <v>30</v>
      </c>
      <c r="F49" s="162">
        <v>1</v>
      </c>
      <c r="G49" s="161">
        <f>Inputs!G70+Inputs!I70+Inputs!L70+Inputs!X70</f>
        <v>23027</v>
      </c>
      <c r="H49" s="161">
        <f>$Q$18+$Q$19*C49+$Q$20*D49+$Q$21*E49+$Q$22*F49+$Q$23*G49</f>
        <v>28793815.657829858</v>
      </c>
      <c r="I49" s="9">
        <f>H49-B49</f>
        <v>-657791.00641174242</v>
      </c>
      <c r="J49" s="171">
        <f>I49/B49</f>
        <v>-2.2334639122095615E-2</v>
      </c>
      <c r="K49" s="171">
        <f t="shared" si="1"/>
        <v>2.2334639122095615E-2</v>
      </c>
      <c r="L49" s="172">
        <f t="shared" si="4"/>
        <v>432689008116.17297</v>
      </c>
      <c r="M49" s="172">
        <f t="shared" si="5"/>
        <v>-317933.63541980833</v>
      </c>
      <c r="N49" s="172">
        <f t="shared" si="3"/>
        <v>101081796531.2556</v>
      </c>
      <c r="O49" s="11"/>
      <c r="P49" s="147"/>
      <c r="Q49"/>
    </row>
    <row r="50" spans="1:17" x14ac:dyDescent="0.2">
      <c r="A50" s="160">
        <v>43100</v>
      </c>
      <c r="B50" s="161">
        <f>Inputs!D71</f>
        <v>33135674.439350799</v>
      </c>
      <c r="C50" s="161">
        <v>692.00000000000023</v>
      </c>
      <c r="D50" s="161">
        <v>0</v>
      </c>
      <c r="E50" s="161">
        <v>31</v>
      </c>
      <c r="F50" s="162">
        <v>1</v>
      </c>
      <c r="G50" s="161">
        <f>Inputs!G71+Inputs!I71+Inputs!L71+Inputs!X71</f>
        <v>23048</v>
      </c>
      <c r="H50" s="161">
        <f>$Q$18+$Q$19*C50+$Q$20*D50+$Q$21*E50+$Q$22*F50+$Q$23*G50</f>
        <v>32996540.220144801</v>
      </c>
      <c r="I50" s="9">
        <f>H50-B50</f>
        <v>-139134.21920599788</v>
      </c>
      <c r="J50" s="171">
        <f>I50/B50</f>
        <v>-4.1989252236485893E-3</v>
      </c>
      <c r="K50" s="171">
        <f t="shared" si="1"/>
        <v>4.1989252236485893E-3</v>
      </c>
      <c r="L50" s="172">
        <f t="shared" si="4"/>
        <v>19358330954.062672</v>
      </c>
      <c r="M50" s="172">
        <f t="shared" si="5"/>
        <v>518656.78720574453</v>
      </c>
      <c r="N50" s="172">
        <f t="shared" si="3"/>
        <v>269004862914.58496</v>
      </c>
      <c r="O50" s="11"/>
      <c r="P50" s="147"/>
      <c r="Q50"/>
    </row>
    <row r="51" spans="1:17" x14ac:dyDescent="0.2">
      <c r="A51" s="160">
        <v>43131</v>
      </c>
      <c r="B51" s="161">
        <f>Inputs!D72</f>
        <v>34633272.560236096</v>
      </c>
      <c r="C51" s="161">
        <v>731</v>
      </c>
      <c r="D51" s="161">
        <v>0</v>
      </c>
      <c r="E51" s="161">
        <v>31</v>
      </c>
      <c r="F51" s="162">
        <v>0</v>
      </c>
      <c r="G51" s="161">
        <f>Inputs!G72+Inputs!I72+Inputs!L72+Inputs!X72</f>
        <v>23089</v>
      </c>
      <c r="H51" s="161">
        <f>$Q$18+$Q$19*C51+$Q$20*D51+$Q$21*E51+$Q$22*F51+$Q$23*G51</f>
        <v>35818199.014482468</v>
      </c>
      <c r="I51" s="9">
        <f>H51-B51</f>
        <v>1184926.454246372</v>
      </c>
      <c r="J51" s="171">
        <f>I51/B51</f>
        <v>3.4213528397741867E-2</v>
      </c>
      <c r="K51" s="171">
        <f t="shared" si="1"/>
        <v>3.4213528397741867E-2</v>
      </c>
      <c r="L51" s="172">
        <f t="shared" si="4"/>
        <v>1404050701972.8794</v>
      </c>
      <c r="M51" s="172">
        <f t="shared" si="5"/>
        <v>1324060.6734523699</v>
      </c>
      <c r="N51" s="172">
        <f t="shared" si="3"/>
        <v>1753136666983.1433</v>
      </c>
      <c r="O51" s="11"/>
      <c r="P51" s="147"/>
      <c r="Q51"/>
    </row>
    <row r="52" spans="1:17" x14ac:dyDescent="0.2">
      <c r="A52" s="160">
        <v>43159</v>
      </c>
      <c r="B52" s="161">
        <f>Inputs!D73</f>
        <v>29707123.119004901</v>
      </c>
      <c r="C52" s="161">
        <v>540.29999999999984</v>
      </c>
      <c r="D52" s="161">
        <v>0</v>
      </c>
      <c r="E52" s="161">
        <v>28</v>
      </c>
      <c r="F52" s="162">
        <v>0</v>
      </c>
      <c r="G52" s="161">
        <f>Inputs!G73+Inputs!I73+Inputs!L73+Inputs!X73</f>
        <v>23082</v>
      </c>
      <c r="H52" s="161">
        <f>$Q$18+$Q$19*C52+$Q$20*D52+$Q$21*E52+$Q$22*F52+$Q$23*G52</f>
        <v>29992846.115601808</v>
      </c>
      <c r="I52" s="9">
        <f>H52-B52</f>
        <v>285722.99659690633</v>
      </c>
      <c r="J52" s="171">
        <f>I52/B52</f>
        <v>9.6179961772911386E-3</v>
      </c>
      <c r="K52" s="171">
        <f t="shared" si="1"/>
        <v>9.6179961772911386E-3</v>
      </c>
      <c r="L52" s="172">
        <f t="shared" si="4"/>
        <v>81637630784.31575</v>
      </c>
      <c r="M52" s="172">
        <f t="shared" si="5"/>
        <v>-899203.45764946565</v>
      </c>
      <c r="N52" s="172">
        <f t="shared" si="3"/>
        <v>808566858248.75439</v>
      </c>
      <c r="O52" s="11"/>
      <c r="P52" s="147"/>
      <c r="Q52"/>
    </row>
    <row r="53" spans="1:17" x14ac:dyDescent="0.2">
      <c r="A53" s="160">
        <v>43190</v>
      </c>
      <c r="B53" s="161">
        <f>Inputs!D74</f>
        <v>31571358.704649799</v>
      </c>
      <c r="C53" s="161">
        <v>564.50000000000011</v>
      </c>
      <c r="D53" s="161">
        <v>0</v>
      </c>
      <c r="E53" s="161">
        <v>31</v>
      </c>
      <c r="F53" s="162">
        <v>1</v>
      </c>
      <c r="G53" s="161">
        <f>Inputs!G74+Inputs!I74+Inputs!L74+Inputs!X74</f>
        <v>23104</v>
      </c>
      <c r="H53" s="161">
        <f>$Q$18+$Q$19*C53+$Q$20*D53+$Q$21*E53+$Q$22*F53+$Q$23*G53</f>
        <v>31705192.402570929</v>
      </c>
      <c r="I53" s="9">
        <f>H53-B53</f>
        <v>133833.69792113081</v>
      </c>
      <c r="J53" s="171">
        <f>I53/B53</f>
        <v>4.239085785732114E-3</v>
      </c>
      <c r="K53" s="171">
        <f t="shared" si="1"/>
        <v>4.239085785732114E-3</v>
      </c>
      <c r="L53" s="172">
        <f t="shared" si="4"/>
        <v>17911458699.244492</v>
      </c>
      <c r="M53" s="172">
        <f t="shared" si="5"/>
        <v>-151889.29867577553</v>
      </c>
      <c r="N53" s="172">
        <f t="shared" si="3"/>
        <v>23070359052.218945</v>
      </c>
      <c r="O53" s="11"/>
      <c r="P53" s="147"/>
      <c r="Q53"/>
    </row>
    <row r="54" spans="1:17" x14ac:dyDescent="0.2">
      <c r="A54" s="160">
        <v>43220</v>
      </c>
      <c r="B54" s="161">
        <f>Inputs!D75</f>
        <v>29502213.161825802</v>
      </c>
      <c r="C54" s="161">
        <v>438.3</v>
      </c>
      <c r="D54" s="161">
        <v>0</v>
      </c>
      <c r="E54" s="161">
        <v>30</v>
      </c>
      <c r="F54" s="162">
        <v>1</v>
      </c>
      <c r="G54" s="161">
        <f>Inputs!G75+Inputs!I75+Inputs!L75+Inputs!X75</f>
        <v>23133</v>
      </c>
      <c r="H54" s="161">
        <f>$Q$18+$Q$19*C54+$Q$20*D54+$Q$21*E54+$Q$22*F54+$Q$23*G54</f>
        <v>29131149.947210327</v>
      </c>
      <c r="I54" s="9">
        <f>H54-B54</f>
        <v>-371063.21461547539</v>
      </c>
      <c r="J54" s="171">
        <f>I54/B54</f>
        <v>-1.2577470462304511E-2</v>
      </c>
      <c r="K54" s="171">
        <f t="shared" si="1"/>
        <v>1.2577470462304511E-2</v>
      </c>
      <c r="L54" s="172">
        <f t="shared" si="4"/>
        <v>137687909240.77036</v>
      </c>
      <c r="M54" s="172">
        <f t="shared" si="5"/>
        <v>-504896.91253660619</v>
      </c>
      <c r="N54" s="172">
        <f t="shared" si="3"/>
        <v>254920892288.99738</v>
      </c>
      <c r="O54" s="11"/>
      <c r="P54" s="147"/>
      <c r="Q54"/>
    </row>
    <row r="55" spans="1:17" x14ac:dyDescent="0.2">
      <c r="A55" s="160">
        <v>43251</v>
      </c>
      <c r="B55" s="161">
        <f>Inputs!D76</f>
        <v>29818036.360710699</v>
      </c>
      <c r="C55" s="161">
        <v>75.3</v>
      </c>
      <c r="D55" s="161">
        <v>30</v>
      </c>
      <c r="E55" s="161">
        <v>31</v>
      </c>
      <c r="F55" s="162">
        <v>1</v>
      </c>
      <c r="G55" s="161">
        <f>Inputs!G76+Inputs!I76+Inputs!L76+Inputs!X76</f>
        <v>23168</v>
      </c>
      <c r="H55" s="161">
        <f>$Q$18+$Q$19*C55+$Q$20*D55+$Q$21*E55+$Q$22*F55+$Q$23*G55</f>
        <v>29433366.800279625</v>
      </c>
      <c r="I55" s="9">
        <f>H55-B55</f>
        <v>-384669.56043107435</v>
      </c>
      <c r="J55" s="171">
        <f>I55/B55</f>
        <v>-1.2900566481900485E-2</v>
      </c>
      <c r="K55" s="171">
        <f t="shared" si="1"/>
        <v>1.2900566481900485E-2</v>
      </c>
      <c r="L55" s="172">
        <f t="shared" si="4"/>
        <v>147970670722.23596</v>
      </c>
      <c r="M55" s="172">
        <f t="shared" si="5"/>
        <v>-13606.345815598965</v>
      </c>
      <c r="N55" s="172">
        <f t="shared" si="3"/>
        <v>185132646.45366746</v>
      </c>
      <c r="O55" s="11"/>
      <c r="P55" s="147"/>
      <c r="Q55"/>
    </row>
    <row r="56" spans="1:17" x14ac:dyDescent="0.2">
      <c r="A56" s="160">
        <v>43281</v>
      </c>
      <c r="B56" s="161">
        <f>Inputs!D77</f>
        <v>32564167.646594502</v>
      </c>
      <c r="C56" s="161">
        <v>21.199999999999996</v>
      </c>
      <c r="D56" s="161">
        <v>47.800000000000004</v>
      </c>
      <c r="E56" s="161">
        <v>30</v>
      </c>
      <c r="F56" s="162">
        <v>0</v>
      </c>
      <c r="G56" s="161">
        <f>Inputs!G77+Inputs!I77+Inputs!L77+Inputs!X77</f>
        <v>23182</v>
      </c>
      <c r="H56" s="161">
        <f>$Q$18+$Q$19*C56+$Q$20*D56+$Q$21*E56+$Q$22*F56+$Q$23*G56</f>
        <v>31634543.87620426</v>
      </c>
      <c r="I56" s="9">
        <f>H56-B56</f>
        <v>-929623.77039024234</v>
      </c>
      <c r="J56" s="171">
        <f>I56/B56</f>
        <v>-2.8547444555594548E-2</v>
      </c>
      <c r="K56" s="171">
        <f t="shared" si="1"/>
        <v>2.8547444555594548E-2</v>
      </c>
      <c r="L56" s="172">
        <f t="shared" si="4"/>
        <v>864200354474.57007</v>
      </c>
      <c r="M56" s="172">
        <f t="shared" si="5"/>
        <v>-544954.20995916799</v>
      </c>
      <c r="N56" s="172">
        <f t="shared" si="3"/>
        <v>296975090952.22095</v>
      </c>
      <c r="O56" s="11"/>
      <c r="P56" s="147"/>
      <c r="Q56"/>
    </row>
    <row r="57" spans="1:17" x14ac:dyDescent="0.2">
      <c r="A57" s="160">
        <v>43312</v>
      </c>
      <c r="B57" s="161">
        <f>Inputs!D78</f>
        <v>41016276.892574996</v>
      </c>
      <c r="C57" s="161">
        <v>0</v>
      </c>
      <c r="D57" s="161">
        <v>111.3</v>
      </c>
      <c r="E57" s="161">
        <v>31</v>
      </c>
      <c r="F57" s="162">
        <v>0</v>
      </c>
      <c r="G57" s="161">
        <f>Inputs!G78+Inputs!I78+Inputs!L78+Inputs!X78</f>
        <v>23194</v>
      </c>
      <c r="H57" s="161">
        <f>$Q$18+$Q$19*C57+$Q$20*D57+$Q$21*E57+$Q$22*F57+$Q$23*G57</f>
        <v>38557281.61125382</v>
      </c>
      <c r="I57" s="9">
        <f>H57-B57</f>
        <v>-2458995.2813211754</v>
      </c>
      <c r="J57" s="171">
        <f>I57/B57</f>
        <v>-5.9951694000932518E-2</v>
      </c>
      <c r="K57" s="171">
        <f t="shared" si="1"/>
        <v>5.9951694000932518E-2</v>
      </c>
      <c r="L57" s="172">
        <f t="shared" si="4"/>
        <v>6046657793559.8066</v>
      </c>
      <c r="M57" s="172">
        <f t="shared" si="5"/>
        <v>-1529371.5109309331</v>
      </c>
      <c r="N57" s="172">
        <f t="shared" si="3"/>
        <v>2338977218447.165</v>
      </c>
      <c r="O57" s="11"/>
      <c r="P57" s="147"/>
      <c r="Q57"/>
    </row>
    <row r="58" spans="1:17" x14ac:dyDescent="0.2">
      <c r="A58" s="160">
        <v>43343</v>
      </c>
      <c r="B58" s="161">
        <f>Inputs!D79</f>
        <v>39071849.328965105</v>
      </c>
      <c r="C58" s="161">
        <v>1.6</v>
      </c>
      <c r="D58" s="161">
        <v>124.00000000000001</v>
      </c>
      <c r="E58" s="161">
        <v>31</v>
      </c>
      <c r="F58" s="162">
        <v>0</v>
      </c>
      <c r="G58" s="161">
        <f>Inputs!G79+Inputs!I79+Inputs!L79+Inputs!X79</f>
        <v>23239</v>
      </c>
      <c r="H58" s="161">
        <f>$Q$18+$Q$19*C58+$Q$20*D58+$Q$21*E58+$Q$22*F58+$Q$23*G58</f>
        <v>39769590.906731337</v>
      </c>
      <c r="I58" s="9">
        <f>H58-B58</f>
        <v>697741.57776623219</v>
      </c>
      <c r="J58" s="171">
        <f>I58/B58</f>
        <v>1.7857910228195314E-2</v>
      </c>
      <c r="K58" s="171">
        <f t="shared" si="1"/>
        <v>1.7857910228195314E-2</v>
      </c>
      <c r="L58" s="172">
        <f t="shared" si="4"/>
        <v>486843309343.71106</v>
      </c>
      <c r="M58" s="172">
        <f t="shared" si="5"/>
        <v>3156736.8590874076</v>
      </c>
      <c r="N58" s="172">
        <f t="shared" si="3"/>
        <v>9964987597521.0313</v>
      </c>
      <c r="O58" s="11"/>
      <c r="P58" s="147"/>
      <c r="Q58"/>
    </row>
    <row r="59" spans="1:17" x14ac:dyDescent="0.2">
      <c r="A59" s="160">
        <v>43373</v>
      </c>
      <c r="B59" s="161">
        <f>Inputs!D80</f>
        <v>33330014.256383102</v>
      </c>
      <c r="C59" s="161">
        <v>57.900000000000006</v>
      </c>
      <c r="D59" s="161">
        <v>69.3</v>
      </c>
      <c r="E59" s="161">
        <v>30</v>
      </c>
      <c r="F59" s="162">
        <v>0</v>
      </c>
      <c r="G59" s="161">
        <f>Inputs!G80+Inputs!I80+Inputs!L80+Inputs!X80</f>
        <v>23272</v>
      </c>
      <c r="H59" s="161">
        <f>$Q$18+$Q$19*C59+$Q$20*D59+$Q$21*E59+$Q$22*F59+$Q$23*G59</f>
        <v>34046983.073396899</v>
      </c>
      <c r="I59" s="9">
        <f>H59-B59</f>
        <v>716968.81701379642</v>
      </c>
      <c r="J59" s="171">
        <f>I59/B59</f>
        <v>2.1511206430896986E-2</v>
      </c>
      <c r="K59" s="171">
        <f t="shared" si="1"/>
        <v>2.1511206430896986E-2</v>
      </c>
      <c r="L59" s="172">
        <f t="shared" si="4"/>
        <v>514044284570.16272</v>
      </c>
      <c r="M59" s="172">
        <f t="shared" si="5"/>
        <v>19227.239247564226</v>
      </c>
      <c r="N59" s="172">
        <f t="shared" si="3"/>
        <v>369686729.08307415</v>
      </c>
      <c r="O59" s="11"/>
      <c r="P59" s="147"/>
      <c r="Q59"/>
    </row>
    <row r="60" spans="1:17" x14ac:dyDescent="0.2">
      <c r="A60" s="160">
        <v>43404</v>
      </c>
      <c r="B60" s="161">
        <f>Inputs!D81</f>
        <v>29522757.314444497</v>
      </c>
      <c r="C60" s="161">
        <v>245.5</v>
      </c>
      <c r="D60" s="161">
        <v>11.100000000000001</v>
      </c>
      <c r="E60" s="161">
        <v>31</v>
      </c>
      <c r="F60" s="162">
        <v>1</v>
      </c>
      <c r="G60" s="161">
        <f>Inputs!G81+Inputs!I81+Inputs!L81+Inputs!X81</f>
        <v>23305</v>
      </c>
      <c r="H60" s="161">
        <f>$Q$18+$Q$19*C60+$Q$20*D60+$Q$21*E60+$Q$22*F60+$Q$23*G60</f>
        <v>29531240.0380436</v>
      </c>
      <c r="I60" s="9">
        <f>H60-B60</f>
        <v>8482.7235991023481</v>
      </c>
      <c r="J60" s="171">
        <f>I60/B60</f>
        <v>2.8732829758255793E-4</v>
      </c>
      <c r="K60" s="171">
        <f t="shared" si="1"/>
        <v>2.8732829758255793E-4</v>
      </c>
      <c r="L60" s="172">
        <f t="shared" si="4"/>
        <v>71956599.658767894</v>
      </c>
      <c r="M60" s="172">
        <f t="shared" si="5"/>
        <v>-708486.09341469407</v>
      </c>
      <c r="N60" s="172">
        <f t="shared" si="3"/>
        <v>501952544562.01459</v>
      </c>
      <c r="O60" s="11"/>
      <c r="P60" s="147"/>
      <c r="Q60"/>
    </row>
    <row r="61" spans="1:17" x14ac:dyDescent="0.2">
      <c r="A61" s="160">
        <v>43434</v>
      </c>
      <c r="B61" s="161">
        <f>Inputs!D82</f>
        <v>30788860.462713901</v>
      </c>
      <c r="C61" s="161">
        <v>462.59999999999997</v>
      </c>
      <c r="D61" s="161">
        <v>0</v>
      </c>
      <c r="E61" s="161">
        <v>30</v>
      </c>
      <c r="F61" s="162">
        <v>1</v>
      </c>
      <c r="G61" s="161">
        <f>Inputs!G82+Inputs!I82+Inputs!L82+Inputs!X82</f>
        <v>23321</v>
      </c>
      <c r="H61" s="161">
        <f>$Q$18+$Q$19*C61+$Q$20*D61+$Q$21*E61+$Q$22*F61+$Q$23*G61</f>
        <v>29486682.516938243</v>
      </c>
      <c r="I61" s="9">
        <f>H61-B61</f>
        <v>-1302177.9457756579</v>
      </c>
      <c r="J61" s="171">
        <f>I61/B61</f>
        <v>-4.2293801271165221E-2</v>
      </c>
      <c r="K61" s="171">
        <f t="shared" si="1"/>
        <v>4.2293801271165221E-2</v>
      </c>
      <c r="L61" s="172">
        <f t="shared" si="4"/>
        <v>1695667402464.5122</v>
      </c>
      <c r="M61" s="172">
        <f t="shared" si="5"/>
        <v>-1310660.6693747602</v>
      </c>
      <c r="N61" s="172">
        <f t="shared" si="3"/>
        <v>1717831390245.8945</v>
      </c>
      <c r="O61" s="11"/>
      <c r="P61" s="147"/>
      <c r="Q61"/>
    </row>
    <row r="62" spans="1:17" x14ac:dyDescent="0.2">
      <c r="A62" s="160">
        <v>43465</v>
      </c>
      <c r="B62" s="161">
        <f>Inputs!D83</f>
        <v>32363996.620362099</v>
      </c>
      <c r="C62" s="161">
        <v>550.4</v>
      </c>
      <c r="D62" s="161">
        <v>0</v>
      </c>
      <c r="E62" s="161">
        <v>31</v>
      </c>
      <c r="F62" s="162">
        <v>1</v>
      </c>
      <c r="G62" s="161">
        <f>Inputs!G83+Inputs!I83+Inputs!L83+Inputs!X83</f>
        <v>23366</v>
      </c>
      <c r="H62" s="161">
        <f>$Q$18+$Q$19*C62+$Q$20*D62+$Q$21*E62+$Q$22*F62+$Q$23*G62</f>
        <v>31703267.361297589</v>
      </c>
      <c r="I62" s="9">
        <f>H62-B62</f>
        <v>-660729.25906451046</v>
      </c>
      <c r="J62" s="171">
        <f>I62/B62</f>
        <v>-2.0415564456239214E-2</v>
      </c>
      <c r="K62" s="171">
        <f t="shared" si="1"/>
        <v>2.0415564456239214E-2</v>
      </c>
      <c r="L62" s="172">
        <f t="shared" si="4"/>
        <v>436563153783.93701</v>
      </c>
      <c r="M62" s="172">
        <f t="shared" si="5"/>
        <v>641448.68671114743</v>
      </c>
      <c r="N62" s="172">
        <f t="shared" si="3"/>
        <v>411456417683.45575</v>
      </c>
      <c r="O62" s="11"/>
      <c r="P62" s="147"/>
      <c r="Q62"/>
    </row>
    <row r="63" spans="1:17" x14ac:dyDescent="0.2">
      <c r="A63" s="160">
        <v>43496</v>
      </c>
      <c r="B63" s="161">
        <f>Inputs!D84</f>
        <v>35287777.216221102</v>
      </c>
      <c r="C63" s="161">
        <v>726.30000000000007</v>
      </c>
      <c r="D63" s="161">
        <v>0</v>
      </c>
      <c r="E63" s="161">
        <v>31</v>
      </c>
      <c r="F63" s="162">
        <v>0</v>
      </c>
      <c r="G63" s="161">
        <f>Inputs!G84+Inputs!I84+Inputs!L84+Inputs!X84</f>
        <v>23414</v>
      </c>
      <c r="H63" s="161">
        <f>$Q$18+$Q$19*C63+$Q$20*D63+$Q$21*E63+$Q$22*F63+$Q$23*G63</f>
        <v>35948449.553938404</v>
      </c>
      <c r="I63" s="9">
        <f>H63-B63</f>
        <v>660672.33771730214</v>
      </c>
      <c r="J63" s="171">
        <f>I63/B63</f>
        <v>1.8722412966651919E-2</v>
      </c>
      <c r="K63" s="171">
        <f t="shared" si="1"/>
        <v>1.8722412966651919E-2</v>
      </c>
      <c r="L63" s="172">
        <f t="shared" si="4"/>
        <v>436487937824.84491</v>
      </c>
      <c r="M63" s="172">
        <f t="shared" si="5"/>
        <v>1321401.5967818126</v>
      </c>
      <c r="N63" s="172">
        <f t="shared" si="3"/>
        <v>1746102179977.5242</v>
      </c>
      <c r="O63" s="11"/>
      <c r="P63" s="147"/>
      <c r="Q63"/>
    </row>
    <row r="64" spans="1:17" x14ac:dyDescent="0.2">
      <c r="A64" s="160">
        <v>43524</v>
      </c>
      <c r="B64" s="161">
        <f>Inputs!D85</f>
        <v>31413450.428820997</v>
      </c>
      <c r="C64" s="161">
        <v>587.80000000000007</v>
      </c>
      <c r="D64" s="161">
        <v>0</v>
      </c>
      <c r="E64" s="161">
        <v>28</v>
      </c>
      <c r="F64" s="162">
        <v>0</v>
      </c>
      <c r="G64" s="161">
        <f>Inputs!G85+Inputs!I85+Inputs!L85+Inputs!X85</f>
        <v>23414</v>
      </c>
      <c r="H64" s="161">
        <f>$Q$18+$Q$19*C64+$Q$20*D64+$Q$21*E64+$Q$22*F64+$Q$23*G64</f>
        <v>30668271.631966658</v>
      </c>
      <c r="I64" s="9">
        <f>H64-B64</f>
        <v>-745178.79685433954</v>
      </c>
      <c r="J64" s="171">
        <f>I64/B64</f>
        <v>-2.372164746890262E-2</v>
      </c>
      <c r="K64" s="171">
        <f t="shared" si="1"/>
        <v>2.372164746890262E-2</v>
      </c>
      <c r="L64" s="172">
        <f t="shared" si="4"/>
        <v>555291439281.28101</v>
      </c>
      <c r="M64" s="172">
        <f t="shared" si="5"/>
        <v>-1405851.1345716417</v>
      </c>
      <c r="N64" s="172">
        <f t="shared" si="3"/>
        <v>1976417412576.3721</v>
      </c>
      <c r="O64" s="11"/>
      <c r="P64" s="147"/>
      <c r="Q64"/>
    </row>
    <row r="65" spans="1:17" x14ac:dyDescent="0.2">
      <c r="A65" s="160">
        <v>43555</v>
      </c>
      <c r="B65" s="161">
        <f>Inputs!D86</f>
        <v>32753174.855792601</v>
      </c>
      <c r="C65" s="161">
        <v>598.00000000000023</v>
      </c>
      <c r="D65" s="161">
        <v>0</v>
      </c>
      <c r="E65" s="161">
        <v>31</v>
      </c>
      <c r="F65" s="162">
        <v>1</v>
      </c>
      <c r="G65" s="161">
        <f>Inputs!G86+Inputs!I86+Inputs!L86+Inputs!X86</f>
        <v>23448</v>
      </c>
      <c r="H65" s="161">
        <f>$Q$18+$Q$19*C65+$Q$20*D65+$Q$21*E65+$Q$22*F65+$Q$23*G65</f>
        <v>32242045.225517407</v>
      </c>
      <c r="I65" s="9">
        <f>H65-B65</f>
        <v>-511129.6302751936</v>
      </c>
      <c r="J65" s="171">
        <f>I65/B65</f>
        <v>-1.5605498780671552E-2</v>
      </c>
      <c r="K65" s="171">
        <f t="shared" si="1"/>
        <v>1.5605498780671552E-2</v>
      </c>
      <c r="L65" s="172">
        <f t="shared" si="4"/>
        <v>261253498945.2561</v>
      </c>
      <c r="M65" s="172">
        <f t="shared" si="5"/>
        <v>234049.16657914594</v>
      </c>
      <c r="N65" s="172">
        <f t="shared" si="3"/>
        <v>54779012376.392807</v>
      </c>
      <c r="O65" s="11"/>
      <c r="P65" s="147"/>
    </row>
    <row r="66" spans="1:17" x14ac:dyDescent="0.2">
      <c r="A66" s="160">
        <v>43585</v>
      </c>
      <c r="B66" s="161">
        <f>Inputs!D87</f>
        <v>28598242.1384985</v>
      </c>
      <c r="C66" s="161">
        <v>327.29999999999995</v>
      </c>
      <c r="D66" s="161">
        <v>0</v>
      </c>
      <c r="E66" s="161">
        <v>30</v>
      </c>
      <c r="F66" s="162">
        <v>1</v>
      </c>
      <c r="G66" s="161">
        <f>Inputs!G87+Inputs!I87+Inputs!L87+Inputs!X87</f>
        <v>23474</v>
      </c>
      <c r="H66" s="161">
        <f>$Q$18+$Q$19*C66+$Q$20*D66+$Q$21*E66+$Q$22*F66+$Q$23*G66</f>
        <v>28167869.481098823</v>
      </c>
      <c r="I66" s="9">
        <f>H66-B66</f>
        <v>-430372.65739967674</v>
      </c>
      <c r="J66" s="171">
        <f>I66/B66</f>
        <v>-1.5048919976109857E-2</v>
      </c>
      <c r="K66" s="171">
        <f t="shared" si="1"/>
        <v>1.5048919976109857E-2</v>
      </c>
      <c r="L66" s="172">
        <f t="shared" si="4"/>
        <v>185220624237.25952</v>
      </c>
      <c r="M66" s="172">
        <f t="shared" si="5"/>
        <v>80756.972875516862</v>
      </c>
      <c r="N66" s="172">
        <f t="shared" si="3"/>
        <v>6521688668.0169659</v>
      </c>
      <c r="O66" s="11"/>
      <c r="P66" s="147"/>
    </row>
    <row r="67" spans="1:17" x14ac:dyDescent="0.2">
      <c r="A67" s="160">
        <v>43616</v>
      </c>
      <c r="B67" s="161">
        <f>Inputs!D88</f>
        <v>27905719.018595401</v>
      </c>
      <c r="C67" s="161">
        <v>173.70000000000002</v>
      </c>
      <c r="D67" s="161">
        <v>1.8</v>
      </c>
      <c r="E67" s="161">
        <v>31</v>
      </c>
      <c r="F67" s="162">
        <v>1</v>
      </c>
      <c r="G67" s="161">
        <f>Inputs!G88+Inputs!I88+Inputs!L88+Inputs!X88</f>
        <v>23504</v>
      </c>
      <c r="H67" s="161">
        <f>$Q$18+$Q$19*C67+$Q$20*D67+$Q$21*E67+$Q$22*F67+$Q$23*G67</f>
        <v>28038807.526463941</v>
      </c>
      <c r="I67" s="9">
        <f>H67-B67</f>
        <v>133088.50786853954</v>
      </c>
      <c r="J67" s="171">
        <f>I67/B67</f>
        <v>4.7692198068737804E-3</v>
      </c>
      <c r="K67" s="171">
        <f t="shared" si="1"/>
        <v>4.7692198068737804E-3</v>
      </c>
      <c r="L67" s="172">
        <f t="shared" ref="L67:L72" si="6">I67*I67</f>
        <v>17712550926.674313</v>
      </c>
      <c r="M67" s="172">
        <f t="shared" si="5"/>
        <v>563461.16526821628</v>
      </c>
      <c r="N67" s="172">
        <f t="shared" si="3"/>
        <v>317488484765.41614</v>
      </c>
      <c r="O67" s="11"/>
      <c r="P67" s="147"/>
    </row>
    <row r="68" spans="1:17" x14ac:dyDescent="0.2">
      <c r="A68" s="160">
        <v>43646</v>
      </c>
      <c r="B68" s="161">
        <f>Inputs!D89</f>
        <v>30246126.597568698</v>
      </c>
      <c r="C68" s="161">
        <v>33.599999999999994</v>
      </c>
      <c r="D68" s="161">
        <v>31.799999999999997</v>
      </c>
      <c r="E68" s="161">
        <v>30</v>
      </c>
      <c r="F68" s="162">
        <v>0</v>
      </c>
      <c r="G68" s="161">
        <f>Inputs!G89+Inputs!I89+Inputs!L89+Inputs!X89</f>
        <v>23505</v>
      </c>
      <c r="H68" s="161">
        <f>$Q$18+$Q$19*C68+$Q$20*D68+$Q$21*E68+$Q$22*F68+$Q$23*G68</f>
        <v>30465829.553038336</v>
      </c>
      <c r="I68" s="9">
        <f>H68-B68</f>
        <v>219702.95546963811</v>
      </c>
      <c r="J68" s="171">
        <f>I68/B68</f>
        <v>7.2638377268214793E-3</v>
      </c>
      <c r="K68" s="171">
        <f t="shared" ref="K68:K122" si="7">ABS(J68)</f>
        <v>7.2638377268214793E-3</v>
      </c>
      <c r="L68" s="172">
        <f t="shared" si="6"/>
        <v>48269388642.093788</v>
      </c>
      <c r="M68" s="172">
        <f t="shared" si="5"/>
        <v>86614.447601098567</v>
      </c>
      <c r="N68" s="172">
        <f t="shared" si="3"/>
        <v>7502062533.2434492</v>
      </c>
      <c r="O68" s="11"/>
      <c r="P68" s="147"/>
    </row>
    <row r="69" spans="1:17" x14ac:dyDescent="0.2">
      <c r="A69" s="160">
        <v>43677</v>
      </c>
      <c r="B69" s="161">
        <f>Inputs!D90</f>
        <v>40514961.932033904</v>
      </c>
      <c r="C69" s="161">
        <v>0</v>
      </c>
      <c r="D69" s="161">
        <v>143.79999999999998</v>
      </c>
      <c r="E69" s="161">
        <v>31</v>
      </c>
      <c r="F69" s="162">
        <v>0</v>
      </c>
      <c r="G69" s="161">
        <f>Inputs!G90+Inputs!I90+Inputs!L90+Inputs!X90</f>
        <v>23545</v>
      </c>
      <c r="H69" s="161">
        <f>$Q$18+$Q$19*C69+$Q$20*D69+$Q$21*E69+$Q$22*F69+$Q$23*G69</f>
        <v>41747075.212246984</v>
      </c>
      <c r="I69" s="9">
        <f>H69-B69</f>
        <v>1232113.2802130803</v>
      </c>
      <c r="J69" s="171">
        <f>I69/B69</f>
        <v>3.0411315263729453E-2</v>
      </c>
      <c r="K69" s="171">
        <f t="shared" si="7"/>
        <v>3.0411315263729453E-2</v>
      </c>
      <c r="L69" s="172">
        <f t="shared" si="6"/>
        <v>1518103135277.4368</v>
      </c>
      <c r="M69" s="172">
        <f t="shared" si="5"/>
        <v>1012410.3247434422</v>
      </c>
      <c r="N69" s="172">
        <f t="shared" ref="N69:N122" si="8">M69*M69</f>
        <v>1024974665647.1222</v>
      </c>
      <c r="O69" s="11"/>
      <c r="P69" s="147"/>
    </row>
    <row r="70" spans="1:17" x14ac:dyDescent="0.2">
      <c r="A70" s="160">
        <v>43708</v>
      </c>
      <c r="B70" s="161">
        <f>Inputs!D91</f>
        <v>36599467.089364603</v>
      </c>
      <c r="C70" s="161">
        <v>4.5999999999999996</v>
      </c>
      <c r="D70" s="161">
        <v>76</v>
      </c>
      <c r="E70" s="161">
        <v>31</v>
      </c>
      <c r="F70" s="162">
        <v>0</v>
      </c>
      <c r="G70" s="161">
        <f>Inputs!G91+Inputs!I91+Inputs!L91+Inputs!X91</f>
        <v>23610</v>
      </c>
      <c r="H70" s="161">
        <f>$Q$18+$Q$19*C70+$Q$20*D70+$Q$21*E70+$Q$22*F70+$Q$23*G70</f>
        <v>35579448.418543756</v>
      </c>
      <c r="I70" s="9">
        <f>H70-B70</f>
        <v>-1020018.6708208472</v>
      </c>
      <c r="J70" s="171">
        <f>I70/B70</f>
        <v>-2.7869768385705627E-2</v>
      </c>
      <c r="K70" s="171">
        <f t="shared" si="7"/>
        <v>2.7869768385705627E-2</v>
      </c>
      <c r="L70" s="172">
        <f t="shared" si="6"/>
        <v>1040438088823.1277</v>
      </c>
      <c r="M70" s="172">
        <f t="shared" si="5"/>
        <v>-2252131.9510339275</v>
      </c>
      <c r="N70" s="172">
        <f t="shared" si="8"/>
        <v>5072098324867.8848</v>
      </c>
      <c r="O70" s="11"/>
      <c r="P70" s="147"/>
    </row>
    <row r="71" spans="1:17" x14ac:dyDescent="0.2">
      <c r="A71" s="160">
        <v>43738</v>
      </c>
      <c r="B71" s="161">
        <f>Inputs!D92</f>
        <v>30196024.2346556</v>
      </c>
      <c r="C71" s="161">
        <v>31.600000000000005</v>
      </c>
      <c r="D71" s="161">
        <v>11.6</v>
      </c>
      <c r="E71" s="161">
        <v>30</v>
      </c>
      <c r="F71" s="162">
        <v>0</v>
      </c>
      <c r="G71" s="161">
        <f>Inputs!G92+Inputs!I92+Inputs!L92+Inputs!X92</f>
        <v>23624</v>
      </c>
      <c r="H71" s="161">
        <f>$Q$18+$Q$19*C71+$Q$20*D71+$Q$21*E71+$Q$22*F71+$Q$23*G71</f>
        <v>28648196.967456907</v>
      </c>
      <c r="I71" s="9">
        <f>H71-B71</f>
        <v>-1547827.267198693</v>
      </c>
      <c r="J71" s="171">
        <f>I71/B71</f>
        <v>-5.1259306694497582E-2</v>
      </c>
      <c r="K71" s="171">
        <f t="shared" si="7"/>
        <v>5.1259306694497582E-2</v>
      </c>
      <c r="L71" s="172">
        <f t="shared" si="6"/>
        <v>2395769249083.7744</v>
      </c>
      <c r="M71" s="172">
        <f t="shared" si="5"/>
        <v>-527808.59637784585</v>
      </c>
      <c r="N71" s="172">
        <f t="shared" si="8"/>
        <v>278581914410.35181</v>
      </c>
      <c r="O71" s="11"/>
      <c r="P71" s="147"/>
    </row>
    <row r="72" spans="1:17" x14ac:dyDescent="0.2">
      <c r="A72" s="160">
        <v>43769</v>
      </c>
      <c r="B72" s="161">
        <f>Inputs!D93</f>
        <v>27971860.355314802</v>
      </c>
      <c r="C72" s="161">
        <v>220.89999999999998</v>
      </c>
      <c r="D72" s="161">
        <v>3.9</v>
      </c>
      <c r="E72" s="161">
        <v>31</v>
      </c>
      <c r="F72" s="162">
        <v>1</v>
      </c>
      <c r="G72" s="161">
        <f>Inputs!G93+Inputs!I93+Inputs!L93+Inputs!X93</f>
        <v>23662</v>
      </c>
      <c r="H72" s="161">
        <f>$Q$18+$Q$19*C72+$Q$20*D72+$Q$21*E72+$Q$22*F72+$Q$23*G72</f>
        <v>28808912.471544482</v>
      </c>
      <c r="I72" s="9">
        <f>H72-B72</f>
        <v>837052.11622967944</v>
      </c>
      <c r="J72" s="171">
        <f>I72/B72</f>
        <v>2.9924792473470043E-2</v>
      </c>
      <c r="K72" s="171">
        <f t="shared" si="7"/>
        <v>2.9924792473470043E-2</v>
      </c>
      <c r="L72" s="172">
        <f t="shared" si="6"/>
        <v>700656245284.58472</v>
      </c>
      <c r="M72" s="172">
        <f t="shared" si="5"/>
        <v>2384879.3834283724</v>
      </c>
      <c r="N72" s="172">
        <f t="shared" si="8"/>
        <v>5687649673501.6943</v>
      </c>
      <c r="O72" s="11"/>
      <c r="P72" s="147"/>
    </row>
    <row r="73" spans="1:17" x14ac:dyDescent="0.2">
      <c r="A73" s="160">
        <v>43799</v>
      </c>
      <c r="B73" s="161">
        <f>Inputs!D94</f>
        <v>30548760.205844</v>
      </c>
      <c r="C73" s="161">
        <v>502.69999999999993</v>
      </c>
      <c r="D73" s="161">
        <v>0</v>
      </c>
      <c r="E73" s="161">
        <v>30</v>
      </c>
      <c r="F73" s="162">
        <v>1</v>
      </c>
      <c r="G73" s="161">
        <f>Inputs!G94+Inputs!I94+Inputs!L94+Inputs!X94</f>
        <v>23658</v>
      </c>
      <c r="H73" s="161">
        <f>$Q$18+$Q$19*C73+$Q$20*D73+$Q$21*E73+$Q$22*F73+$Q$23*G73</f>
        <v>30088122.903447825</v>
      </c>
      <c r="I73" s="9">
        <f>H73-B73</f>
        <v>-460637.30239617452</v>
      </c>
      <c r="J73" s="171">
        <f>I73/B73</f>
        <v>-1.5078756037636325E-2</v>
      </c>
      <c r="K73" s="171">
        <f t="shared" si="7"/>
        <v>1.5078756037636325E-2</v>
      </c>
      <c r="L73" s="172">
        <f t="shared" ref="L73:L122" si="9">I73*I73</f>
        <v>212186724358.82474</v>
      </c>
      <c r="M73" s="172">
        <f t="shared" ref="M73:M122" si="10">I73-I72</f>
        <v>-1297689.418625854</v>
      </c>
      <c r="N73" s="172">
        <f t="shared" si="8"/>
        <v>1683997827213.5068</v>
      </c>
      <c r="O73" s="11"/>
      <c r="P73" s="147"/>
    </row>
    <row r="74" spans="1:17" x14ac:dyDescent="0.2">
      <c r="A74" s="160">
        <v>43830</v>
      </c>
      <c r="B74" s="161">
        <f>Inputs!D95</f>
        <v>32756213.143715002</v>
      </c>
      <c r="C74" s="161">
        <v>546.60000000000014</v>
      </c>
      <c r="D74" s="161">
        <v>0</v>
      </c>
      <c r="E74" s="161">
        <v>31</v>
      </c>
      <c r="F74" s="162">
        <v>1</v>
      </c>
      <c r="G74" s="161">
        <f>Inputs!G95+Inputs!I95+Inputs!L95+Inputs!X95</f>
        <v>23664</v>
      </c>
      <c r="H74" s="161">
        <f>$Q$18+$Q$19*C74+$Q$20*D74+$Q$21*E74+$Q$22*F74+$Q$23*G74</f>
        <v>31827981.057229809</v>
      </c>
      <c r="I74" s="9">
        <f>H74-B74</f>
        <v>-928232.08648519218</v>
      </c>
      <c r="J74" s="171">
        <f>I74/B74</f>
        <v>-2.8337588426740772E-2</v>
      </c>
      <c r="K74" s="171">
        <f t="shared" si="7"/>
        <v>2.8337588426740772E-2</v>
      </c>
      <c r="L74" s="172">
        <f t="shared" si="9"/>
        <v>861614806380.65332</v>
      </c>
      <c r="M74" s="172">
        <f t="shared" si="10"/>
        <v>-467594.78408901766</v>
      </c>
      <c r="N74" s="172">
        <f t="shared" si="8"/>
        <v>218644882107.25504</v>
      </c>
      <c r="O74" s="11"/>
      <c r="P74" s="147"/>
    </row>
    <row r="75" spans="1:17" x14ac:dyDescent="0.2">
      <c r="A75" s="160">
        <v>43861</v>
      </c>
      <c r="B75" s="161">
        <f>Inputs!D96</f>
        <v>32984745.984053601</v>
      </c>
      <c r="C75" s="161">
        <v>551.6</v>
      </c>
      <c r="D75" s="161">
        <v>0</v>
      </c>
      <c r="E75" s="161">
        <v>31</v>
      </c>
      <c r="F75" s="162">
        <v>0</v>
      </c>
      <c r="G75" s="161">
        <f>Inputs!G96+Inputs!I96+Inputs!L96+Inputs!X96</f>
        <v>23709</v>
      </c>
      <c r="H75" s="161">
        <f>$Q$18+$Q$19*C75+$Q$20*D75+$Q$21*E75+$Q$22*F75+$Q$23*G75</f>
        <v>34299259.024274178</v>
      </c>
      <c r="I75" s="9">
        <f>H75-B75</f>
        <v>1314513.0402205773</v>
      </c>
      <c r="J75" s="171">
        <f>I75/B75</f>
        <v>3.9852149865155111E-2</v>
      </c>
      <c r="K75" s="171">
        <f t="shared" si="7"/>
        <v>3.9852149865155111E-2</v>
      </c>
      <c r="L75" s="172">
        <f t="shared" si="9"/>
        <v>1727944532909.9451</v>
      </c>
      <c r="M75" s="172">
        <f t="shared" si="10"/>
        <v>2242745.1267057694</v>
      </c>
      <c r="N75" s="172">
        <f t="shared" si="8"/>
        <v>5029905703362.4775</v>
      </c>
      <c r="O75" s="11"/>
      <c r="P75" s="147"/>
      <c r="Q75" s="39"/>
    </row>
    <row r="76" spans="1:17" x14ac:dyDescent="0.2">
      <c r="A76" s="160">
        <v>43890</v>
      </c>
      <c r="B76" s="161">
        <f>Inputs!D97</f>
        <v>31066267.637283299</v>
      </c>
      <c r="C76" s="161">
        <v>586.90000000000009</v>
      </c>
      <c r="D76" s="161">
        <v>0</v>
      </c>
      <c r="E76" s="161">
        <v>29</v>
      </c>
      <c r="F76" s="162">
        <v>0</v>
      </c>
      <c r="G76" s="161">
        <f>Inputs!G97+Inputs!I97+Inputs!L97+Inputs!X97</f>
        <v>23738</v>
      </c>
      <c r="H76" s="161">
        <f>$Q$18+$Q$19*C76+$Q$20*D76+$Q$21*E76+$Q$22*F76+$Q$23*G76</f>
        <v>32118683.694209106</v>
      </c>
      <c r="I76" s="9">
        <f>H76-B76</f>
        <v>1052416.0569258071</v>
      </c>
      <c r="J76" s="171">
        <f>I76/B76</f>
        <v>3.3876488454080651E-2</v>
      </c>
      <c r="K76" s="171">
        <f t="shared" si="7"/>
        <v>3.3876488454080651E-2</v>
      </c>
      <c r="L76" s="172">
        <f t="shared" si="9"/>
        <v>1107579556875.2637</v>
      </c>
      <c r="M76" s="172">
        <f t="shared" si="10"/>
        <v>-262096.98329477012</v>
      </c>
      <c r="N76" s="172">
        <f t="shared" si="8"/>
        <v>68694828652.219009</v>
      </c>
      <c r="O76" s="11"/>
      <c r="P76" s="147"/>
    </row>
    <row r="77" spans="1:17" x14ac:dyDescent="0.2">
      <c r="A77" s="160">
        <v>43921</v>
      </c>
      <c r="B77" s="161">
        <f>Inputs!D98</f>
        <v>30079085.278391898</v>
      </c>
      <c r="C77" s="161">
        <v>433.8</v>
      </c>
      <c r="D77" s="161">
        <v>0</v>
      </c>
      <c r="E77" s="161">
        <v>31</v>
      </c>
      <c r="F77" s="162">
        <v>1</v>
      </c>
      <c r="G77" s="161">
        <f>Inputs!G98+Inputs!I98+Inputs!L98+Inputs!X98</f>
        <v>23774</v>
      </c>
      <c r="H77" s="161">
        <f>$Q$18+$Q$19*C77+$Q$20*D77+$Q$21*E77+$Q$22*F77+$Q$23*G77</f>
        <v>30718813.762039885</v>
      </c>
      <c r="I77" s="9">
        <f>H77-B77</f>
        <v>639728.48364798725</v>
      </c>
      <c r="J77" s="171">
        <f>I77/B77</f>
        <v>2.1268216028748489E-2</v>
      </c>
      <c r="K77" s="171">
        <f t="shared" si="7"/>
        <v>2.1268216028748489E-2</v>
      </c>
      <c r="L77" s="172">
        <f t="shared" si="9"/>
        <v>409252532790.5531</v>
      </c>
      <c r="M77" s="172">
        <f t="shared" si="10"/>
        <v>-412687.5732778199</v>
      </c>
      <c r="N77" s="172">
        <f t="shared" si="8"/>
        <v>170311033137.93597</v>
      </c>
      <c r="O77" s="11"/>
      <c r="P77" s="147"/>
    </row>
    <row r="78" spans="1:17" x14ac:dyDescent="0.2">
      <c r="A78" s="160">
        <v>43951</v>
      </c>
      <c r="B78" s="161">
        <f>Inputs!D99</f>
        <v>26605231.832859904</v>
      </c>
      <c r="C78" s="161">
        <v>372.9</v>
      </c>
      <c r="D78" s="161">
        <v>0</v>
      </c>
      <c r="E78" s="161">
        <v>30</v>
      </c>
      <c r="F78" s="162">
        <v>1</v>
      </c>
      <c r="G78" s="161">
        <f>Inputs!G99+Inputs!I99+Inputs!L99+Inputs!X99</f>
        <v>23805</v>
      </c>
      <c r="H78" s="161">
        <f>$Q$18+$Q$19*C78+$Q$20*D78+$Q$21*E78+$Q$22*F78+$Q$23*G78</f>
        <v>28823041.047468811</v>
      </c>
      <c r="I78" s="9">
        <f>H78-B78</f>
        <v>2217809.2146089077</v>
      </c>
      <c r="J78" s="171">
        <f>I78/B78</f>
        <v>8.3359890586245891E-2</v>
      </c>
      <c r="K78" s="171">
        <f t="shared" si="7"/>
        <v>8.3359890586245891E-2</v>
      </c>
      <c r="L78" s="172">
        <f t="shared" si="9"/>
        <v>4918677712404.1797</v>
      </c>
      <c r="M78" s="172">
        <f t="shared" si="10"/>
        <v>1578080.7309609205</v>
      </c>
      <c r="N78" s="172">
        <f t="shared" si="8"/>
        <v>2490338793430.1528</v>
      </c>
      <c r="O78" s="11"/>
      <c r="P78" s="147"/>
    </row>
    <row r="79" spans="1:17" x14ac:dyDescent="0.2">
      <c r="A79" s="160">
        <v>43982</v>
      </c>
      <c r="B79" s="161">
        <f>Inputs!D100</f>
        <v>28255543.1817187</v>
      </c>
      <c r="C79" s="161">
        <v>207.90000000000003</v>
      </c>
      <c r="D79" s="161">
        <v>22.8</v>
      </c>
      <c r="E79" s="161">
        <v>31</v>
      </c>
      <c r="F79" s="162">
        <v>1</v>
      </c>
      <c r="G79" s="161">
        <f>Inputs!G100+Inputs!I100+Inputs!L100+Inputs!X100</f>
        <v>23829</v>
      </c>
      <c r="H79" s="161">
        <f>$Q$18+$Q$19*C79+$Q$20*D79+$Q$21*E79+$Q$22*F79+$Q$23*G79</f>
        <v>30508645.270066474</v>
      </c>
      <c r="I79" s="9">
        <f>H79-B79</f>
        <v>2253102.088347774</v>
      </c>
      <c r="J79" s="171">
        <f>I79/B79</f>
        <v>7.9740179612102738E-2</v>
      </c>
      <c r="K79" s="171">
        <f t="shared" si="7"/>
        <v>7.9740179612102738E-2</v>
      </c>
      <c r="L79" s="172">
        <f t="shared" si="9"/>
        <v>5076469020517.1006</v>
      </c>
      <c r="M79" s="172">
        <f t="shared" si="10"/>
        <v>35292.873738866299</v>
      </c>
      <c r="N79" s="172">
        <f t="shared" si="8"/>
        <v>1245586936.7475586</v>
      </c>
      <c r="O79" s="11"/>
      <c r="P79" s="147"/>
    </row>
    <row r="80" spans="1:17" x14ac:dyDescent="0.2">
      <c r="A80" s="160">
        <v>44012</v>
      </c>
      <c r="B80" s="161">
        <f>Inputs!D101</f>
        <v>33406975.0200781</v>
      </c>
      <c r="C80" s="161">
        <v>27</v>
      </c>
      <c r="D80" s="161">
        <v>70.09999999999998</v>
      </c>
      <c r="E80" s="161">
        <v>30</v>
      </c>
      <c r="F80" s="162">
        <v>0</v>
      </c>
      <c r="G80" s="161">
        <f>Inputs!G101+Inputs!I101+Inputs!L101+Inputs!X101</f>
        <v>23871</v>
      </c>
      <c r="H80" s="161">
        <f>$Q$18+$Q$19*C80+$Q$20*D80+$Q$21*E80+$Q$22*F80+$Q$23*G80</f>
        <v>34130198.703872487</v>
      </c>
      <c r="I80" s="9">
        <f>H80-B80</f>
        <v>723223.68379438668</v>
      </c>
      <c r="J80" s="171">
        <f>I80/B80</f>
        <v>2.1648882706671833E-2</v>
      </c>
      <c r="K80" s="171">
        <f t="shared" si="7"/>
        <v>2.1648882706671833E-2</v>
      </c>
      <c r="L80" s="172">
        <f t="shared" si="9"/>
        <v>523052496801.12305</v>
      </c>
      <c r="M80" s="172">
        <f t="shared" si="10"/>
        <v>-1529878.4045533873</v>
      </c>
      <c r="N80" s="172">
        <f t="shared" si="8"/>
        <v>2340527932718.8179</v>
      </c>
      <c r="O80" s="11"/>
      <c r="P80" s="147"/>
    </row>
    <row r="81" spans="1:17" x14ac:dyDescent="0.2">
      <c r="A81" s="160">
        <v>44043</v>
      </c>
      <c r="B81" s="161">
        <f>Inputs!D102</f>
        <v>42687999.775185399</v>
      </c>
      <c r="C81" s="161">
        <v>0</v>
      </c>
      <c r="D81" s="161">
        <v>168.5</v>
      </c>
      <c r="E81" s="161">
        <v>31</v>
      </c>
      <c r="F81" s="162">
        <v>0</v>
      </c>
      <c r="G81" s="161">
        <f>Inputs!G102+Inputs!I102+Inputs!L102+Inputs!X102</f>
        <v>23900</v>
      </c>
      <c r="H81" s="161">
        <f>$Q$18+$Q$19*C81+$Q$20*D81+$Q$21*E81+$Q$22*F81+$Q$23*G81</f>
        <v>44219915.527748957</v>
      </c>
      <c r="I81" s="9">
        <f>H81-B81</f>
        <v>1531915.7525635585</v>
      </c>
      <c r="J81" s="171">
        <f>I81/B81</f>
        <v>3.5886332473560018E-2</v>
      </c>
      <c r="K81" s="171">
        <f t="shared" si="7"/>
        <v>3.5886332473560018E-2</v>
      </c>
      <c r="L81" s="172">
        <f t="shared" si="9"/>
        <v>2346765872952.374</v>
      </c>
      <c r="M81" s="172">
        <f t="shared" si="10"/>
        <v>808692.06876917183</v>
      </c>
      <c r="N81" s="172">
        <f t="shared" si="8"/>
        <v>653982862090.16296</v>
      </c>
      <c r="O81" s="11"/>
      <c r="P81" s="147"/>
    </row>
    <row r="82" spans="1:17" x14ac:dyDescent="0.2">
      <c r="A82" s="160">
        <v>44074</v>
      </c>
      <c r="B82" s="161">
        <f>Inputs!D103</f>
        <v>37930770.327769101</v>
      </c>
      <c r="C82" s="161">
        <v>1.5999999999999999</v>
      </c>
      <c r="D82" s="161">
        <v>71.100000000000009</v>
      </c>
      <c r="E82" s="161">
        <v>31</v>
      </c>
      <c r="F82" s="162">
        <v>0</v>
      </c>
      <c r="G82" s="161">
        <f>Inputs!G103+Inputs!I103+Inputs!L103+Inputs!X103</f>
        <v>23924</v>
      </c>
      <c r="H82" s="161">
        <f>$Q$18+$Q$19*C82+$Q$20*D82+$Q$21*E82+$Q$22*F82+$Q$23*G82</f>
        <v>35269492.383897431</v>
      </c>
      <c r="I82" s="9">
        <f>H82-B82</f>
        <v>-2661277.9438716695</v>
      </c>
      <c r="J82" s="171">
        <f>I82/B82</f>
        <v>-7.0161452585194378E-2</v>
      </c>
      <c r="K82" s="171">
        <f t="shared" si="7"/>
        <v>7.0161452585194378E-2</v>
      </c>
      <c r="L82" s="172">
        <f t="shared" si="9"/>
        <v>7082400294537.8203</v>
      </c>
      <c r="M82" s="172">
        <f t="shared" si="10"/>
        <v>-4193193.696435228</v>
      </c>
      <c r="N82" s="172">
        <f t="shared" si="8"/>
        <v>17582873375824.131</v>
      </c>
      <c r="O82" s="11"/>
      <c r="P82" s="147"/>
    </row>
    <row r="83" spans="1:17" x14ac:dyDescent="0.2">
      <c r="A83" s="160">
        <v>44104</v>
      </c>
      <c r="B83" s="161">
        <f>Inputs!D104</f>
        <v>29216230.450019099</v>
      </c>
      <c r="C83" s="161">
        <v>74.999999999999986</v>
      </c>
      <c r="D83" s="161">
        <v>10</v>
      </c>
      <c r="E83" s="161">
        <v>30</v>
      </c>
      <c r="F83" s="162">
        <v>0</v>
      </c>
      <c r="G83" s="161">
        <f>Inputs!G104+Inputs!I104+Inputs!L104+Inputs!X104</f>
        <v>23945</v>
      </c>
      <c r="H83" s="161">
        <f>$Q$18+$Q$19*C83+$Q$20*D83+$Q$21*E83+$Q$22*F83+$Q$23*G83</f>
        <v>29127527.673845455</v>
      </c>
      <c r="I83" s="9">
        <f>H83-B83</f>
        <v>-88702.776173643768</v>
      </c>
      <c r="J83" s="171">
        <f>I83/B83</f>
        <v>-3.0360787414170256E-3</v>
      </c>
      <c r="K83" s="171">
        <f t="shared" si="7"/>
        <v>3.0360787414170256E-3</v>
      </c>
      <c r="L83" s="172">
        <f t="shared" si="9"/>
        <v>7868182500.9115448</v>
      </c>
      <c r="M83" s="172">
        <f t="shared" si="10"/>
        <v>2572575.1676980257</v>
      </c>
      <c r="N83" s="172">
        <f t="shared" si="8"/>
        <v>6618142993456.5254</v>
      </c>
      <c r="O83" s="11"/>
      <c r="P83" s="147"/>
    </row>
    <row r="84" spans="1:17" x14ac:dyDescent="0.2">
      <c r="A84" s="160">
        <v>44135</v>
      </c>
      <c r="B84" s="161">
        <f>Inputs!D105</f>
        <v>27410041.627921898</v>
      </c>
      <c r="C84" s="161">
        <v>252.50000000000006</v>
      </c>
      <c r="D84" s="161">
        <v>0</v>
      </c>
      <c r="E84" s="161">
        <v>31</v>
      </c>
      <c r="F84" s="162">
        <v>1</v>
      </c>
      <c r="G84" s="161">
        <f>Inputs!G105+Inputs!I105+Inputs!L105+Inputs!X105</f>
        <v>23961</v>
      </c>
      <c r="H84" s="161">
        <f>$Q$18+$Q$19*C84+$Q$20*D84+$Q$21*E84+$Q$22*F84+$Q$23*G84</f>
        <v>28941700.723709151</v>
      </c>
      <c r="I84" s="9">
        <f>H84-B84</f>
        <v>1531659.0957872532</v>
      </c>
      <c r="J84" s="171">
        <f>I84/B84</f>
        <v>5.5879488129890027E-2</v>
      </c>
      <c r="K84" s="171">
        <f t="shared" si="7"/>
        <v>5.5879488129890027E-2</v>
      </c>
      <c r="L84" s="172">
        <f t="shared" si="9"/>
        <v>2345979585707.8262</v>
      </c>
      <c r="M84" s="172">
        <f t="shared" si="10"/>
        <v>1620361.871960897</v>
      </c>
      <c r="N84" s="172">
        <f t="shared" si="8"/>
        <v>2625572596104.6226</v>
      </c>
      <c r="O84" s="11"/>
      <c r="P84" s="147"/>
    </row>
    <row r="85" spans="1:17" x14ac:dyDescent="0.2">
      <c r="A85" s="160">
        <v>44165</v>
      </c>
      <c r="B85" s="161">
        <f>Inputs!D106</f>
        <v>28047137.9106231</v>
      </c>
      <c r="C85" s="161">
        <v>329.20000000000005</v>
      </c>
      <c r="D85" s="161">
        <v>0</v>
      </c>
      <c r="E85" s="161">
        <v>30</v>
      </c>
      <c r="F85" s="162">
        <v>1</v>
      </c>
      <c r="G85" s="161">
        <f>Inputs!G106+Inputs!I106+Inputs!L106+Inputs!X106</f>
        <v>23995</v>
      </c>
      <c r="H85" s="161">
        <f>$Q$18+$Q$19*C85+$Q$20*D85+$Q$21*E85+$Q$22*F85+$Q$23*G85</f>
        <v>28474507.530691698</v>
      </c>
      <c r="I85" s="9">
        <f>H85-B85</f>
        <v>427369.62006859854</v>
      </c>
      <c r="J85" s="171">
        <f>I85/B85</f>
        <v>1.5237548352722598E-2</v>
      </c>
      <c r="K85" s="171">
        <f t="shared" si="7"/>
        <v>1.5237548352722598E-2</v>
      </c>
      <c r="L85" s="172">
        <f t="shared" si="9"/>
        <v>182644792157.57828</v>
      </c>
      <c r="M85" s="172">
        <f t="shared" si="10"/>
        <v>-1104289.4757186547</v>
      </c>
      <c r="N85" s="172">
        <f t="shared" si="8"/>
        <v>1219455246182.9812</v>
      </c>
      <c r="O85" s="11"/>
      <c r="P85" s="147"/>
    </row>
    <row r="86" spans="1:17" x14ac:dyDescent="0.2">
      <c r="A86" s="160">
        <v>44196</v>
      </c>
      <c r="B86" s="161">
        <f>Inputs!D107</f>
        <v>32403661.342188701</v>
      </c>
      <c r="C86" s="161">
        <v>540.4</v>
      </c>
      <c r="D86" s="161">
        <v>0</v>
      </c>
      <c r="E86" s="161">
        <v>31</v>
      </c>
      <c r="F86" s="162">
        <v>1</v>
      </c>
      <c r="G86" s="161">
        <f>Inputs!G107+Inputs!I107+Inputs!L107+Inputs!X107</f>
        <v>24054</v>
      </c>
      <c r="H86" s="161">
        <f>$Q$18+$Q$19*C86+$Q$20*D86+$Q$21*E86+$Q$22*F86+$Q$23*G86</f>
        <v>31978474.442286711</v>
      </c>
      <c r="I86" s="9">
        <f>H86-B86</f>
        <v>-425186.89990198985</v>
      </c>
      <c r="J86" s="171">
        <f>I86/B86</f>
        <v>-1.3121569671153422E-2</v>
      </c>
      <c r="K86" s="171">
        <f t="shared" si="7"/>
        <v>1.3121569671153422E-2</v>
      </c>
      <c r="L86" s="172">
        <f t="shared" si="9"/>
        <v>180783899848.26474</v>
      </c>
      <c r="M86" s="172">
        <f t="shared" si="10"/>
        <v>-852556.51997058839</v>
      </c>
      <c r="N86" s="172">
        <f t="shared" si="8"/>
        <v>726852619744.36023</v>
      </c>
      <c r="O86" s="11"/>
      <c r="P86" s="147"/>
    </row>
    <row r="87" spans="1:17" x14ac:dyDescent="0.2">
      <c r="A87" s="160">
        <v>44227</v>
      </c>
      <c r="B87" s="161">
        <f>Inputs!D108</f>
        <v>32846157.776278503</v>
      </c>
      <c r="C87" s="161">
        <v>626.70000000000005</v>
      </c>
      <c r="D87" s="161">
        <v>0</v>
      </c>
      <c r="E87" s="161">
        <v>31</v>
      </c>
      <c r="F87" s="162">
        <v>0</v>
      </c>
      <c r="G87" s="161">
        <f>Inputs!G108+Inputs!I108+Inputs!L108+Inputs!X108</f>
        <v>24074</v>
      </c>
      <c r="H87" s="161">
        <f>$Q$18+$Q$19*C87+$Q$20*D87+$Q$21*E87+$Q$22*F87+$Q$23*G87</f>
        <v>35279073.986207917</v>
      </c>
      <c r="I87" s="9">
        <f>H87-B87</f>
        <v>2432916.2099294141</v>
      </c>
      <c r="J87" s="171">
        <f>I87/B87</f>
        <v>7.4070039683194436E-2</v>
      </c>
      <c r="K87" s="171">
        <f t="shared" si="7"/>
        <v>7.4070039683194436E-2</v>
      </c>
      <c r="L87" s="172">
        <f t="shared" si="9"/>
        <v>5919081284537.3047</v>
      </c>
      <c r="M87" s="172">
        <f t="shared" si="10"/>
        <v>2858103.1098314039</v>
      </c>
      <c r="N87" s="172">
        <f t="shared" si="8"/>
        <v>8168753386427.9424</v>
      </c>
      <c r="O87" s="11"/>
      <c r="P87" s="147"/>
    </row>
    <row r="88" spans="1:17" x14ac:dyDescent="0.2">
      <c r="A88" s="160">
        <v>44255</v>
      </c>
      <c r="B88" s="161">
        <f>Inputs!D109</f>
        <v>30819473.817396801</v>
      </c>
      <c r="C88" s="161">
        <v>667.10000000000014</v>
      </c>
      <c r="D88" s="161">
        <v>0</v>
      </c>
      <c r="E88" s="161">
        <v>28</v>
      </c>
      <c r="F88" s="162">
        <v>0</v>
      </c>
      <c r="G88" s="161">
        <f>Inputs!G109+Inputs!I109+Inputs!L109+Inputs!X109</f>
        <v>24154</v>
      </c>
      <c r="H88" s="161">
        <f>$Q$18+$Q$19*C88+$Q$20*D88+$Q$21*E88+$Q$22*F88+$Q$23*G88</f>
        <v>31898168.055979393</v>
      </c>
      <c r="I88" s="9">
        <f>H88-B88</f>
        <v>1078694.2385825925</v>
      </c>
      <c r="J88" s="171">
        <f>I88/B88</f>
        <v>3.5000410616150668E-2</v>
      </c>
      <c r="K88" s="171">
        <f t="shared" si="7"/>
        <v>3.5000410616150668E-2</v>
      </c>
      <c r="L88" s="172">
        <f t="shared" si="9"/>
        <v>1163581260351.2788</v>
      </c>
      <c r="M88" s="172">
        <f t="shared" si="10"/>
        <v>-1354221.9713468216</v>
      </c>
      <c r="N88" s="172">
        <f t="shared" si="8"/>
        <v>1833917147678.4717</v>
      </c>
      <c r="O88" s="11"/>
      <c r="P88" s="147"/>
    </row>
    <row r="89" spans="1:17" x14ac:dyDescent="0.2">
      <c r="A89" s="160">
        <v>44286</v>
      </c>
      <c r="B89" s="161">
        <f>Inputs!D110</f>
        <v>30429325.708896</v>
      </c>
      <c r="C89" s="161">
        <v>450.80000000000007</v>
      </c>
      <c r="D89" s="161">
        <v>0</v>
      </c>
      <c r="E89" s="161">
        <v>31</v>
      </c>
      <c r="F89" s="162">
        <v>1</v>
      </c>
      <c r="G89" s="161">
        <f>Inputs!G110+Inputs!I110+Inputs!L110+Inputs!X110</f>
        <v>24237</v>
      </c>
      <c r="H89" s="161">
        <f>$Q$18+$Q$19*C89+$Q$20*D89+$Q$21*E89+$Q$22*F89+$Q$23*G89</f>
        <v>31150097.649365529</v>
      </c>
      <c r="I89" s="9">
        <f>H89-B89</f>
        <v>720771.94046952948</v>
      </c>
      <c r="J89" s="171">
        <f>I89/B89</f>
        <v>2.3686753606203377E-2</v>
      </c>
      <c r="K89" s="171">
        <f t="shared" si="7"/>
        <v>2.3686753606203377E-2</v>
      </c>
      <c r="L89" s="172">
        <f t="shared" si="9"/>
        <v>519512190168.21094</v>
      </c>
      <c r="M89" s="172">
        <f t="shared" si="10"/>
        <v>-357922.29811306298</v>
      </c>
      <c r="N89" s="172">
        <f t="shared" si="8"/>
        <v>128108371486.53633</v>
      </c>
      <c r="O89" s="11"/>
      <c r="P89" s="147"/>
    </row>
    <row r="90" spans="1:17" x14ac:dyDescent="0.2">
      <c r="A90" s="160">
        <v>44316</v>
      </c>
      <c r="B90" s="161">
        <f>Inputs!D111</f>
        <v>26763134.5519844</v>
      </c>
      <c r="C90" s="161">
        <v>307</v>
      </c>
      <c r="D90" s="161">
        <v>0</v>
      </c>
      <c r="E90" s="161">
        <v>30</v>
      </c>
      <c r="F90" s="162">
        <v>1</v>
      </c>
      <c r="G90" s="161">
        <f>Inputs!G111+Inputs!I111+Inputs!L111+Inputs!X111</f>
        <v>24275</v>
      </c>
      <c r="H90" s="161">
        <f>$Q$18+$Q$19*C90+$Q$20*D90+$Q$21*E90+$Q$22*F90+$Q$23*G90</f>
        <v>28398497.884190276</v>
      </c>
      <c r="I90" s="9">
        <f>H90-B90</f>
        <v>1635363.3322058767</v>
      </c>
      <c r="J90" s="171">
        <f>I90/B90</f>
        <v>6.1105074558040505E-2</v>
      </c>
      <c r="K90" s="171">
        <f t="shared" si="7"/>
        <v>6.1105074558040505E-2</v>
      </c>
      <c r="L90" s="172">
        <f t="shared" si="9"/>
        <v>2674413228323.5088</v>
      </c>
      <c r="M90" s="172">
        <f t="shared" si="10"/>
        <v>914591.39173634723</v>
      </c>
      <c r="N90" s="172">
        <f t="shared" si="8"/>
        <v>836477413838.22852</v>
      </c>
      <c r="O90" s="11"/>
      <c r="P90" s="147"/>
    </row>
    <row r="91" spans="1:17" x14ac:dyDescent="0.2">
      <c r="A91" s="160">
        <v>44347</v>
      </c>
      <c r="B91" s="161">
        <f>Inputs!D112</f>
        <v>28296552.692327201</v>
      </c>
      <c r="C91" s="161">
        <v>185.10000000000005</v>
      </c>
      <c r="D91" s="161">
        <v>16.5</v>
      </c>
      <c r="E91" s="161">
        <v>31</v>
      </c>
      <c r="F91" s="162">
        <v>1</v>
      </c>
      <c r="G91" s="161">
        <f>Inputs!G112+Inputs!I112+Inputs!L112+Inputs!X112</f>
        <v>24299</v>
      </c>
      <c r="H91" s="161">
        <f>$Q$18+$Q$19*C91+$Q$20*D91+$Q$21*E91+$Q$22*F91+$Q$23*G91</f>
        <v>29950196.937748939</v>
      </c>
      <c r="I91" s="9">
        <f>H91-B91</f>
        <v>1653644.2454217374</v>
      </c>
      <c r="J91" s="171">
        <f>I91/B91</f>
        <v>5.8439777572980967E-2</v>
      </c>
      <c r="K91" s="171">
        <f t="shared" si="7"/>
        <v>5.8439777572980967E-2</v>
      </c>
      <c r="L91" s="172">
        <f t="shared" si="9"/>
        <v>2734539290416.4272</v>
      </c>
      <c r="M91" s="172">
        <f t="shared" si="10"/>
        <v>18280.913215860724</v>
      </c>
      <c r="N91" s="172">
        <f t="shared" si="8"/>
        <v>334191788.0058313</v>
      </c>
      <c r="O91" s="11"/>
      <c r="P91" s="147"/>
    </row>
    <row r="92" spans="1:17" x14ac:dyDescent="0.2">
      <c r="A92" s="160">
        <v>44377</v>
      </c>
      <c r="B92" s="161">
        <f>Inputs!D113</f>
        <v>34399006.535900503</v>
      </c>
      <c r="C92" s="161">
        <v>18</v>
      </c>
      <c r="D92" s="161">
        <v>84.800000000000011</v>
      </c>
      <c r="E92" s="161">
        <v>30</v>
      </c>
      <c r="F92" s="162">
        <v>0</v>
      </c>
      <c r="G92" s="161">
        <f>Inputs!G113+Inputs!I113+Inputs!L113+Inputs!X113</f>
        <v>24365</v>
      </c>
      <c r="H92" s="161">
        <f>$Q$18+$Q$19*C92+$Q$20*D92+$Q$21*E92+$Q$22*F92+$Q$23*G92</f>
        <v>35664265.51143913</v>
      </c>
      <c r="I92" s="9">
        <f>H92-B92</f>
        <v>1265258.9755386263</v>
      </c>
      <c r="J92" s="171">
        <f>I92/B92</f>
        <v>3.6781846423911677E-2</v>
      </c>
      <c r="K92" s="171">
        <f t="shared" si="7"/>
        <v>3.6781846423911677E-2</v>
      </c>
      <c r="L92" s="172">
        <f t="shared" si="9"/>
        <v>1600880275181.0542</v>
      </c>
      <c r="M92" s="172">
        <f t="shared" si="10"/>
        <v>-388385.26988311112</v>
      </c>
      <c r="N92" s="172">
        <f t="shared" si="8"/>
        <v>150843117862.17706</v>
      </c>
      <c r="O92" s="11"/>
      <c r="P92" s="147"/>
      <c r="Q92"/>
    </row>
    <row r="93" spans="1:17" x14ac:dyDescent="0.2">
      <c r="A93" s="160">
        <v>44408</v>
      </c>
      <c r="B93" s="161">
        <f>Inputs!D114</f>
        <v>36416581.592046797</v>
      </c>
      <c r="C93" s="161">
        <v>6.6000000000000005</v>
      </c>
      <c r="D93" s="161">
        <v>71</v>
      </c>
      <c r="E93" s="161">
        <v>31</v>
      </c>
      <c r="F93" s="162">
        <v>0</v>
      </c>
      <c r="G93" s="161">
        <f>Inputs!G114+Inputs!I114+Inputs!L114+Inputs!X114</f>
        <v>24389</v>
      </c>
      <c r="H93" s="161">
        <f>$Q$18+$Q$19*C93+$Q$20*D93+$Q$21*E93+$Q$22*F93+$Q$23*G93</f>
        <v>35568216.461942814</v>
      </c>
      <c r="I93" s="9">
        <f>H93-B93</f>
        <v>-848365.13010398299</v>
      </c>
      <c r="J93" s="171">
        <f>I93/B93</f>
        <v>-2.3296122068998969E-2</v>
      </c>
      <c r="K93" s="171">
        <f t="shared" si="7"/>
        <v>2.3296122068998969E-2</v>
      </c>
      <c r="L93" s="172">
        <f t="shared" si="9"/>
        <v>719723393976.34802</v>
      </c>
      <c r="M93" s="172">
        <f t="shared" si="10"/>
        <v>-2113624.1056426093</v>
      </c>
      <c r="N93" s="172">
        <f t="shared" si="8"/>
        <v>4467406859953.5205</v>
      </c>
      <c r="O93" s="11"/>
      <c r="P93" s="147"/>
      <c r="Q93"/>
    </row>
    <row r="94" spans="1:17" x14ac:dyDescent="0.2">
      <c r="A94" s="160">
        <v>44439</v>
      </c>
      <c r="B94" s="161">
        <f>Inputs!D115</f>
        <v>41970614.616817705</v>
      </c>
      <c r="C94" s="161">
        <v>1.8</v>
      </c>
      <c r="D94" s="161">
        <v>137.00000000000003</v>
      </c>
      <c r="E94" s="161">
        <v>31</v>
      </c>
      <c r="F94" s="162">
        <v>0</v>
      </c>
      <c r="G94" s="161">
        <f>Inputs!G115+Inputs!I115+Inputs!L115+Inputs!X115</f>
        <v>24447</v>
      </c>
      <c r="H94" s="161">
        <f>$Q$18+$Q$19*C94+$Q$20*D94+$Q$21*E94+$Q$22*F94+$Q$23*G94</f>
        <v>41635550.955395967</v>
      </c>
      <c r="I94" s="9">
        <f>H94-B94</f>
        <v>-335063.66142173856</v>
      </c>
      <c r="J94" s="171">
        <f>I94/B94</f>
        <v>-7.9832917502112993E-3</v>
      </c>
      <c r="K94" s="171">
        <f t="shared" si="7"/>
        <v>7.9832917502112993E-3</v>
      </c>
      <c r="L94" s="172">
        <f t="shared" si="9"/>
        <v>112267657205.34146</v>
      </c>
      <c r="M94" s="172">
        <f t="shared" si="10"/>
        <v>513301.46868224442</v>
      </c>
      <c r="N94" s="172">
        <f t="shared" si="8"/>
        <v>263478397751.34915</v>
      </c>
      <c r="O94" s="11"/>
      <c r="P94" s="147"/>
      <c r="Q94"/>
    </row>
    <row r="95" spans="1:17" x14ac:dyDescent="0.2">
      <c r="A95" s="160">
        <v>44469</v>
      </c>
      <c r="B95" s="161">
        <f>Inputs!D116</f>
        <v>30974506.587737001</v>
      </c>
      <c r="C95" s="161">
        <v>39.6</v>
      </c>
      <c r="D95" s="161">
        <v>18.399999999999999</v>
      </c>
      <c r="E95" s="161">
        <v>30</v>
      </c>
      <c r="F95" s="162">
        <v>0</v>
      </c>
      <c r="G95" s="161">
        <f>Inputs!G116+Inputs!I116+Inputs!L116+Inputs!X116</f>
        <v>24480</v>
      </c>
      <c r="H95" s="161">
        <f>$Q$18+$Q$19*C95+$Q$20*D95+$Q$21*E95+$Q$22*F95+$Q$23*G95</f>
        <v>29829546.866489124</v>
      </c>
      <c r="I95" s="9">
        <f>H95-B95</f>
        <v>-1144959.7212478779</v>
      </c>
      <c r="J95" s="171">
        <f>I95/B95</f>
        <v>-3.6964583051701444E-2</v>
      </c>
      <c r="K95" s="171">
        <f t="shared" si="7"/>
        <v>3.6964583051701444E-2</v>
      </c>
      <c r="L95" s="172">
        <f t="shared" si="9"/>
        <v>1310932763280.0183</v>
      </c>
      <c r="M95" s="172">
        <f t="shared" si="10"/>
        <v>-809896.05982613936</v>
      </c>
      <c r="N95" s="172">
        <f t="shared" si="8"/>
        <v>655931627721.90552</v>
      </c>
      <c r="O95" s="11"/>
      <c r="P95" s="147"/>
      <c r="Q95"/>
    </row>
    <row r="96" spans="1:17" x14ac:dyDescent="0.2">
      <c r="A96" s="160">
        <v>44500</v>
      </c>
      <c r="B96" s="161">
        <f>Inputs!D117</f>
        <v>28889124.189985599</v>
      </c>
      <c r="C96" s="161">
        <v>142.30000000000001</v>
      </c>
      <c r="D96" s="161">
        <v>10.5</v>
      </c>
      <c r="E96" s="161">
        <v>31</v>
      </c>
      <c r="F96" s="162">
        <v>1</v>
      </c>
      <c r="G96" s="161">
        <f>Inputs!G117+Inputs!I117+Inputs!L117+Inputs!X117</f>
        <v>24539</v>
      </c>
      <c r="H96" s="161">
        <f>$Q$18+$Q$19*C96+$Q$20*D96+$Q$21*E96+$Q$22*F96+$Q$23*G96</f>
        <v>29085336.345962822</v>
      </c>
      <c r="I96" s="9">
        <f>H96-B96</f>
        <v>196212.15597722307</v>
      </c>
      <c r="J96" s="171">
        <f>I96/B96</f>
        <v>6.7919039250501027E-3</v>
      </c>
      <c r="K96" s="171">
        <f t="shared" si="7"/>
        <v>6.7919039250501027E-3</v>
      </c>
      <c r="L96" s="172">
        <f t="shared" si="9"/>
        <v>38499210153.230118</v>
      </c>
      <c r="M96" s="172">
        <f t="shared" si="10"/>
        <v>1341171.877225101</v>
      </c>
      <c r="N96" s="172">
        <f t="shared" si="8"/>
        <v>1798742004259.5015</v>
      </c>
      <c r="O96" s="11"/>
      <c r="P96" s="147"/>
      <c r="Q96"/>
    </row>
    <row r="97" spans="1:17" x14ac:dyDescent="0.2">
      <c r="A97" s="160">
        <v>44530</v>
      </c>
      <c r="B97" s="161">
        <f>Inputs!D118</f>
        <v>29524971.059174798</v>
      </c>
      <c r="C97" s="161">
        <v>418.6</v>
      </c>
      <c r="D97" s="161">
        <v>0</v>
      </c>
      <c r="E97" s="161">
        <v>30</v>
      </c>
      <c r="F97" s="162">
        <v>1</v>
      </c>
      <c r="G97" s="161">
        <f>Inputs!G118+Inputs!I118+Inputs!L118+Inputs!X118</f>
        <v>24577</v>
      </c>
      <c r="H97" s="161">
        <f>$Q$18+$Q$19*C97+$Q$20*D97+$Q$21*E97+$Q$22*F97+$Q$23*G97</f>
        <v>29722125.370967302</v>
      </c>
      <c r="I97" s="9">
        <f>H97-B97</f>
        <v>197154.31179250404</v>
      </c>
      <c r="J97" s="171">
        <f>I97/B97</f>
        <v>6.6775446247639564E-3</v>
      </c>
      <c r="K97" s="171">
        <f t="shared" si="7"/>
        <v>6.6775446247639564E-3</v>
      </c>
      <c r="L97" s="172">
        <f t="shared" si="9"/>
        <v>38869822658.3759</v>
      </c>
      <c r="M97" s="172">
        <f t="shared" si="10"/>
        <v>942.15581528097391</v>
      </c>
      <c r="N97" s="172">
        <f t="shared" si="8"/>
        <v>887657.5802677566</v>
      </c>
      <c r="O97" s="11"/>
      <c r="P97" s="147"/>
      <c r="Q97"/>
    </row>
    <row r="98" spans="1:17" x14ac:dyDescent="0.2">
      <c r="A98" s="160">
        <v>44561</v>
      </c>
      <c r="B98" s="161">
        <f>Inputs!D119</f>
        <v>32565823.594668198</v>
      </c>
      <c r="C98" s="161">
        <v>489.69999999999987</v>
      </c>
      <c r="D98" s="161">
        <v>0</v>
      </c>
      <c r="E98" s="161">
        <v>31</v>
      </c>
      <c r="F98" s="162">
        <v>1</v>
      </c>
      <c r="G98" s="161">
        <f>Inputs!G119+Inputs!I119+Inputs!L119+Inputs!X119</f>
        <v>24627</v>
      </c>
      <c r="H98" s="161">
        <f>$Q$18+$Q$19*C98+$Q$20*D98+$Q$21*E98+$Q$22*F98+$Q$23*G98</f>
        <v>31768283.051008962</v>
      </c>
      <c r="I98" s="9">
        <f>H98-B98</f>
        <v>-797540.54365923628</v>
      </c>
      <c r="J98" s="171">
        <f>I98/B98</f>
        <v>-2.4490108206254999E-2</v>
      </c>
      <c r="K98" s="171">
        <f t="shared" si="7"/>
        <v>2.4490108206254999E-2</v>
      </c>
      <c r="L98" s="172">
        <f t="shared" si="9"/>
        <v>636070918780.27014</v>
      </c>
      <c r="M98" s="172">
        <f t="shared" si="10"/>
        <v>-994694.85545174032</v>
      </c>
      <c r="N98" s="172">
        <f t="shared" si="8"/>
        <v>989417855462.15857</v>
      </c>
      <c r="O98" s="11"/>
      <c r="P98" s="147"/>
      <c r="Q98"/>
    </row>
    <row r="99" spans="1:17" x14ac:dyDescent="0.2">
      <c r="A99" s="160">
        <v>44592</v>
      </c>
      <c r="B99" s="161">
        <f>Inputs!D120</f>
        <v>35465006.471801899</v>
      </c>
      <c r="C99" s="163">
        <v>792.89999999999964</v>
      </c>
      <c r="D99" s="163">
        <v>0</v>
      </c>
      <c r="E99" s="161">
        <v>31</v>
      </c>
      <c r="F99" s="162">
        <v>0</v>
      </c>
      <c r="G99" s="161">
        <f>Inputs!G120+Inputs!I120+Inputs!L120+Inputs!X120</f>
        <v>24639</v>
      </c>
      <c r="H99" s="161">
        <f>$Q$18+$Q$19*C99+$Q$20*D99+$Q$21*E99+$Q$22*F99+$Q$23*G99</f>
        <v>37313753.812038615</v>
      </c>
      <c r="I99" s="9">
        <f>H99-B99</f>
        <v>1848747.340236716</v>
      </c>
      <c r="J99" s="171">
        <f>I99/B99</f>
        <v>5.2128774929356025E-2</v>
      </c>
      <c r="K99" s="171">
        <f t="shared" si="7"/>
        <v>5.2128774929356025E-2</v>
      </c>
      <c r="L99" s="172">
        <f t="shared" si="9"/>
        <v>3417866728032.3315</v>
      </c>
      <c r="M99" s="172">
        <f t="shared" si="10"/>
        <v>2646287.8838959523</v>
      </c>
      <c r="N99" s="172">
        <f t="shared" si="8"/>
        <v>7002839564454.5166</v>
      </c>
      <c r="O99" s="11"/>
      <c r="P99" s="147"/>
      <c r="Q99"/>
    </row>
    <row r="100" spans="1:17" x14ac:dyDescent="0.2">
      <c r="A100" s="160">
        <v>44620</v>
      </c>
      <c r="B100" s="161">
        <f>Inputs!D121</f>
        <v>31523310.542636499</v>
      </c>
      <c r="C100" s="163">
        <v>617.19999999999993</v>
      </c>
      <c r="D100" s="163">
        <v>0</v>
      </c>
      <c r="E100" s="161">
        <v>28</v>
      </c>
      <c r="F100" s="162">
        <v>0</v>
      </c>
      <c r="G100" s="161">
        <f>Inputs!G121+Inputs!I121+Inputs!L121+Inputs!X121</f>
        <v>24652</v>
      </c>
      <c r="H100" s="161">
        <f>$Q$18+$Q$19*C100+$Q$20*D100+$Q$21*E100+$Q$22*F100+$Q$23*G100</f>
        <v>31654967.354707178</v>
      </c>
      <c r="I100" s="9">
        <f>H100-B100</f>
        <v>131656.81207067892</v>
      </c>
      <c r="J100" s="171">
        <f>I100/B100</f>
        <v>4.176490660541759E-3</v>
      </c>
      <c r="K100" s="171">
        <f t="shared" si="7"/>
        <v>4.176490660541759E-3</v>
      </c>
      <c r="L100" s="172">
        <f t="shared" si="9"/>
        <v>17333516164.614067</v>
      </c>
      <c r="M100" s="172">
        <f t="shared" si="10"/>
        <v>-1717090.5281660371</v>
      </c>
      <c r="N100" s="172">
        <f t="shared" si="8"/>
        <v>2948399881917.52</v>
      </c>
      <c r="O100" s="11"/>
      <c r="P100" s="147"/>
      <c r="Q100"/>
    </row>
    <row r="101" spans="1:17" x14ac:dyDescent="0.2">
      <c r="A101" s="160">
        <v>44651</v>
      </c>
      <c r="B101" s="161">
        <f>Inputs!D122</f>
        <v>32353240.0566434</v>
      </c>
      <c r="C101" s="163">
        <v>498.9</v>
      </c>
      <c r="D101" s="163">
        <v>0</v>
      </c>
      <c r="E101" s="161">
        <v>31</v>
      </c>
      <c r="F101" s="162">
        <v>1</v>
      </c>
      <c r="G101" s="161">
        <f>Inputs!G122+Inputs!I122+Inputs!L122+Inputs!X122</f>
        <v>24687</v>
      </c>
      <c r="H101" s="161">
        <f>$Q$18+$Q$19*C101+$Q$20*D101+$Q$21*E101+$Q$22*F101+$Q$23*G101</f>
        <v>31896732.393532518</v>
      </c>
      <c r="I101" s="9">
        <f>H101-B101</f>
        <v>-456507.66311088204</v>
      </c>
      <c r="J101" s="171">
        <f>I101/B101</f>
        <v>-1.4110106509012316E-2</v>
      </c>
      <c r="K101" s="171">
        <f t="shared" si="7"/>
        <v>1.4110106509012316E-2</v>
      </c>
      <c r="L101" s="172">
        <f t="shared" si="9"/>
        <v>208399246478.95859</v>
      </c>
      <c r="M101" s="172">
        <f t="shared" si="10"/>
        <v>-588164.47518156096</v>
      </c>
      <c r="N101" s="172">
        <f t="shared" si="8"/>
        <v>345937449865.60101</v>
      </c>
      <c r="O101" s="11"/>
      <c r="P101" s="147"/>
      <c r="Q101"/>
    </row>
    <row r="102" spans="1:17" x14ac:dyDescent="0.2">
      <c r="A102" s="160">
        <v>44681</v>
      </c>
      <c r="B102" s="161">
        <f>Inputs!D123</f>
        <v>27915177.2162803</v>
      </c>
      <c r="C102" s="163">
        <v>336.8</v>
      </c>
      <c r="D102" s="163">
        <v>0</v>
      </c>
      <c r="E102" s="161">
        <v>30</v>
      </c>
      <c r="F102" s="162">
        <v>1</v>
      </c>
      <c r="G102" s="161">
        <f>Inputs!G123+Inputs!I123+Inputs!L123+Inputs!X123</f>
        <v>24739</v>
      </c>
      <c r="H102" s="161">
        <f>$Q$18+$Q$19*C102+$Q$20*D102+$Q$21*E102+$Q$22*F102+$Q$23*G102</f>
        <v>28963069.933945216</v>
      </c>
      <c r="I102" s="9">
        <f>H102-B102</f>
        <v>1047892.7176649161</v>
      </c>
      <c r="J102" s="171">
        <f>I102/B102</f>
        <v>3.7538458364282878E-2</v>
      </c>
      <c r="K102" s="171">
        <f t="shared" si="7"/>
        <v>3.7538458364282878E-2</v>
      </c>
      <c r="L102" s="172">
        <f t="shared" si="9"/>
        <v>1098079147735.1635</v>
      </c>
      <c r="M102" s="172">
        <f t="shared" si="10"/>
        <v>1504400.3807757981</v>
      </c>
      <c r="N102" s="172">
        <f t="shared" si="8"/>
        <v>2263220505678.3662</v>
      </c>
      <c r="O102" s="11"/>
      <c r="P102" s="147"/>
      <c r="Q102"/>
    </row>
    <row r="103" spans="1:17" x14ac:dyDescent="0.2">
      <c r="A103" s="160">
        <v>44712</v>
      </c>
      <c r="B103" s="161">
        <f>Inputs!D124</f>
        <v>29942359.493953399</v>
      </c>
      <c r="C103" s="163">
        <v>112.50000000000001</v>
      </c>
      <c r="D103" s="163">
        <v>24.3</v>
      </c>
      <c r="E103" s="161">
        <v>31</v>
      </c>
      <c r="F103" s="162">
        <v>1</v>
      </c>
      <c r="G103" s="161">
        <f>Inputs!G124+Inputs!I124+Inputs!L124+Inputs!X124</f>
        <v>24766</v>
      </c>
      <c r="H103" s="161">
        <f>$Q$18+$Q$19*C103+$Q$20*D103+$Q$21*E103+$Q$22*F103+$Q$23*G103</f>
        <v>30173678.053356797</v>
      </c>
      <c r="I103" s="9">
        <f>H103-B103</f>
        <v>231318.55940339714</v>
      </c>
      <c r="J103" s="171">
        <f>I103/B103</f>
        <v>7.7254619646828409E-3</v>
      </c>
      <c r="K103" s="171">
        <f t="shared" si="7"/>
        <v>7.7254619646828409E-3</v>
      </c>
      <c r="L103" s="172">
        <f t="shared" si="9"/>
        <v>53508275924.462975</v>
      </c>
      <c r="M103" s="172">
        <f t="shared" si="10"/>
        <v>-816574.15826151893</v>
      </c>
      <c r="N103" s="172">
        <f t="shared" si="8"/>
        <v>666793355940.50818</v>
      </c>
      <c r="O103" s="11"/>
      <c r="P103" s="147"/>
      <c r="Q103"/>
    </row>
    <row r="104" spans="1:17" x14ac:dyDescent="0.2">
      <c r="A104" s="160">
        <v>44742</v>
      </c>
      <c r="B104" s="161">
        <f>Inputs!D125</f>
        <v>32984458.022498798</v>
      </c>
      <c r="C104" s="163">
        <v>29.599999999999998</v>
      </c>
      <c r="D104" s="163">
        <v>47.199999999999996</v>
      </c>
      <c r="E104" s="161">
        <v>30</v>
      </c>
      <c r="F104" s="162">
        <v>0</v>
      </c>
      <c r="G104" s="161">
        <f>Inputs!G125+Inputs!I125+Inputs!L125+Inputs!X125</f>
        <v>24790</v>
      </c>
      <c r="H104" s="161">
        <f>$Q$18+$Q$19*C104+$Q$20*D104+$Q$21*E104+$Q$22*F104+$Q$23*G104</f>
        <v>32551920.853921771</v>
      </c>
      <c r="I104" s="9">
        <f>H104-B104</f>
        <v>-432537.16857702658</v>
      </c>
      <c r="J104" s="171">
        <f>I104/B104</f>
        <v>-1.3113362914194062E-2</v>
      </c>
      <c r="K104" s="171">
        <f t="shared" si="7"/>
        <v>1.3113362914194062E-2</v>
      </c>
      <c r="L104" s="172">
        <f t="shared" si="9"/>
        <v>187088402200.6311</v>
      </c>
      <c r="M104" s="172">
        <f t="shared" si="10"/>
        <v>-663855.72798042372</v>
      </c>
      <c r="N104" s="172">
        <f t="shared" si="8"/>
        <v>440704427572.41833</v>
      </c>
      <c r="O104" s="11"/>
      <c r="P104" s="147"/>
      <c r="Q104"/>
    </row>
    <row r="105" spans="1:17" x14ac:dyDescent="0.2">
      <c r="A105" s="160">
        <v>44773</v>
      </c>
      <c r="B105" s="161">
        <f>Inputs!D126</f>
        <v>39133029.9268599</v>
      </c>
      <c r="C105" s="163">
        <v>0.5</v>
      </c>
      <c r="D105" s="163">
        <v>101.89999999999999</v>
      </c>
      <c r="E105" s="161">
        <v>31</v>
      </c>
      <c r="F105" s="162">
        <v>0</v>
      </c>
      <c r="G105" s="161">
        <f>Inputs!G126+Inputs!I126+Inputs!L126+Inputs!X126</f>
        <v>24818</v>
      </c>
      <c r="H105" s="161">
        <f>$Q$18+$Q$19*C105+$Q$20*D105+$Q$21*E105+$Q$22*F105+$Q$23*G105</f>
        <v>38590190.770618156</v>
      </c>
      <c r="I105" s="9">
        <f>H105-B105</f>
        <v>-542839.15624174476</v>
      </c>
      <c r="J105" s="171">
        <f>I105/B105</f>
        <v>-1.3871636243253273E-2</v>
      </c>
      <c r="K105" s="171">
        <f t="shared" si="7"/>
        <v>1.3871636243253273E-2</v>
      </c>
      <c r="L105" s="172">
        <f t="shared" si="9"/>
        <v>294674349549.24939</v>
      </c>
      <c r="M105" s="172">
        <f t="shared" si="10"/>
        <v>-110301.98766471818</v>
      </c>
      <c r="N105" s="172">
        <f t="shared" si="8"/>
        <v>12166528482.787642</v>
      </c>
      <c r="O105" s="11"/>
      <c r="P105" s="147"/>
      <c r="Q105"/>
    </row>
    <row r="106" spans="1:17" x14ac:dyDescent="0.2">
      <c r="A106" s="160">
        <v>44804</v>
      </c>
      <c r="B106" s="161">
        <f>Inputs!D127</f>
        <v>39821521.175825201</v>
      </c>
      <c r="C106" s="163">
        <v>0.2</v>
      </c>
      <c r="D106" s="163">
        <v>103.60000000000001</v>
      </c>
      <c r="E106" s="161">
        <v>31</v>
      </c>
      <c r="F106" s="162">
        <v>0</v>
      </c>
      <c r="G106" s="161">
        <f>Inputs!G127+Inputs!I127+Inputs!L127+Inputs!X127</f>
        <v>24861</v>
      </c>
      <c r="H106" s="161">
        <f>$Q$18+$Q$19*C106+$Q$20*D106+$Q$21*E106+$Q$22*F106+$Q$23*G106</f>
        <v>38767500.679865912</v>
      </c>
      <c r="I106" s="9">
        <f>H106-B106</f>
        <v>-1054020.4959592894</v>
      </c>
      <c r="J106" s="171">
        <f>I106/B106</f>
        <v>-2.6468614579172902E-2</v>
      </c>
      <c r="K106" s="171">
        <f t="shared" si="7"/>
        <v>2.6468614579172902E-2</v>
      </c>
      <c r="L106" s="172">
        <f t="shared" si="9"/>
        <v>1110959205902.2664</v>
      </c>
      <c r="M106" s="172">
        <f t="shared" si="10"/>
        <v>-511181.33971754462</v>
      </c>
      <c r="N106" s="172">
        <f t="shared" si="8"/>
        <v>261306362075.42377</v>
      </c>
      <c r="O106" s="11"/>
      <c r="P106" s="147"/>
      <c r="Q106"/>
    </row>
    <row r="107" spans="1:17" x14ac:dyDescent="0.2">
      <c r="A107" s="160">
        <v>44834</v>
      </c>
      <c r="B107" s="161">
        <f>Inputs!D128</f>
        <v>31429525.786972698</v>
      </c>
      <c r="C107" s="163">
        <v>66.000000000000014</v>
      </c>
      <c r="D107" s="163">
        <v>25.3</v>
      </c>
      <c r="E107" s="161">
        <v>30</v>
      </c>
      <c r="F107" s="162">
        <v>0</v>
      </c>
      <c r="G107" s="161">
        <f>Inputs!G128+Inputs!I128+Inputs!L128+Inputs!X128</f>
        <v>24901</v>
      </c>
      <c r="H107" s="161">
        <f>$Q$18+$Q$19*C107+$Q$20*D107+$Q$21*E107+$Q$22*F107+$Q$23*G107</f>
        <v>30971355.449909057</v>
      </c>
      <c r="I107" s="9">
        <f>H107-B107</f>
        <v>-458170.33706364036</v>
      </c>
      <c r="J107" s="171">
        <f>I107/B107</f>
        <v>-1.4577704422557611E-2</v>
      </c>
      <c r="K107" s="171">
        <f t="shared" si="7"/>
        <v>1.4577704422557611E-2</v>
      </c>
      <c r="L107" s="172">
        <f t="shared" si="9"/>
        <v>209920057765.00983</v>
      </c>
      <c r="M107" s="172">
        <f t="shared" si="10"/>
        <v>595850.15889564902</v>
      </c>
      <c r="N107" s="172">
        <f t="shared" si="8"/>
        <v>355037411855.97015</v>
      </c>
      <c r="O107" s="11"/>
      <c r="P107" s="147"/>
      <c r="Q107"/>
    </row>
    <row r="108" spans="1:17" x14ac:dyDescent="0.2">
      <c r="A108" s="160">
        <v>44865</v>
      </c>
      <c r="B108" s="161">
        <f>Inputs!D129</f>
        <v>28375439.900397301</v>
      </c>
      <c r="C108" s="163">
        <v>260.39999999999998</v>
      </c>
      <c r="D108" s="163">
        <v>0</v>
      </c>
      <c r="E108" s="161">
        <v>31</v>
      </c>
      <c r="F108" s="162">
        <v>1</v>
      </c>
      <c r="G108" s="161">
        <f>Inputs!G129+Inputs!I129+Inputs!L129+Inputs!X129</f>
        <v>24980</v>
      </c>
      <c r="H108" s="161">
        <f>$Q$18+$Q$19*C108+$Q$20*D108+$Q$21*E108+$Q$22*F108+$Q$23*G108</f>
        <v>29584827.289927535</v>
      </c>
      <c r="I108" s="9">
        <f>H108-B108</f>
        <v>1209387.389530234</v>
      </c>
      <c r="J108" s="171">
        <f>I108/B108</f>
        <v>4.2620921253569734E-2</v>
      </c>
      <c r="K108" s="171">
        <f t="shared" si="7"/>
        <v>4.2620921253569734E-2</v>
      </c>
      <c r="L108" s="172">
        <f t="shared" si="9"/>
        <v>1462617857954.7542</v>
      </c>
      <c r="M108" s="172">
        <f t="shared" si="10"/>
        <v>1667557.7265938744</v>
      </c>
      <c r="N108" s="172">
        <f t="shared" si="8"/>
        <v>2780748771522.9307</v>
      </c>
      <c r="O108" s="11"/>
      <c r="P108" s="147"/>
      <c r="Q108"/>
    </row>
    <row r="109" spans="1:17" x14ac:dyDescent="0.2">
      <c r="A109" s="160">
        <v>44895</v>
      </c>
      <c r="B109" s="161">
        <f>Inputs!D130</f>
        <v>29798652.173497498</v>
      </c>
      <c r="C109" s="163">
        <v>378</v>
      </c>
      <c r="D109" s="163">
        <v>2.2999999999999998</v>
      </c>
      <c r="E109" s="161">
        <v>30</v>
      </c>
      <c r="F109" s="162">
        <v>1</v>
      </c>
      <c r="G109" s="161">
        <f>Inputs!G130+Inputs!I130+Inputs!L130+Inputs!X130</f>
        <v>25014</v>
      </c>
      <c r="H109" s="161">
        <f>$Q$18+$Q$19*C109+$Q$20*D109+$Q$21*E109+$Q$22*F109+$Q$23*G109</f>
        <v>29753830.537632607</v>
      </c>
      <c r="I109" s="9">
        <f>H109-B109</f>
        <v>-44821.635864891112</v>
      </c>
      <c r="J109" s="171">
        <f>I109/B109</f>
        <v>-1.5041497717388321E-3</v>
      </c>
      <c r="K109" s="171">
        <f t="shared" si="7"/>
        <v>1.5041497717388321E-3</v>
      </c>
      <c r="L109" s="172">
        <f t="shared" si="9"/>
        <v>2008979041.6048932</v>
      </c>
      <c r="M109" s="172">
        <f t="shared" si="10"/>
        <v>-1254209.0253951252</v>
      </c>
      <c r="N109" s="172">
        <f t="shared" si="8"/>
        <v>1573040279382.5896</v>
      </c>
      <c r="O109" s="11"/>
      <c r="P109" s="147"/>
      <c r="Q109"/>
    </row>
    <row r="110" spans="1:17" x14ac:dyDescent="0.2">
      <c r="A110" s="160">
        <v>44926</v>
      </c>
      <c r="B110" s="161">
        <f>Inputs!D131</f>
        <v>33870515.1064891</v>
      </c>
      <c r="C110" s="163">
        <v>550.09999999999991</v>
      </c>
      <c r="D110" s="163">
        <v>0</v>
      </c>
      <c r="E110" s="161">
        <v>31</v>
      </c>
      <c r="F110" s="162">
        <v>1</v>
      </c>
      <c r="G110" s="161">
        <f>Inputs!G131+Inputs!I131+Inputs!L131+Inputs!X131</f>
        <v>25063</v>
      </c>
      <c r="H110" s="161">
        <f>$Q$18+$Q$19*C110+$Q$20*D110+$Q$21*E110+$Q$22*F110+$Q$23*G110</f>
        <v>32634759.822192896</v>
      </c>
      <c r="I110" s="9">
        <f>H110-B110</f>
        <v>-1235755.2842962034</v>
      </c>
      <c r="J110" s="171">
        <f>I110/B110</f>
        <v>-3.6484691195601292E-2</v>
      </c>
      <c r="K110" s="171">
        <f t="shared" si="7"/>
        <v>3.6484691195601292E-2</v>
      </c>
      <c r="L110" s="172">
        <f t="shared" si="9"/>
        <v>1527091122665.9905</v>
      </c>
      <c r="M110" s="172">
        <f t="shared" si="10"/>
        <v>-1190933.6484313123</v>
      </c>
      <c r="N110" s="172">
        <f t="shared" si="8"/>
        <v>1418322954965.9165</v>
      </c>
      <c r="O110" s="11"/>
      <c r="P110" s="147"/>
      <c r="Q110"/>
    </row>
    <row r="111" spans="1:17" x14ac:dyDescent="0.2">
      <c r="A111" s="160">
        <v>44957</v>
      </c>
      <c r="B111" s="161">
        <f>Inputs!D132</f>
        <v>33991812.103445902</v>
      </c>
      <c r="C111" s="161">
        <v>566.30000000000007</v>
      </c>
      <c r="D111" s="161">
        <v>0</v>
      </c>
      <c r="E111" s="161">
        <v>31</v>
      </c>
      <c r="F111" s="162">
        <v>0</v>
      </c>
      <c r="G111" s="161">
        <f>Inputs!G132+Inputs!I132+Inputs!L132+Inputs!X132</f>
        <v>25081</v>
      </c>
      <c r="H111" s="161">
        <f>$Q$18+$Q$19*C111+$Q$20*D111+$Q$21*E111+$Q$22*F111+$Q$23*G111</f>
        <v>35207313.091408491</v>
      </c>
      <c r="I111" s="9">
        <f>H111-B111</f>
        <v>1215500.9879625887</v>
      </c>
      <c r="J111" s="171">
        <f>I111/B111</f>
        <v>3.575864047093176E-2</v>
      </c>
      <c r="K111" s="171">
        <f t="shared" si="7"/>
        <v>3.575864047093176E-2</v>
      </c>
      <c r="L111" s="172">
        <f t="shared" si="9"/>
        <v>1477442651738.0291</v>
      </c>
      <c r="M111" s="172">
        <f t="shared" si="10"/>
        <v>2451256.2722587921</v>
      </c>
      <c r="N111" s="172">
        <f t="shared" si="8"/>
        <v>6008657312288.0693</v>
      </c>
      <c r="O111" s="11"/>
      <c r="P111" s="147"/>
      <c r="Q111"/>
    </row>
    <row r="112" spans="1:17" x14ac:dyDescent="0.2">
      <c r="A112" s="160">
        <v>44985</v>
      </c>
      <c r="B112" s="161">
        <f>Inputs!D133</f>
        <v>30665858.379131198</v>
      </c>
      <c r="C112" s="161">
        <v>478.7999999999999</v>
      </c>
      <c r="D112" s="161">
        <v>0</v>
      </c>
      <c r="E112" s="161">
        <v>28</v>
      </c>
      <c r="F112" s="162">
        <v>0</v>
      </c>
      <c r="G112" s="161">
        <f>Inputs!G133+Inputs!I133+Inputs!L133+Inputs!X133</f>
        <v>25093</v>
      </c>
      <c r="H112" s="161">
        <f>$Q$18+$Q$19*C112+$Q$20*D112+$Q$21*E112+$Q$22*F112+$Q$23*G112</f>
        <v>30462619.70613201</v>
      </c>
      <c r="I112" s="9">
        <f>H112-B112</f>
        <v>-203238.6729991883</v>
      </c>
      <c r="J112" s="171">
        <f>I112/B112</f>
        <v>-6.6275227155388142E-3</v>
      </c>
      <c r="K112" s="171">
        <f t="shared" si="7"/>
        <v>6.6275227155388142E-3</v>
      </c>
      <c r="L112" s="172">
        <f t="shared" si="9"/>
        <v>41305958202.470993</v>
      </c>
      <c r="M112" s="172">
        <f t="shared" si="10"/>
        <v>-1418739.660961777</v>
      </c>
      <c r="N112" s="172">
        <f t="shared" si="8"/>
        <v>2012822225585.938</v>
      </c>
      <c r="O112" s="11"/>
      <c r="P112" s="147"/>
      <c r="Q112"/>
    </row>
    <row r="113" spans="1:17" x14ac:dyDescent="0.2">
      <c r="A113" s="160">
        <v>45016</v>
      </c>
      <c r="B113" s="161">
        <f>Inputs!D134</f>
        <v>32629381.9263977</v>
      </c>
      <c r="C113" s="161">
        <v>518.90000000000009</v>
      </c>
      <c r="D113" s="161">
        <v>0</v>
      </c>
      <c r="E113" s="161">
        <v>31</v>
      </c>
      <c r="F113" s="162">
        <v>1</v>
      </c>
      <c r="G113" s="161">
        <f>Inputs!G134+Inputs!I134+Inputs!L134+Inputs!X134</f>
        <v>25129</v>
      </c>
      <c r="H113" s="161">
        <f>$Q$18+$Q$19*C113+$Q$20*D113+$Q$21*E113+$Q$22*F113+$Q$23*G113</f>
        <v>32347561.102841176</v>
      </c>
      <c r="I113" s="9">
        <f>H113-B113</f>
        <v>-281820.82355652377</v>
      </c>
      <c r="J113" s="171">
        <f>I113/B113</f>
        <v>-8.637026107090497E-3</v>
      </c>
      <c r="K113" s="171">
        <f t="shared" si="7"/>
        <v>8.637026107090497E-3</v>
      </c>
      <c r="L113" s="172">
        <f t="shared" si="9"/>
        <v>79422976590.077301</v>
      </c>
      <c r="M113" s="172">
        <f t="shared" si="10"/>
        <v>-78582.150557335466</v>
      </c>
      <c r="N113" s="172">
        <f t="shared" si="8"/>
        <v>6175154386.2157383</v>
      </c>
      <c r="O113" s="11"/>
      <c r="P113" s="147"/>
      <c r="Q113"/>
    </row>
    <row r="114" spans="1:17" x14ac:dyDescent="0.2">
      <c r="A114" s="160">
        <v>45046</v>
      </c>
      <c r="B114" s="161">
        <f>Inputs!D135</f>
        <v>28070848.797054499</v>
      </c>
      <c r="C114" s="161">
        <v>281.3</v>
      </c>
      <c r="D114" s="161">
        <v>0</v>
      </c>
      <c r="E114" s="161">
        <v>30</v>
      </c>
      <c r="F114" s="162">
        <v>1</v>
      </c>
      <c r="G114" s="161">
        <f>Inputs!G135+Inputs!I135+Inputs!L135+Inputs!X135</f>
        <v>25213</v>
      </c>
      <c r="H114" s="161">
        <f>$Q$18+$Q$19*C114+$Q$20*D114+$Q$21*E114+$Q$22*F114+$Q$23*G114</f>
        <v>28648578.882097155</v>
      </c>
      <c r="I114" s="9">
        <f>H114-B114</f>
        <v>577730.08504265547</v>
      </c>
      <c r="J114" s="171">
        <f>I114/B114</f>
        <v>2.0581140571113661E-2</v>
      </c>
      <c r="K114" s="171">
        <f t="shared" si="7"/>
        <v>2.0581140571113661E-2</v>
      </c>
      <c r="L114" s="172">
        <f t="shared" si="9"/>
        <v>333772051163.39392</v>
      </c>
      <c r="M114" s="172">
        <f t="shared" si="10"/>
        <v>859550.90859917924</v>
      </c>
      <c r="N114" s="172">
        <f t="shared" si="8"/>
        <v>738827764473.67456</v>
      </c>
      <c r="O114" s="11"/>
      <c r="P114" s="147"/>
      <c r="Q114"/>
    </row>
    <row r="115" spans="1:17" x14ac:dyDescent="0.2">
      <c r="A115" s="160">
        <v>45077</v>
      </c>
      <c r="B115" s="161">
        <f>Inputs!D136</f>
        <v>28924411.6335361</v>
      </c>
      <c r="C115" s="161">
        <v>172.1</v>
      </c>
      <c r="D115" s="161">
        <v>5.4</v>
      </c>
      <c r="E115" s="161">
        <v>31</v>
      </c>
      <c r="F115" s="162">
        <v>1</v>
      </c>
      <c r="G115" s="161">
        <f>Inputs!G136+Inputs!I136+Inputs!L136+Inputs!X136</f>
        <v>25301</v>
      </c>
      <c r="H115" s="161">
        <f>$Q$18+$Q$19*C115+$Q$20*D115+$Q$21*E115+$Q$22*F115+$Q$23*G115</f>
        <v>29343810.972727433</v>
      </c>
      <c r="I115" s="9">
        <f>H115-B115</f>
        <v>419399.33919133246</v>
      </c>
      <c r="J115" s="171">
        <f>I115/B115</f>
        <v>1.4499839945060952E-2</v>
      </c>
      <c r="K115" s="171">
        <f t="shared" si="7"/>
        <v>1.4499839945060952E-2</v>
      </c>
      <c r="L115" s="172">
        <f t="shared" si="9"/>
        <v>175895805714.12634</v>
      </c>
      <c r="M115" s="172">
        <f t="shared" si="10"/>
        <v>-158330.74585132301</v>
      </c>
      <c r="N115" s="172">
        <f t="shared" si="8"/>
        <v>25068625081.836239</v>
      </c>
      <c r="O115" s="11"/>
      <c r="P115" s="147"/>
      <c r="Q115"/>
    </row>
    <row r="116" spans="1:17" x14ac:dyDescent="0.2">
      <c r="A116" s="160">
        <v>45107</v>
      </c>
      <c r="B116" s="161">
        <f>Inputs!D137</f>
        <v>32337605.014613099</v>
      </c>
      <c r="C116" s="161">
        <v>33.4</v>
      </c>
      <c r="D116" s="161">
        <v>41.800000000000004</v>
      </c>
      <c r="E116" s="161">
        <v>30</v>
      </c>
      <c r="F116" s="162">
        <v>0</v>
      </c>
      <c r="G116" s="161">
        <f>Inputs!G137+Inputs!I137+Inputs!L137+Inputs!X137</f>
        <v>25386</v>
      </c>
      <c r="H116" s="161">
        <f>$Q$18+$Q$19*C116+$Q$20*D116+$Q$21*E116+$Q$22*F116+$Q$23*G116</f>
        <v>32421690.116842192</v>
      </c>
      <c r="I116" s="9">
        <f>H116-B116</f>
        <v>84085.10222909227</v>
      </c>
      <c r="J116" s="171">
        <f>I116/B116</f>
        <v>2.6002266460702608E-3</v>
      </c>
      <c r="K116" s="171">
        <f t="shared" si="7"/>
        <v>2.6002266460702608E-3</v>
      </c>
      <c r="L116" s="172">
        <f t="shared" si="9"/>
        <v>7070304416.8768978</v>
      </c>
      <c r="M116" s="172">
        <f t="shared" si="10"/>
        <v>-335314.23696224019</v>
      </c>
      <c r="N116" s="172">
        <f t="shared" si="8"/>
        <v>112435637509.56937</v>
      </c>
      <c r="O116" s="11"/>
      <c r="P116" s="147"/>
      <c r="Q116"/>
    </row>
    <row r="117" spans="1:17" x14ac:dyDescent="0.2">
      <c r="A117" s="160">
        <v>45138</v>
      </c>
      <c r="B117" s="161">
        <f>Inputs!D138</f>
        <v>39594891.335779101</v>
      </c>
      <c r="C117" s="161">
        <v>0</v>
      </c>
      <c r="D117" s="161">
        <v>103.39999999999996</v>
      </c>
      <c r="E117" s="161">
        <v>31</v>
      </c>
      <c r="F117" s="162">
        <v>0</v>
      </c>
      <c r="G117" s="161">
        <f>Inputs!G138+Inputs!I138+Inputs!L138+Inputs!X138</f>
        <v>25423</v>
      </c>
      <c r="H117" s="161">
        <f>$Q$18+$Q$19*C117+$Q$20*D117+$Q$21*E117+$Q$22*F117+$Q$23*G117</f>
        <v>39056501.877054095</v>
      </c>
      <c r="I117" s="9">
        <f>H117-B117</f>
        <v>-538389.45872500539</v>
      </c>
      <c r="J117" s="171">
        <f>I117/B117</f>
        <v>-1.3597447563607807E-2</v>
      </c>
      <c r="K117" s="171">
        <f t="shared" si="7"/>
        <v>1.3597447563607807E-2</v>
      </c>
      <c r="L117" s="172">
        <f t="shared" si="9"/>
        <v>289863209266.20428</v>
      </c>
      <c r="M117" s="172">
        <f t="shared" si="10"/>
        <v>-622474.56095409766</v>
      </c>
      <c r="N117" s="172">
        <f t="shared" si="8"/>
        <v>387474579034.99664</v>
      </c>
      <c r="O117" s="11"/>
      <c r="P117" s="147"/>
      <c r="Q117"/>
    </row>
    <row r="118" spans="1:17" x14ac:dyDescent="0.2">
      <c r="A118" s="160">
        <v>45169</v>
      </c>
      <c r="B118" s="161">
        <f>Inputs!D139</f>
        <v>35523357.586275995</v>
      </c>
      <c r="C118" s="161">
        <v>13.600000000000001</v>
      </c>
      <c r="D118" s="161">
        <v>49.099999999999994</v>
      </c>
      <c r="E118" s="161">
        <v>31</v>
      </c>
      <c r="F118" s="162">
        <v>0</v>
      </c>
      <c r="G118" s="161">
        <f>Inputs!G139+Inputs!I139+Inputs!L139+Inputs!X139</f>
        <v>25474</v>
      </c>
      <c r="H118" s="161">
        <f>$Q$18+$Q$19*C118+$Q$20*D118+$Q$21*E118+$Q$22*F118+$Q$23*G118</f>
        <v>34219189.235787295</v>
      </c>
      <c r="I118" s="9">
        <f>H118-B118</f>
        <v>-1304168.3504887</v>
      </c>
      <c r="J118" s="171">
        <f>I118/B118</f>
        <v>-3.6712980954045543E-2</v>
      </c>
      <c r="K118" s="171">
        <f t="shared" si="7"/>
        <v>3.6712980954045543E-2</v>
      </c>
      <c r="L118" s="172">
        <f t="shared" si="9"/>
        <v>1700855086416.4165</v>
      </c>
      <c r="M118" s="172">
        <f t="shared" si="10"/>
        <v>-765778.89176369458</v>
      </c>
      <c r="N118" s="172">
        <f t="shared" si="8"/>
        <v>586417311070.83228</v>
      </c>
      <c r="O118" s="11"/>
      <c r="P118" s="147"/>
      <c r="Q118"/>
    </row>
    <row r="119" spans="1:17" x14ac:dyDescent="0.2">
      <c r="A119" s="160">
        <v>45199</v>
      </c>
      <c r="B119" s="161">
        <f>Inputs!D140</f>
        <v>31570923.270029802</v>
      </c>
      <c r="C119" s="161">
        <v>45.999999999999993</v>
      </c>
      <c r="D119" s="161">
        <v>29.400000000000002</v>
      </c>
      <c r="E119" s="161">
        <v>30</v>
      </c>
      <c r="F119" s="162">
        <v>0</v>
      </c>
      <c r="G119" s="161">
        <f>Inputs!G140+Inputs!I140+Inputs!L140+Inputs!X140</f>
        <v>25548</v>
      </c>
      <c r="H119" s="161">
        <f>$Q$18+$Q$19*C119+$Q$20*D119+$Q$21*E119+$Q$22*F119+$Q$23*G119</f>
        <v>31498299.157441143</v>
      </c>
      <c r="I119" s="9">
        <f>H119-B119</f>
        <v>-72624.112588658929</v>
      </c>
      <c r="J119" s="171">
        <f>I119/B119</f>
        <v>-2.3003480755851326E-3</v>
      </c>
      <c r="K119" s="171">
        <f t="shared" si="7"/>
        <v>2.3003480755851326E-3</v>
      </c>
      <c r="L119" s="172">
        <f t="shared" si="9"/>
        <v>5274261729.2902079</v>
      </c>
      <c r="M119" s="172">
        <f t="shared" si="10"/>
        <v>1231544.237900041</v>
      </c>
      <c r="N119" s="172">
        <f t="shared" si="8"/>
        <v>1516701209904.793</v>
      </c>
      <c r="O119" s="11"/>
      <c r="P119" s="147"/>
      <c r="Q119"/>
    </row>
    <row r="120" spans="1:17" x14ac:dyDescent="0.2">
      <c r="A120" s="160">
        <v>45230</v>
      </c>
      <c r="B120" s="161">
        <f>Inputs!D141</f>
        <v>29609700.8526466</v>
      </c>
      <c r="C120" s="161">
        <v>194.50000000000003</v>
      </c>
      <c r="D120" s="161">
        <v>10.6</v>
      </c>
      <c r="E120" s="161">
        <v>31</v>
      </c>
      <c r="F120" s="162">
        <v>1</v>
      </c>
      <c r="G120" s="161">
        <f>Inputs!G141+Inputs!I141+Inputs!L141+Inputs!X141</f>
        <v>25670</v>
      </c>
      <c r="H120" s="161">
        <f>$Q$18+$Q$19*C120+$Q$20*D120+$Q$21*E120+$Q$22*F120+$Q$23*G120</f>
        <v>30258761.520722117</v>
      </c>
      <c r="I120" s="9">
        <f>H120-B120</f>
        <v>649060.66807551682</v>
      </c>
      <c r="J120" s="171">
        <f>I120/B120</f>
        <v>2.1920541220783792E-2</v>
      </c>
      <c r="K120" s="171">
        <f t="shared" si="7"/>
        <v>2.1920541220783792E-2</v>
      </c>
      <c r="L120" s="172">
        <f t="shared" si="9"/>
        <v>421279750842.63623</v>
      </c>
      <c r="M120" s="172">
        <f t="shared" si="10"/>
        <v>721684.78066417575</v>
      </c>
      <c r="N120" s="172">
        <f t="shared" si="8"/>
        <v>520828922642.29944</v>
      </c>
      <c r="O120" s="11"/>
      <c r="P120" s="147"/>
      <c r="Q120"/>
    </row>
    <row r="121" spans="1:17" x14ac:dyDescent="0.2">
      <c r="A121" s="160">
        <v>45260</v>
      </c>
      <c r="B121" s="161">
        <f>Inputs!D142</f>
        <v>30895716.9335532</v>
      </c>
      <c r="C121" s="161">
        <v>423.09999999999985</v>
      </c>
      <c r="D121" s="161">
        <v>0</v>
      </c>
      <c r="E121" s="161">
        <v>30</v>
      </c>
      <c r="F121" s="162">
        <v>1</v>
      </c>
      <c r="G121" s="161">
        <f>Inputs!G142+Inputs!I142+Inputs!L142+Inputs!X142</f>
        <v>25701</v>
      </c>
      <c r="H121" s="161">
        <f>$Q$18+$Q$19*C121+$Q$20*D121+$Q$21*E121+$Q$22*F121+$Q$23*G121</f>
        <v>30387821.1175678</v>
      </c>
      <c r="I121" s="9">
        <f>H121-B121</f>
        <v>-507895.81598540023</v>
      </c>
      <c r="J121" s="171">
        <f>I121/B121</f>
        <v>-1.6439036423000691E-2</v>
      </c>
      <c r="K121" s="171">
        <f t="shared" si="7"/>
        <v>1.6439036423000691E-2</v>
      </c>
      <c r="L121" s="172">
        <f t="shared" si="9"/>
        <v>257958159895.47552</v>
      </c>
      <c r="M121" s="172">
        <f t="shared" si="10"/>
        <v>-1156956.484060917</v>
      </c>
      <c r="N121" s="172">
        <f t="shared" si="8"/>
        <v>1338548306010.5991</v>
      </c>
      <c r="O121" s="11"/>
      <c r="P121" s="147"/>
      <c r="Q121"/>
    </row>
    <row r="122" spans="1:17" x14ac:dyDescent="0.2">
      <c r="A122" s="160">
        <v>45291</v>
      </c>
      <c r="B122" s="161">
        <f>Inputs!D143</f>
        <v>32819279.789655898</v>
      </c>
      <c r="C122" s="161">
        <v>451.80000000000013</v>
      </c>
      <c r="D122" s="161">
        <v>0</v>
      </c>
      <c r="E122" s="161">
        <v>31</v>
      </c>
      <c r="F122" s="162">
        <v>1</v>
      </c>
      <c r="G122" s="161">
        <f>Inputs!G143+Inputs!I143+Inputs!L143+Inputs!X143</f>
        <v>25753</v>
      </c>
      <c r="H122" s="161">
        <f>$Q$18+$Q$19*C122+$Q$20*D122+$Q$21*E122+$Q$22*F122+$Q$23*G122</f>
        <v>31995387.558656879</v>
      </c>
      <c r="I122" s="9">
        <f>H122-B122</f>
        <v>-823892.230999019</v>
      </c>
      <c r="J122" s="171">
        <f>I122/B122</f>
        <v>-2.5103909539742442E-2</v>
      </c>
      <c r="K122" s="171">
        <f t="shared" si="7"/>
        <v>2.5103909539742442E-2</v>
      </c>
      <c r="L122" s="172">
        <f t="shared" si="9"/>
        <v>678798408300.54089</v>
      </c>
      <c r="M122" s="172">
        <f t="shared" si="10"/>
        <v>-315996.41501361877</v>
      </c>
      <c r="N122" s="172">
        <f t="shared" si="8"/>
        <v>99853734301.459183</v>
      </c>
      <c r="O122" s="11"/>
      <c r="P122" s="147"/>
      <c r="Q122"/>
    </row>
    <row r="123" spans="1:17" x14ac:dyDescent="0.2">
      <c r="A123" s="160">
        <v>45322</v>
      </c>
      <c r="B123" s="175">
        <f>Inputs!D144</f>
        <v>35923142.759999998</v>
      </c>
      <c r="C123" s="175">
        <v>611.19999999999993</v>
      </c>
      <c r="D123" s="175">
        <v>0</v>
      </c>
      <c r="E123" s="161">
        <v>31</v>
      </c>
      <c r="F123" s="162">
        <v>0</v>
      </c>
      <c r="G123" s="175">
        <f>Inputs!G144+Inputs!I144+Inputs!L144+Inputs!X144</f>
        <v>25781</v>
      </c>
      <c r="H123" s="161">
        <f>$Q$18+$Q$19*C123+$Q$20*D123+$Q$21*E123+$Q$22*F123+$Q$23*G123</f>
        <v>36058448.142899692</v>
      </c>
      <c r="I123" s="9">
        <f>H123-B123</f>
        <v>135305.38289969414</v>
      </c>
      <c r="J123" s="171">
        <f>I123/B123</f>
        <v>3.7665240985083051E-3</v>
      </c>
      <c r="K123" s="171">
        <f t="shared" ref="K123:K131" si="11">ABS(J123)</f>
        <v>3.7665240985083051E-3</v>
      </c>
      <c r="L123" s="172">
        <f t="shared" ref="L123:L131" si="12">I123*I123</f>
        <v>18307546641.632843</v>
      </c>
      <c r="M123" s="172">
        <f t="shared" ref="M123:M131" si="13">I123-I122</f>
        <v>959197.61389871314</v>
      </c>
      <c r="N123" s="172">
        <f t="shared" ref="N123:N131" si="14">M123*M123</f>
        <v>920060062508.98474</v>
      </c>
      <c r="O123" s="148"/>
      <c r="P123" s="147"/>
      <c r="Q123"/>
    </row>
    <row r="124" spans="1:17" x14ac:dyDescent="0.2">
      <c r="A124" s="160">
        <v>45351</v>
      </c>
      <c r="B124" s="175">
        <f>Inputs!D145</f>
        <v>31731446.009999998</v>
      </c>
      <c r="C124" s="175">
        <v>509.99999999999994</v>
      </c>
      <c r="D124" s="175">
        <v>0</v>
      </c>
      <c r="E124" s="161">
        <v>29</v>
      </c>
      <c r="F124" s="162">
        <v>0</v>
      </c>
      <c r="G124" s="175">
        <f>Inputs!G145+Inputs!I145+Inputs!L145+Inputs!X145</f>
        <v>25793</v>
      </c>
      <c r="H124" s="161">
        <f>$Q$18+$Q$19*C124+$Q$20*D124+$Q$21*E124+$Q$22*F124+$Q$23*G124</f>
        <v>32452990.072493754</v>
      </c>
      <c r="I124" s="9">
        <f>H124-B124</f>
        <v>721544.06249375641</v>
      </c>
      <c r="J124" s="171">
        <f>I124/B124</f>
        <v>2.2739085456942795E-2</v>
      </c>
      <c r="K124" s="171">
        <f t="shared" si="11"/>
        <v>2.2739085456942795E-2</v>
      </c>
      <c r="L124" s="172">
        <f t="shared" si="12"/>
        <v>520625834119.99384</v>
      </c>
      <c r="M124" s="172">
        <f t="shared" si="13"/>
        <v>586238.67959406227</v>
      </c>
      <c r="N124" s="172">
        <f t="shared" si="14"/>
        <v>343675789452.18958</v>
      </c>
      <c r="P124" s="147"/>
      <c r="Q124"/>
    </row>
    <row r="125" spans="1:17" x14ac:dyDescent="0.2">
      <c r="A125" s="160">
        <v>45382</v>
      </c>
      <c r="B125" s="175">
        <f>Inputs!D146</f>
        <v>31839641.859999999</v>
      </c>
      <c r="C125" s="175">
        <v>430.39999999999992</v>
      </c>
      <c r="D125" s="175">
        <v>0</v>
      </c>
      <c r="E125" s="161">
        <v>31</v>
      </c>
      <c r="F125" s="162">
        <v>1</v>
      </c>
      <c r="G125" s="175">
        <f>Inputs!G146+Inputs!I146+Inputs!L146+Inputs!X146</f>
        <v>25791</v>
      </c>
      <c r="H125" s="161">
        <f>$Q$18+$Q$19*C125+$Q$20*D125+$Q$21*E125+$Q$22*F125+$Q$23*G125</f>
        <v>31794395.247097787</v>
      </c>
      <c r="I125" s="9">
        <f>H125-B125</f>
        <v>-45246.612902212888</v>
      </c>
      <c r="J125" s="171">
        <f>I125/B125</f>
        <v>-1.4210779474581969E-3</v>
      </c>
      <c r="K125" s="171">
        <f t="shared" si="11"/>
        <v>1.4210779474581969E-3</v>
      </c>
      <c r="L125" s="172">
        <f t="shared" si="12"/>
        <v>2047255979.1226978</v>
      </c>
      <c r="M125" s="172">
        <f t="shared" si="13"/>
        <v>-766790.6753959693</v>
      </c>
      <c r="N125" s="172">
        <f t="shared" si="14"/>
        <v>587967939874.20679</v>
      </c>
      <c r="P125" s="147"/>
      <c r="Q125" s="40"/>
    </row>
    <row r="126" spans="1:17" x14ac:dyDescent="0.2">
      <c r="A126" s="160">
        <v>45412</v>
      </c>
      <c r="B126" s="175">
        <f>Inputs!D147</f>
        <v>28562458.940000001</v>
      </c>
      <c r="C126" s="175">
        <v>266.3</v>
      </c>
      <c r="D126" s="175">
        <v>0</v>
      </c>
      <c r="E126" s="161">
        <v>30</v>
      </c>
      <c r="F126" s="162">
        <v>1</v>
      </c>
      <c r="G126" s="175">
        <f>Inputs!G147+Inputs!I147+Inputs!L147+Inputs!X147</f>
        <v>25822</v>
      </c>
      <c r="H126" s="161">
        <f>$Q$18+$Q$19*C126+$Q$20*D126+$Q$21*E126+$Q$22*F126+$Q$23*G126</f>
        <v>28828427.053330917</v>
      </c>
      <c r="I126" s="9">
        <f>H126-B126</f>
        <v>265968.11333091557</v>
      </c>
      <c r="J126" s="171">
        <f>I126/B126</f>
        <v>9.3118072883579105E-3</v>
      </c>
      <c r="K126" s="171">
        <f t="shared" si="11"/>
        <v>9.3118072883579105E-3</v>
      </c>
      <c r="L126" s="172">
        <f t="shared" si="12"/>
        <v>70739037308.806747</v>
      </c>
      <c r="M126" s="172">
        <f t="shared" si="13"/>
        <v>311214.72623312846</v>
      </c>
      <c r="N126" s="172">
        <f t="shared" si="14"/>
        <v>96854605824.361099</v>
      </c>
      <c r="P126" s="147"/>
      <c r="Q126"/>
    </row>
    <row r="127" spans="1:17" x14ac:dyDescent="0.2">
      <c r="A127" s="160">
        <v>45443</v>
      </c>
      <c r="B127" s="175">
        <f>Inputs!D148</f>
        <v>30423026.610000003</v>
      </c>
      <c r="C127" s="175">
        <v>72.699999999999989</v>
      </c>
      <c r="D127" s="175">
        <v>13.4</v>
      </c>
      <c r="E127" s="161">
        <v>31</v>
      </c>
      <c r="F127" s="162">
        <v>1</v>
      </c>
      <c r="G127" s="175">
        <f>Inputs!G148+Inputs!I148+Inputs!L148+Inputs!X148</f>
        <v>25841</v>
      </c>
      <c r="H127" s="161">
        <f>$Q$18+$Q$19*C127+$Q$20*D127+$Q$21*E127+$Q$22*F127+$Q$23*G127</f>
        <v>29348016.932570554</v>
      </c>
      <c r="I127" s="9">
        <f>H127-B127</f>
        <v>-1075009.6774294488</v>
      </c>
      <c r="J127" s="171">
        <f>I127/B127</f>
        <v>-3.5335395495334931E-2</v>
      </c>
      <c r="K127" s="171">
        <f t="shared" si="11"/>
        <v>3.5335395495334931E-2</v>
      </c>
      <c r="L127" s="172">
        <f t="shared" si="12"/>
        <v>1155645806566.9675</v>
      </c>
      <c r="M127" s="172">
        <f t="shared" si="13"/>
        <v>-1340977.7907603644</v>
      </c>
      <c r="N127" s="172">
        <f t="shared" si="14"/>
        <v>1798221435312.5476</v>
      </c>
      <c r="P127" s="147"/>
      <c r="Q127"/>
    </row>
    <row r="128" spans="1:17" x14ac:dyDescent="0.2">
      <c r="A128" s="160">
        <v>45473</v>
      </c>
      <c r="B128" s="175">
        <f>Inputs!D149</f>
        <v>36158920.950000003</v>
      </c>
      <c r="C128" s="175">
        <v>27.599999999999998</v>
      </c>
      <c r="D128" s="175">
        <v>78.500000000000014</v>
      </c>
      <c r="E128" s="161">
        <v>30</v>
      </c>
      <c r="F128" s="162">
        <v>0</v>
      </c>
      <c r="G128" s="175">
        <f>Inputs!G149+Inputs!I149+Inputs!L149+Inputs!X149</f>
        <v>25867</v>
      </c>
      <c r="H128" s="161">
        <f>$Q$18+$Q$19*C128+$Q$20*D128+$Q$21*E128+$Q$22*F128+$Q$23*G128</f>
        <v>36010171.073026597</v>
      </c>
      <c r="I128" s="9">
        <f>H128-B128</f>
        <v>-148749.87697340548</v>
      </c>
      <c r="J128" s="171">
        <f>I128/B128</f>
        <v>-4.113780861411614E-3</v>
      </c>
      <c r="K128" s="171">
        <f t="shared" si="11"/>
        <v>4.113780861411614E-3</v>
      </c>
      <c r="L128" s="172">
        <f t="shared" si="12"/>
        <v>22126525899.603268</v>
      </c>
      <c r="M128" s="172">
        <f t="shared" si="13"/>
        <v>926259.80045604333</v>
      </c>
      <c r="N128" s="172">
        <f t="shared" si="14"/>
        <v>857957217940.86926</v>
      </c>
      <c r="P128" s="147"/>
      <c r="Q128"/>
    </row>
    <row r="129" spans="1:17" x14ac:dyDescent="0.2">
      <c r="A129" s="160">
        <v>45504</v>
      </c>
      <c r="B129" s="175">
        <f>Inputs!D150</f>
        <v>42460733.059999995</v>
      </c>
      <c r="C129" s="175">
        <v>1.9000000000000001</v>
      </c>
      <c r="D129" s="175">
        <v>108.80000000000003</v>
      </c>
      <c r="E129" s="161">
        <v>31</v>
      </c>
      <c r="F129" s="162">
        <v>0</v>
      </c>
      <c r="G129" s="175">
        <f>Inputs!G150+Inputs!I150+Inputs!L150+Inputs!X150</f>
        <v>25915</v>
      </c>
      <c r="H129" s="161">
        <f>$Q$18+$Q$19*C129+$Q$20*D129+$Q$21*E129+$Q$22*F129+$Q$23*G129</f>
        <v>39845045.90270257</v>
      </c>
      <c r="I129" s="9">
        <f>H129-B129</f>
        <v>-2615687.157297425</v>
      </c>
      <c r="J129" s="171">
        <f>I129/B129</f>
        <v>-6.1602496443037745E-2</v>
      </c>
      <c r="K129" s="171">
        <f t="shared" si="11"/>
        <v>6.1602496443037745E-2</v>
      </c>
      <c r="L129" s="172">
        <f t="shared" si="12"/>
        <v>6841819304850.6836</v>
      </c>
      <c r="M129" s="172">
        <f t="shared" si="13"/>
        <v>-2466937.2803240195</v>
      </c>
      <c r="N129" s="172">
        <f t="shared" si="14"/>
        <v>6085779545052.4697</v>
      </c>
      <c r="O129"/>
      <c r="P129" s="147"/>
      <c r="Q129"/>
    </row>
    <row r="130" spans="1:17" x14ac:dyDescent="0.2">
      <c r="A130" s="160">
        <v>45535</v>
      </c>
      <c r="B130" s="175">
        <f>Inputs!D151</f>
        <v>38718871.799999997</v>
      </c>
      <c r="C130" s="175">
        <v>10.600000000000001</v>
      </c>
      <c r="D130" s="175">
        <v>79.599999999999994</v>
      </c>
      <c r="E130" s="161">
        <v>31</v>
      </c>
      <c r="F130" s="162">
        <v>0</v>
      </c>
      <c r="G130" s="175">
        <f>Inputs!G151+Inputs!I151+Inputs!L151+Inputs!X151</f>
        <v>26040</v>
      </c>
      <c r="H130" s="161">
        <f>$Q$18+$Q$19*C130+$Q$20*D130+$Q$21*E130+$Q$22*F130+$Q$23*G130</f>
        <v>37311882.277569652</v>
      </c>
      <c r="I130" s="9">
        <f>H130-B130</f>
        <v>-1406989.5224303454</v>
      </c>
      <c r="J130" s="171">
        <f>I130/B130</f>
        <v>-3.6338598131114591E-2</v>
      </c>
      <c r="K130" s="171">
        <f t="shared" si="11"/>
        <v>3.6338598131114591E-2</v>
      </c>
      <c r="L130" s="172">
        <f t="shared" si="12"/>
        <v>1979619516228.7715</v>
      </c>
      <c r="M130" s="172">
        <f t="shared" si="13"/>
        <v>1208697.6348670796</v>
      </c>
      <c r="N130" s="172">
        <f t="shared" si="14"/>
        <v>1460949972533.272</v>
      </c>
      <c r="O130"/>
      <c r="P130" s="147"/>
      <c r="Q130"/>
    </row>
    <row r="131" spans="1:17" x14ac:dyDescent="0.2">
      <c r="A131" s="160">
        <v>45565</v>
      </c>
      <c r="B131" s="175">
        <f>Inputs!D152</f>
        <v>33712649.810000002</v>
      </c>
      <c r="C131" s="175">
        <v>21.9</v>
      </c>
      <c r="D131" s="175">
        <v>39</v>
      </c>
      <c r="E131" s="161">
        <v>30</v>
      </c>
      <c r="F131" s="162">
        <v>0</v>
      </c>
      <c r="G131" s="175">
        <f>Inputs!G152+Inputs!I152+Inputs!L152+Inputs!X152</f>
        <v>26099</v>
      </c>
      <c r="H131" s="161">
        <f>$Q$18+$Q$19*C131+$Q$20*D131+$Q$21*E131+$Q$22*F131+$Q$23*G131</f>
        <v>32436951.847015813</v>
      </c>
      <c r="I131" s="9">
        <f>H131-B131</f>
        <v>-1275697.9629841894</v>
      </c>
      <c r="J131" s="171">
        <f>I131/B131</f>
        <v>-3.7840335012935884E-2</v>
      </c>
      <c r="K131" s="171">
        <f t="shared" si="11"/>
        <v>3.7840335012935884E-2</v>
      </c>
      <c r="L131" s="172">
        <f t="shared" si="12"/>
        <v>1627405292762.0103</v>
      </c>
      <c r="M131" s="172">
        <f t="shared" si="13"/>
        <v>131291.55944615602</v>
      </c>
      <c r="N131" s="172">
        <f t="shared" si="14"/>
        <v>17237473581.80352</v>
      </c>
      <c r="O131"/>
      <c r="P131" s="147"/>
      <c r="Q131"/>
    </row>
    <row r="132" spans="1:17" x14ac:dyDescent="0.2">
      <c r="A132" s="160">
        <v>45596</v>
      </c>
      <c r="B132" s="161"/>
      <c r="C132" s="177">
        <f t="shared" ref="C132:D134" si="15">(C12+C24+C36+C48+C60+C72+C84+C96+C108+C120)/10</f>
        <v>212.45</v>
      </c>
      <c r="D132" s="177">
        <f t="shared" si="15"/>
        <v>5.3</v>
      </c>
      <c r="E132" s="161">
        <v>31</v>
      </c>
      <c r="F132" s="162">
        <v>1</v>
      </c>
      <c r="G132" s="164">
        <f>'Rate Class Customer Model'!P20</f>
        <v>26066.474295718956</v>
      </c>
      <c r="H132" s="161">
        <f>$Q$18+$Q$19*C132+$Q$20*D132+$Q$21*E132+$Q$22*F132+$Q$23*G132</f>
        <v>30174601.291749649</v>
      </c>
      <c r="I132" s="9"/>
      <c r="J132" s="148" t="s">
        <v>53</v>
      </c>
      <c r="K132" s="171">
        <f>AVERAGE(K3:K131)</f>
        <v>2.7460507371892481E-2</v>
      </c>
      <c r="L132" s="33">
        <f>SUM(L3:L131)</f>
        <v>193724052866553.69</v>
      </c>
      <c r="M132" s="33"/>
      <c r="N132" s="33">
        <f>SUM(N3:N131)</f>
        <v>212499189027570.25</v>
      </c>
      <c r="O132"/>
      <c r="P132" s="147"/>
      <c r="Q132"/>
    </row>
    <row r="133" spans="1:17" x14ac:dyDescent="0.2">
      <c r="A133" s="160">
        <v>45626</v>
      </c>
      <c r="B133" s="161"/>
      <c r="C133" s="177">
        <f t="shared" si="15"/>
        <v>408.5</v>
      </c>
      <c r="D133" s="177">
        <f t="shared" si="15"/>
        <v>0.22999999999999998</v>
      </c>
      <c r="E133" s="161">
        <v>30</v>
      </c>
      <c r="F133" s="162">
        <v>1</v>
      </c>
      <c r="G133" s="164">
        <f>'Rate Class Customer Model'!P21</f>
        <v>26098.030827708426</v>
      </c>
      <c r="H133" s="161">
        <f>$Q$18+$Q$19*C133+$Q$20*D133+$Q$21*E133+$Q$22*F133+$Q$23*G133</f>
        <v>30476283.605984941</v>
      </c>
      <c r="I133" s="9"/>
      <c r="J133" s="9"/>
      <c r="K133" s="9"/>
      <c r="L133"/>
      <c r="M133"/>
      <c r="N133"/>
      <c r="O133"/>
      <c r="P133" s="147"/>
      <c r="Q133"/>
    </row>
    <row r="134" spans="1:17" x14ac:dyDescent="0.2">
      <c r="A134" s="160">
        <v>45657</v>
      </c>
      <c r="B134" s="161"/>
      <c r="C134" s="177">
        <f t="shared" si="15"/>
        <v>533.85000000000014</v>
      </c>
      <c r="D134" s="177">
        <f t="shared" si="15"/>
        <v>0</v>
      </c>
      <c r="E134" s="161">
        <v>31</v>
      </c>
      <c r="F134" s="162">
        <v>1</v>
      </c>
      <c r="G134" s="164">
        <f>'Rate Class Customer Model'!P22</f>
        <v>26129.625562590238</v>
      </c>
      <c r="H134" s="161">
        <f>$Q$18+$Q$19*C134+$Q$20*D134+$Q$21*E134+$Q$22*F134+$Q$23*G134</f>
        <v>33053677.440338783</v>
      </c>
      <c r="I134" s="9"/>
      <c r="J134" s="9"/>
      <c r="K134" s="9"/>
      <c r="L134"/>
      <c r="M134"/>
      <c r="N134"/>
      <c r="O134"/>
      <c r="P134" s="147"/>
      <c r="Q134"/>
    </row>
    <row r="135" spans="1:17" x14ac:dyDescent="0.2">
      <c r="A135" s="160">
        <v>45688</v>
      </c>
      <c r="B135" s="161"/>
      <c r="C135" s="177">
        <f>(C3+C15+C27+C39+C51+C63+C75+C87+C99+C111+C123)/11</f>
        <v>672.12727272727273</v>
      </c>
      <c r="D135" s="177">
        <f>(D3+D15+D27+D39+D51+D63+D75+D87+D99+D111+D123)/11</f>
        <v>0</v>
      </c>
      <c r="E135" s="161">
        <v>31</v>
      </c>
      <c r="F135" s="162">
        <v>0</v>
      </c>
      <c r="G135" s="164">
        <f>'Rate Class Customer Model'!Q11</f>
        <v>26159.618734759606</v>
      </c>
      <c r="H135" s="161">
        <f>$Q$18+$Q$19*C135+$Q$20*D135+$Q$21*E135+$Q$22*F135+$Q$23*G135</f>
        <v>36898790.710185185</v>
      </c>
      <c r="I135" s="9"/>
      <c r="J135" s="9"/>
      <c r="K135" s="9"/>
      <c r="L135"/>
      <c r="M135"/>
      <c r="N135"/>
      <c r="O135"/>
      <c r="P135" s="147"/>
      <c r="Q135"/>
    </row>
    <row r="136" spans="1:17" x14ac:dyDescent="0.2">
      <c r="A136" s="160">
        <v>45716</v>
      </c>
      <c r="B136" s="161"/>
      <c r="C136" s="177">
        <f t="shared" ref="C136:D142" si="16">(C4+C16+C28+C40+C52+C64+C76+C88+C100+C112+C124)/11</f>
        <v>607.14545454545453</v>
      </c>
      <c r="D136" s="177">
        <f t="shared" si="16"/>
        <v>0</v>
      </c>
      <c r="E136" s="161">
        <v>28</v>
      </c>
      <c r="F136" s="162">
        <v>0</v>
      </c>
      <c r="G136" s="164">
        <f>'Rate Class Customer Model'!Q12</f>
        <v>26189.646334914734</v>
      </c>
      <c r="H136" s="161">
        <f>$Q$18+$Q$19*C136+$Q$20*D136+$Q$21*E136+$Q$22*F136+$Q$23*G136</f>
        <v>32397541.871344879</v>
      </c>
      <c r="I136" s="9"/>
      <c r="J136" s="9"/>
      <c r="K136" s="9"/>
      <c r="L136"/>
      <c r="M136"/>
      <c r="N136"/>
      <c r="O136"/>
      <c r="P136" s="147"/>
      <c r="Q136"/>
    </row>
    <row r="137" spans="1:17" x14ac:dyDescent="0.2">
      <c r="A137" s="160">
        <v>45747</v>
      </c>
      <c r="B137" s="161"/>
      <c r="C137" s="177">
        <f t="shared" si="16"/>
        <v>529.88181818181829</v>
      </c>
      <c r="D137" s="177">
        <f t="shared" si="16"/>
        <v>0</v>
      </c>
      <c r="E137" s="161">
        <v>31</v>
      </c>
      <c r="F137" s="162">
        <v>1</v>
      </c>
      <c r="G137" s="164">
        <f>'Rate Class Customer Model'!Q13</f>
        <v>26219.708402574157</v>
      </c>
      <c r="H137" s="161">
        <f>$Q$18+$Q$19*C137+$Q$20*D137+$Q$21*E137+$Q$22*F137+$Q$23*G137</f>
        <v>33062139.055451132</v>
      </c>
      <c r="I137" s="9"/>
      <c r="J137" s="9"/>
      <c r="K137" s="9"/>
      <c r="L137"/>
      <c r="M137"/>
      <c r="N137"/>
      <c r="O137"/>
      <c r="P137" s="147"/>
      <c r="Q137"/>
    </row>
    <row r="138" spans="1:17" x14ac:dyDescent="0.2">
      <c r="A138" s="160">
        <v>45777</v>
      </c>
      <c r="B138" s="161"/>
      <c r="C138" s="177">
        <f t="shared" si="16"/>
        <v>327.50000000000006</v>
      </c>
      <c r="D138" s="177">
        <f t="shared" si="16"/>
        <v>4.5454545454545456E-2</v>
      </c>
      <c r="E138" s="161">
        <v>30</v>
      </c>
      <c r="F138" s="162">
        <v>1</v>
      </c>
      <c r="G138" s="164">
        <f>'Rate Class Customer Model'!Q14</f>
        <v>26249.80497730177</v>
      </c>
      <c r="H138" s="161">
        <f>$Q$18+$Q$19*C138+$Q$20*D138+$Q$21*E138+$Q$22*F138+$Q$23*G138</f>
        <v>29702877.484918222</v>
      </c>
      <c r="I138" s="9"/>
      <c r="J138" s="9"/>
      <c r="K138" s="9"/>
      <c r="L138"/>
      <c r="M138"/>
      <c r="N138"/>
      <c r="O138"/>
      <c r="P138" s="147"/>
      <c r="Q138"/>
    </row>
    <row r="139" spans="1:17" x14ac:dyDescent="0.2">
      <c r="A139" s="160">
        <v>45808</v>
      </c>
      <c r="B139" s="161"/>
      <c r="C139" s="177">
        <f t="shared" si="16"/>
        <v>141.14545454545456</v>
      </c>
      <c r="D139" s="177">
        <f t="shared" si="16"/>
        <v>16.963636363636365</v>
      </c>
      <c r="E139" s="161">
        <v>31</v>
      </c>
      <c r="F139" s="162">
        <v>1</v>
      </c>
      <c r="G139" s="164">
        <f>'Rate Class Customer Model'!Q15</f>
        <v>26279.936098706883</v>
      </c>
      <c r="H139" s="161">
        <f>$Q$18+$Q$19*C139+$Q$20*D139+$Q$21*E139+$Q$22*F139+$Q$23*G139</f>
        <v>30628108.540273197</v>
      </c>
      <c r="I139" s="9"/>
      <c r="J139" s="9"/>
      <c r="K139" s="9"/>
      <c r="L139"/>
      <c r="M139"/>
      <c r="N139"/>
      <c r="O139"/>
      <c r="P139" s="147"/>
      <c r="Q139"/>
    </row>
    <row r="140" spans="1:17" x14ac:dyDescent="0.2">
      <c r="A140" s="160">
        <v>45838</v>
      </c>
      <c r="B140" s="161"/>
      <c r="C140" s="177">
        <f t="shared" si="16"/>
        <v>28.127272727272725</v>
      </c>
      <c r="D140" s="177">
        <f t="shared" si="16"/>
        <v>55.209090909090904</v>
      </c>
      <c r="E140" s="161">
        <v>30</v>
      </c>
      <c r="F140" s="162">
        <v>0</v>
      </c>
      <c r="G140" s="164">
        <f>'Rate Class Customer Model'!Q16</f>
        <v>26310.101806444272</v>
      </c>
      <c r="H140" s="161">
        <f>$Q$18+$Q$19*C140+$Q$20*D140+$Q$21*E140+$Q$22*F140+$Q$23*G140</f>
        <v>34112261.65083544</v>
      </c>
      <c r="I140" s="9"/>
      <c r="J140" s="9"/>
      <c r="K140" s="9"/>
      <c r="L140"/>
      <c r="M140"/>
      <c r="N140"/>
      <c r="O140"/>
      <c r="P140" s="147"/>
      <c r="Q140"/>
    </row>
    <row r="141" spans="1:17" x14ac:dyDescent="0.2">
      <c r="A141" s="160">
        <v>45869</v>
      </c>
      <c r="B141" s="161"/>
      <c r="C141" s="177">
        <f t="shared" si="16"/>
        <v>2.9545454545454546</v>
      </c>
      <c r="D141" s="177">
        <f t="shared" si="16"/>
        <v>105.68181818181816</v>
      </c>
      <c r="E141" s="161">
        <v>31</v>
      </c>
      <c r="F141" s="162">
        <v>0</v>
      </c>
      <c r="G141" s="164">
        <f>'Rate Class Customer Model'!Q17</f>
        <v>26340.302140214233</v>
      </c>
      <c r="H141" s="161">
        <f>$Q$18+$Q$19*C141+$Q$20*D141+$Q$21*E141+$Q$22*F141+$Q$23*G141</f>
        <v>39802717.123662457</v>
      </c>
      <c r="I141" s="9"/>
      <c r="J141" s="9"/>
      <c r="K141" s="9"/>
      <c r="L141"/>
      <c r="M141"/>
      <c r="N141"/>
      <c r="O141"/>
      <c r="P141" s="147"/>
      <c r="Q141"/>
    </row>
    <row r="142" spans="1:17" x14ac:dyDescent="0.2">
      <c r="A142" s="160">
        <v>45900</v>
      </c>
      <c r="B142" s="161"/>
      <c r="C142" s="177">
        <f t="shared" si="16"/>
        <v>7.0272727272727282</v>
      </c>
      <c r="D142" s="177">
        <f t="shared" si="16"/>
        <v>87.863636363636374</v>
      </c>
      <c r="E142" s="161">
        <v>31</v>
      </c>
      <c r="F142" s="162">
        <v>0</v>
      </c>
      <c r="G142" s="164">
        <f>'Rate Class Customer Model'!Q18</f>
        <v>26370.537139762626</v>
      </c>
      <c r="H142" s="161">
        <f>$Q$18+$Q$19*C142+$Q$20*D142+$Q$21*E142+$Q$22*F142+$Q$23*G142</f>
        <v>38218775.566831931</v>
      </c>
      <c r="I142" s="9"/>
      <c r="J142" s="9"/>
      <c r="K142" s="9"/>
      <c r="L142"/>
      <c r="M142"/>
      <c r="N142"/>
      <c r="O142"/>
      <c r="P142" s="147"/>
      <c r="Q142"/>
    </row>
    <row r="143" spans="1:17" x14ac:dyDescent="0.2">
      <c r="A143" s="160">
        <v>45930</v>
      </c>
      <c r="B143" s="161"/>
      <c r="C143" s="177">
        <f>(C11+C23+C35+C47+C59+C71+C83+C95+C107+C119+C131)/11</f>
        <v>51.009090909090908</v>
      </c>
      <c r="D143" s="177">
        <f>(D11+D23+D35+D47+D59+D71+D83+D95+D107+D119+D131)/11</f>
        <v>34.68181818181818</v>
      </c>
      <c r="E143" s="161">
        <v>30</v>
      </c>
      <c r="F143" s="162">
        <v>0</v>
      </c>
      <c r="G143" s="164">
        <f>'Rate Class Customer Model'!Q19</f>
        <v>26400.806844880943</v>
      </c>
      <c r="H143" s="161">
        <f>$Q$18+$Q$19*C143+$Q$20*D143+$Q$21*E143+$Q$22*F143+$Q$23*G143</f>
        <v>32506898.770749949</v>
      </c>
      <c r="I143" s="9"/>
      <c r="J143" s="9"/>
      <c r="K143" s="9"/>
      <c r="L143"/>
      <c r="M143"/>
      <c r="N143"/>
      <c r="O143"/>
      <c r="P143" s="147"/>
      <c r="Q143"/>
    </row>
    <row r="144" spans="1:17" x14ac:dyDescent="0.2">
      <c r="A144" s="160">
        <v>45961</v>
      </c>
      <c r="B144" s="161"/>
      <c r="C144" s="177">
        <f>(C12+C24+C36+C48+C60+C72+C84+C96+C108+C120)/10</f>
        <v>212.45</v>
      </c>
      <c r="D144" s="177">
        <f>(D12+D24+D36+D48+D60+D72+D84+D96+D108+D120)/10</f>
        <v>5.3</v>
      </c>
      <c r="E144" s="161">
        <v>31</v>
      </c>
      <c r="F144" s="162">
        <v>1</v>
      </c>
      <c r="G144" s="164">
        <f>'Rate Class Customer Model'!Q20</f>
        <v>26431.111295406343</v>
      </c>
      <c r="H144" s="161">
        <f>$Q$18+$Q$19*C144+$Q$20*D144+$Q$21*E144+$Q$22*F144+$Q$23*G144</f>
        <v>30375420.981818102</v>
      </c>
      <c r="I144" s="9"/>
      <c r="J144" s="9"/>
      <c r="K144" s="9"/>
      <c r="L144"/>
      <c r="M144"/>
      <c r="N144"/>
      <c r="O144"/>
      <c r="P144" s="147"/>
      <c r="Q144"/>
    </row>
    <row r="145" spans="1:18" x14ac:dyDescent="0.2">
      <c r="A145" s="160">
        <v>45991</v>
      </c>
      <c r="B145" s="161"/>
      <c r="C145" s="177">
        <f t="shared" ref="C145:D146" si="17">(C13+C25+C37+C49+C61+C73+C85+C97+C109+C121)/10</f>
        <v>408.5</v>
      </c>
      <c r="D145" s="177">
        <f t="shared" si="17"/>
        <v>0.22999999999999998</v>
      </c>
      <c r="E145" s="161">
        <v>30</v>
      </c>
      <c r="F145" s="162">
        <v>1</v>
      </c>
      <c r="G145" s="164">
        <f>'Rate Class Customer Model'!Q21</f>
        <v>26461.450531221715</v>
      </c>
      <c r="H145" s="161">
        <f>$Q$18+$Q$19*C145+$Q$20*D145+$Q$21*E145+$Q$22*F145+$Q$23*G145</f>
        <v>30676432.883998081</v>
      </c>
      <c r="I145" s="9"/>
      <c r="J145" s="9"/>
      <c r="K145" s="9"/>
      <c r="P145" s="147"/>
      <c r="Q145"/>
    </row>
    <row r="146" spans="1:18" x14ac:dyDescent="0.2">
      <c r="A146" s="160">
        <v>46022</v>
      </c>
      <c r="B146" s="161"/>
      <c r="C146" s="177">
        <f t="shared" si="17"/>
        <v>533.85000000000014</v>
      </c>
      <c r="D146" s="177">
        <f t="shared" si="17"/>
        <v>0</v>
      </c>
      <c r="E146" s="161">
        <v>31</v>
      </c>
      <c r="F146" s="162">
        <v>1</v>
      </c>
      <c r="G146" s="164">
        <f>'Rate Class Customer Model'!Q22</f>
        <v>26491.824592255733</v>
      </c>
      <c r="H146" s="161">
        <f>$Q$18+$Q$19*C146+$Q$20*D146+$Q$21*E146+$Q$22*F146+$Q$23*G146</f>
        <v>33253154.446081143</v>
      </c>
      <c r="I146" s="9"/>
      <c r="J146" s="9"/>
      <c r="K146" s="9"/>
      <c r="P146" s="147"/>
      <c r="Q146"/>
    </row>
    <row r="147" spans="1:18" x14ac:dyDescent="0.2">
      <c r="A147" s="31"/>
      <c r="E147" s="9"/>
      <c r="F147" s="51"/>
      <c r="Q147"/>
    </row>
    <row r="148" spans="1:18" x14ac:dyDescent="0.2">
      <c r="A148" s="31"/>
      <c r="E148" s="9"/>
      <c r="F148" s="51"/>
      <c r="Q148"/>
    </row>
    <row r="149" spans="1:18" x14ac:dyDescent="0.2">
      <c r="A149" s="31"/>
      <c r="C149" s="107" t="s">
        <v>89</v>
      </c>
      <c r="D149" s="105"/>
      <c r="E149" s="9"/>
      <c r="F149" s="51"/>
      <c r="Q149"/>
    </row>
    <row r="150" spans="1:18" x14ac:dyDescent="0.2">
      <c r="A150" s="31"/>
      <c r="C150" s="108" t="s">
        <v>90</v>
      </c>
      <c r="D150" s="106"/>
      <c r="E150" s="9"/>
      <c r="F150" s="51"/>
      <c r="H150" s="30">
        <f>SUM(H2:H146)</f>
        <v>4639807660.1051912</v>
      </c>
      <c r="I150" s="30"/>
      <c r="J150" s="30"/>
      <c r="K150" s="30"/>
      <c r="Q150"/>
    </row>
    <row r="151" spans="1:18" x14ac:dyDescent="0.2">
      <c r="A151" s="31"/>
      <c r="E151" s="9"/>
      <c r="F151" s="51"/>
      <c r="P151" s="39"/>
      <c r="Q151" s="25"/>
    </row>
    <row r="152" spans="1:18" x14ac:dyDescent="0.2">
      <c r="A152" s="25">
        <v>2014</v>
      </c>
      <c r="B152" s="6">
        <f>SUM(B3:B14)</f>
        <v>391741970.1024</v>
      </c>
      <c r="C152" s="167"/>
      <c r="H152" s="6">
        <f>SUM(H3:H14)</f>
        <v>372346922.60602123</v>
      </c>
      <c r="I152" s="6"/>
      <c r="J152" s="6"/>
      <c r="K152" s="6"/>
      <c r="L152" s="5"/>
      <c r="M152" s="5"/>
      <c r="N152" s="5"/>
      <c r="O152" s="32"/>
      <c r="P152" s="151"/>
      <c r="Q152"/>
      <c r="R152" s="152"/>
    </row>
    <row r="153" spans="1:18" x14ac:dyDescent="0.2">
      <c r="A153" s="25">
        <v>2015</v>
      </c>
      <c r="B153" s="6">
        <f>SUM(B15:B26)</f>
        <v>372659576.71719992</v>
      </c>
      <c r="C153" s="167"/>
      <c r="H153" s="6">
        <f>SUM(H15:H26)</f>
        <v>374746686.58305705</v>
      </c>
      <c r="I153" s="6"/>
      <c r="J153" s="6"/>
      <c r="K153" s="6"/>
      <c r="L153" s="5"/>
      <c r="M153" s="5"/>
      <c r="N153" s="5"/>
      <c r="O153" s="32"/>
      <c r="P153" s="151"/>
      <c r="Q153"/>
      <c r="R153" s="152"/>
    </row>
    <row r="154" spans="1:18" x14ac:dyDescent="0.2">
      <c r="A154" s="25">
        <v>2016</v>
      </c>
      <c r="B154" s="6">
        <f>SUM(B27:B38)</f>
        <v>380022205.18436003</v>
      </c>
      <c r="C154" s="167"/>
      <c r="H154" s="6">
        <f>SUM(H27:H38)</f>
        <v>388951613.52794182</v>
      </c>
      <c r="I154" s="6"/>
      <c r="J154" s="6"/>
      <c r="K154" s="6"/>
      <c r="L154" s="5"/>
      <c r="M154" s="5"/>
      <c r="N154" s="5"/>
      <c r="O154" s="32"/>
      <c r="P154" s="151"/>
      <c r="Q154"/>
      <c r="R154" s="152"/>
    </row>
    <row r="155" spans="1:18" x14ac:dyDescent="0.2">
      <c r="A155" s="25">
        <v>2017</v>
      </c>
      <c r="B155" s="6">
        <f>SUM(B39:B50)</f>
        <v>368596644.64483672</v>
      </c>
      <c r="C155" s="167"/>
      <c r="H155" s="6">
        <f>SUM(H39:H50)</f>
        <v>374031333.5970037</v>
      </c>
      <c r="I155" s="6"/>
      <c r="J155" s="6"/>
      <c r="K155" s="6"/>
      <c r="L155" s="5"/>
      <c r="M155" s="5"/>
      <c r="N155" s="5"/>
      <c r="O155" s="32"/>
      <c r="P155" s="151"/>
      <c r="Q155"/>
      <c r="R155" s="152"/>
    </row>
    <row r="156" spans="1:18" x14ac:dyDescent="0.2">
      <c r="A156" s="25">
        <v>2018</v>
      </c>
      <c r="B156" s="6">
        <f>SUM(B51:B62)</f>
        <v>393889926.42846549</v>
      </c>
      <c r="C156" s="167"/>
      <c r="H156" s="6">
        <f>SUM(H51:H62)</f>
        <v>390810343.664011</v>
      </c>
      <c r="I156" s="6"/>
      <c r="J156" s="6"/>
      <c r="K156" s="6"/>
      <c r="L156" s="5"/>
      <c r="M156" s="5"/>
      <c r="N156" s="5"/>
      <c r="O156" s="32"/>
      <c r="P156" s="151"/>
      <c r="Q156"/>
      <c r="R156" s="152"/>
    </row>
    <row r="157" spans="1:18" x14ac:dyDescent="0.2">
      <c r="A157" s="25">
        <v>2019</v>
      </c>
      <c r="B157" s="6">
        <f>SUM(B63:B74)</f>
        <v>384791777.21642524</v>
      </c>
      <c r="C157" s="167"/>
      <c r="H157" s="6">
        <f>SUM(H63:H74)</f>
        <v>382231010.00249338</v>
      </c>
      <c r="I157" s="6"/>
      <c r="J157" s="6"/>
      <c r="K157" s="6"/>
      <c r="L157" s="5"/>
      <c r="M157" s="5"/>
      <c r="N157" s="5"/>
      <c r="O157" s="32"/>
      <c r="P157" s="151"/>
      <c r="Q157"/>
      <c r="R157" s="152"/>
    </row>
    <row r="158" spans="1:18" x14ac:dyDescent="0.2">
      <c r="A158" s="25">
        <v>2020</v>
      </c>
      <c r="B158" s="6">
        <f>SUM(B75:B86)</f>
        <v>380093690.36809278</v>
      </c>
      <c r="C158" s="167"/>
      <c r="H158" s="6">
        <f>SUM(H75:H86)</f>
        <v>388610259.78411037</v>
      </c>
      <c r="I158" s="6"/>
      <c r="J158" s="6"/>
      <c r="K158" s="6"/>
      <c r="L158" s="5"/>
      <c r="M158" s="5"/>
      <c r="N158" s="5"/>
      <c r="O158" s="32"/>
      <c r="P158" s="151"/>
      <c r="Q158"/>
      <c r="R158" s="152"/>
    </row>
    <row r="159" spans="1:18" x14ac:dyDescent="0.2">
      <c r="A159" s="25">
        <v>2021</v>
      </c>
      <c r="B159" s="6">
        <f>SUM(B87:B98)</f>
        <v>383895272.72321349</v>
      </c>
      <c r="C159" s="167"/>
      <c r="H159" s="6">
        <f>SUM(H87:H98)</f>
        <v>389949359.07669818</v>
      </c>
      <c r="I159" s="6"/>
      <c r="J159" s="6"/>
      <c r="K159" s="6"/>
      <c r="L159" s="5"/>
      <c r="M159" s="5"/>
      <c r="N159" s="5"/>
      <c r="O159" s="32"/>
      <c r="P159" s="151"/>
      <c r="Q159"/>
      <c r="R159" s="152"/>
    </row>
    <row r="160" spans="1:18" x14ac:dyDescent="0.2">
      <c r="A160" s="25">
        <v>2022</v>
      </c>
      <c r="B160" s="6">
        <f>SUM(B99:B110)</f>
        <v>392612235.87385601</v>
      </c>
      <c r="C160" s="167"/>
      <c r="H160" s="6">
        <f>SUM(H99:H110)</f>
        <v>392856586.95164824</v>
      </c>
      <c r="I160" s="6"/>
      <c r="J160" s="6"/>
      <c r="K160" s="6"/>
      <c r="L160" s="5"/>
      <c r="M160" s="5"/>
      <c r="N160" s="5"/>
      <c r="O160" s="32"/>
      <c r="P160" s="151"/>
      <c r="Q160"/>
      <c r="R160" s="152"/>
    </row>
    <row r="161" spans="1:19" x14ac:dyDescent="0.2">
      <c r="A161" s="25">
        <v>2023</v>
      </c>
      <c r="B161" s="6">
        <f>SUM(B111:B122)</f>
        <v>386633787.62211913</v>
      </c>
      <c r="C161" s="167"/>
      <c r="H161" s="6">
        <f>SUM(H111:H122)</f>
        <v>385847534.33927774</v>
      </c>
      <c r="I161" s="6"/>
      <c r="J161" s="6"/>
      <c r="K161" s="6"/>
      <c r="L161" s="5"/>
      <c r="M161" s="5"/>
      <c r="N161" s="5"/>
      <c r="O161" s="32"/>
      <c r="P161" s="151"/>
      <c r="Q161"/>
      <c r="R161" s="152"/>
    </row>
    <row r="162" spans="1:19" x14ac:dyDescent="0.2">
      <c r="A162" s="25">
        <v>2024</v>
      </c>
      <c r="B162" s="6">
        <f>SUM(B123:B131,H132:H134)</f>
        <v>403235454.13807338</v>
      </c>
      <c r="H162" s="14">
        <f>SUM(H123:H134)</f>
        <v>397790890.88678068</v>
      </c>
      <c r="I162" s="6"/>
      <c r="J162" s="6"/>
      <c r="K162" s="6"/>
      <c r="L162" s="5"/>
      <c r="M162" s="5"/>
      <c r="N162" s="5"/>
      <c r="O162" s="32"/>
      <c r="P162" s="151"/>
      <c r="Q162"/>
      <c r="R162" s="152"/>
    </row>
    <row r="163" spans="1:19" x14ac:dyDescent="0.2">
      <c r="A163" s="25">
        <v>2025</v>
      </c>
      <c r="H163" s="14">
        <f>SUM(H135:H146)</f>
        <v>401635119.08614975</v>
      </c>
      <c r="I163" s="6"/>
      <c r="J163" s="6"/>
      <c r="K163" s="6"/>
      <c r="L163" s="5"/>
      <c r="M163" s="5"/>
      <c r="N163" s="5"/>
      <c r="O163" s="32"/>
      <c r="P163" s="151"/>
      <c r="Q163"/>
      <c r="R163" s="152"/>
      <c r="S163" s="34"/>
    </row>
    <row r="164" spans="1:19" x14ac:dyDescent="0.2">
      <c r="H164" s="6"/>
      <c r="I164" s="6"/>
      <c r="J164" s="6"/>
      <c r="K164" s="6"/>
      <c r="Q164"/>
      <c r="R164" s="152"/>
      <c r="S164" s="34"/>
    </row>
    <row r="165" spans="1:19" x14ac:dyDescent="0.2">
      <c r="A165" s="39" t="s">
        <v>7</v>
      </c>
      <c r="B165" s="6">
        <f>SUM(B152:B162)</f>
        <v>4238172541.0190425</v>
      </c>
      <c r="H165" s="6">
        <f>SUM(H152:H162)</f>
        <v>4238172541.0190434</v>
      </c>
      <c r="I165" s="6">
        <f>H165-B165</f>
        <v>0</v>
      </c>
      <c r="J165" s="6"/>
      <c r="K165" s="6"/>
      <c r="Q165" s="5"/>
      <c r="R165" s="6"/>
      <c r="S165" s="34"/>
    </row>
    <row r="166" spans="1:19" x14ac:dyDescent="0.2">
      <c r="P166" s="6"/>
      <c r="Q166" s="5"/>
      <c r="R166" s="6"/>
      <c r="S166" s="34"/>
    </row>
    <row r="167" spans="1:19" x14ac:dyDescent="0.2">
      <c r="H167" s="6">
        <f>SUM(H152:H163)</f>
        <v>4639807660.1051931</v>
      </c>
      <c r="I167" s="6"/>
      <c r="J167" s="6"/>
      <c r="K167" s="6"/>
      <c r="Q167" s="5"/>
      <c r="R167" s="6"/>
      <c r="S167" s="34"/>
    </row>
    <row r="168" spans="1:19" x14ac:dyDescent="0.2">
      <c r="H168" s="192"/>
      <c r="I168" s="192"/>
      <c r="J168" s="192"/>
      <c r="K168" s="192"/>
      <c r="L168"/>
      <c r="M168"/>
      <c r="N168"/>
      <c r="O168"/>
      <c r="P168"/>
      <c r="Q168" s="5"/>
      <c r="R168" s="6"/>
      <c r="S168" s="34"/>
    </row>
    <row r="169" spans="1:19" x14ac:dyDescent="0.2">
      <c r="Q169" s="6"/>
      <c r="R169" s="6"/>
      <c r="S169" s="34"/>
    </row>
    <row r="170" spans="1:19" x14ac:dyDescent="0.2">
      <c r="Q170" s="6"/>
      <c r="R170" s="6"/>
      <c r="S170" s="34"/>
    </row>
    <row r="171" spans="1:19" x14ac:dyDescent="0.2">
      <c r="A171"/>
      <c r="B171"/>
      <c r="C171"/>
      <c r="D171"/>
      <c r="E171"/>
      <c r="G171"/>
      <c r="H171"/>
      <c r="I171"/>
      <c r="J171"/>
      <c r="K171"/>
    </row>
    <row r="172" spans="1:19" x14ac:dyDescent="0.2">
      <c r="A172"/>
      <c r="B172"/>
      <c r="C172"/>
      <c r="D172"/>
      <c r="E172"/>
      <c r="G172"/>
      <c r="H172"/>
      <c r="I172"/>
      <c r="J172"/>
      <c r="K172"/>
    </row>
    <row r="173" spans="1:19" x14ac:dyDescent="0.2">
      <c r="A173"/>
      <c r="B173"/>
      <c r="C173"/>
      <c r="D173"/>
      <c r="E173"/>
      <c r="G173"/>
      <c r="H173"/>
      <c r="I173"/>
      <c r="J173"/>
      <c r="K173"/>
    </row>
    <row r="174" spans="1:19" x14ac:dyDescent="0.2">
      <c r="A174"/>
      <c r="C174" s="153"/>
      <c r="D174" s="153"/>
      <c r="F174" s="153"/>
      <c r="L174"/>
      <c r="M174"/>
      <c r="N174"/>
      <c r="O174"/>
      <c r="P174"/>
      <c r="Q174"/>
    </row>
  </sheetData>
  <mergeCells count="1">
    <mergeCell ref="H168:K168"/>
  </mergeCells>
  <phoneticPr fontId="17" type="noConversion"/>
  <printOptions gridLines="1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6A82F-F9DA-4E34-83A8-F7D12390AEEB}">
  <sheetPr>
    <tabColor rgb="FF00B0F0"/>
  </sheetPr>
  <dimension ref="A2:Z174"/>
  <sheetViews>
    <sheetView zoomScale="85" zoomScaleNormal="85" workbookViewId="0">
      <selection activeCell="C135" sqref="C135:C142"/>
    </sheetView>
  </sheetViews>
  <sheetFormatPr defaultRowHeight="12.75" x14ac:dyDescent="0.2"/>
  <cols>
    <col min="1" max="1" width="11.85546875" style="25" customWidth="1"/>
    <col min="2" max="2" width="16.85546875" style="6" customWidth="1"/>
    <col min="3" max="3" width="11.5703125" style="1" customWidth="1"/>
    <col min="4" max="4" width="13.42578125" style="1" customWidth="1"/>
    <col min="5" max="5" width="10.140625" style="1" customWidth="1"/>
    <col min="6" max="6" width="10.28515625" style="50" customWidth="1"/>
    <col min="7" max="7" width="13" style="1" customWidth="1"/>
    <col min="8" max="10" width="10.28515625" style="50" hidden="1" customWidth="1"/>
    <col min="11" max="11" width="13" style="1" hidden="1" customWidth="1"/>
    <col min="12" max="12" width="10.28515625" style="50" hidden="1" customWidth="1"/>
    <col min="13" max="13" width="16.28515625" style="1" bestFit="1" customWidth="1"/>
    <col min="14" max="16" width="16.28515625" style="1" customWidth="1"/>
    <col min="17" max="17" width="15.7109375" style="1" customWidth="1"/>
    <col min="18" max="18" width="35.28515625" style="1" bestFit="1" customWidth="1"/>
    <col min="19" max="19" width="20.42578125" style="1" customWidth="1"/>
    <col min="20" max="20" width="31.7109375" customWidth="1"/>
    <col min="21" max="21" width="18.42578125" customWidth="1"/>
    <col min="22" max="26" width="12.5703125" customWidth="1"/>
  </cols>
  <sheetData>
    <row r="2" spans="1:23" ht="38.25" x14ac:dyDescent="0.2">
      <c r="A2" s="154"/>
      <c r="B2" s="155" t="s">
        <v>52</v>
      </c>
      <c r="C2" s="156" t="s">
        <v>2</v>
      </c>
      <c r="D2" s="156" t="s">
        <v>3</v>
      </c>
      <c r="E2" s="156" t="s">
        <v>91</v>
      </c>
      <c r="F2" s="157" t="s">
        <v>13</v>
      </c>
      <c r="G2" s="156" t="s">
        <v>105</v>
      </c>
      <c r="H2" s="158" t="s">
        <v>124</v>
      </c>
      <c r="I2" s="158" t="s">
        <v>125</v>
      </c>
      <c r="J2" s="158" t="s">
        <v>127</v>
      </c>
      <c r="K2" s="159" t="s">
        <v>128</v>
      </c>
      <c r="L2" s="158" t="s">
        <v>126</v>
      </c>
      <c r="M2" s="156" t="s">
        <v>8</v>
      </c>
      <c r="N2" s="200" t="s">
        <v>143</v>
      </c>
      <c r="O2" s="201" t="s">
        <v>144</v>
      </c>
      <c r="P2" s="201" t="s">
        <v>145</v>
      </c>
      <c r="Q2" s="146"/>
      <c r="R2" t="s">
        <v>14</v>
      </c>
      <c r="S2"/>
    </row>
    <row r="3" spans="1:23" ht="13.5" thickBot="1" x14ac:dyDescent="0.25">
      <c r="A3" s="160">
        <v>41670</v>
      </c>
      <c r="B3" s="161">
        <f>Inputs!D24</f>
        <v>40172298.198266663</v>
      </c>
      <c r="C3" s="161">
        <v>672.12727272727273</v>
      </c>
      <c r="D3" s="161">
        <v>0</v>
      </c>
      <c r="E3" s="161">
        <v>31</v>
      </c>
      <c r="F3" s="162">
        <v>0</v>
      </c>
      <c r="G3" s="161">
        <f>Inputs!G24+Inputs!I24+Inputs!L24+Inputs!X24</f>
        <v>22329</v>
      </c>
      <c r="H3" s="162">
        <v>0</v>
      </c>
      <c r="I3" s="162">
        <v>1</v>
      </c>
      <c r="J3" s="162">
        <v>1</v>
      </c>
      <c r="K3" s="161">
        <v>1</v>
      </c>
      <c r="L3" s="162">
        <v>0</v>
      </c>
      <c r="M3" s="161">
        <f>$S$18+$S$19*C3+$S$20*D3+$S$21*E3+$S$22*F3+$S$23*G3</f>
        <v>34789120.907767072</v>
      </c>
      <c r="N3" s="9">
        <f>M3-B3</f>
        <v>-5383177.2904995903</v>
      </c>
      <c r="O3" s="171">
        <f>N3/B3</f>
        <v>-0.1340022237197239</v>
      </c>
      <c r="P3" s="171">
        <f>ABS(O3)</f>
        <v>0.1340022237197239</v>
      </c>
      <c r="Q3" s="11"/>
      <c r="R3"/>
      <c r="S3"/>
    </row>
    <row r="4" spans="1:23" x14ac:dyDescent="0.2">
      <c r="A4" s="160">
        <v>41698</v>
      </c>
      <c r="B4" s="161">
        <f>Inputs!D25</f>
        <v>35904108.981466666</v>
      </c>
      <c r="C4" s="161">
        <v>607.14545454545453</v>
      </c>
      <c r="D4" s="161">
        <v>0</v>
      </c>
      <c r="E4" s="161">
        <v>28</v>
      </c>
      <c r="F4" s="162">
        <v>0</v>
      </c>
      <c r="G4" s="161">
        <f>Inputs!G25+Inputs!I25+Inputs!L25+Inputs!X25</f>
        <v>22326</v>
      </c>
      <c r="H4" s="162">
        <v>0</v>
      </c>
      <c r="I4" s="162">
        <v>1</v>
      </c>
      <c r="J4" s="162">
        <v>1</v>
      </c>
      <c r="K4" s="161">
        <v>1</v>
      </c>
      <c r="L4" s="162">
        <v>0</v>
      </c>
      <c r="M4" s="161">
        <f t="shared" ref="M4:M67" si="0">$S$18+$S$19*C4+$S$20*D4+$S$21*E4+$S$22*F4+$S$23*G4</f>
        <v>30269682.492903091</v>
      </c>
      <c r="N4" s="9">
        <f t="shared" ref="N4:N67" si="1">M4-B4</f>
        <v>-5634426.4885635749</v>
      </c>
      <c r="O4" s="171">
        <f t="shared" ref="O4:O67" si="2">N4/B4</f>
        <v>-0.15692985144045793</v>
      </c>
      <c r="P4" s="171">
        <f t="shared" ref="P4:P67" si="3">ABS(O4)</f>
        <v>0.15692985144045793</v>
      </c>
      <c r="Q4" s="11"/>
      <c r="R4" s="180" t="s">
        <v>15</v>
      </c>
      <c r="S4" s="180"/>
    </row>
    <row r="5" spans="1:23" x14ac:dyDescent="0.2">
      <c r="A5" s="160">
        <v>41729</v>
      </c>
      <c r="B5" s="161">
        <f>Inputs!D26</f>
        <v>37359874.474666663</v>
      </c>
      <c r="C5" s="161">
        <v>529.88181818181829</v>
      </c>
      <c r="D5" s="161">
        <v>0</v>
      </c>
      <c r="E5" s="161">
        <v>31</v>
      </c>
      <c r="F5" s="162">
        <v>1</v>
      </c>
      <c r="G5" s="161">
        <f>Inputs!G26+Inputs!I26+Inputs!L26+Inputs!X26</f>
        <v>22340</v>
      </c>
      <c r="H5" s="162">
        <v>0</v>
      </c>
      <c r="I5" s="162">
        <v>1</v>
      </c>
      <c r="J5" s="162">
        <v>1</v>
      </c>
      <c r="K5" s="161">
        <v>1</v>
      </c>
      <c r="L5" s="162">
        <v>0</v>
      </c>
      <c r="M5" s="161">
        <f t="shared" si="0"/>
        <v>30925433.675501019</v>
      </c>
      <c r="N5" s="9">
        <f t="shared" si="1"/>
        <v>-6434440.7991656438</v>
      </c>
      <c r="O5" s="171">
        <f t="shared" si="2"/>
        <v>-0.17222865145140598</v>
      </c>
      <c r="P5" s="171">
        <f t="shared" si="3"/>
        <v>0.17222865145140598</v>
      </c>
      <c r="Q5" s="11"/>
      <c r="R5" t="s">
        <v>16</v>
      </c>
      <c r="S5">
        <v>0.94525835421030091</v>
      </c>
    </row>
    <row r="6" spans="1:23" x14ac:dyDescent="0.2">
      <c r="A6" s="160">
        <v>41759</v>
      </c>
      <c r="B6" s="161">
        <f>Inputs!D27</f>
        <v>29870903.297066666</v>
      </c>
      <c r="C6" s="161">
        <v>327.50000000000006</v>
      </c>
      <c r="D6" s="161">
        <v>4.5454545454545456E-2</v>
      </c>
      <c r="E6" s="161">
        <v>30</v>
      </c>
      <c r="F6" s="162">
        <v>1</v>
      </c>
      <c r="G6" s="161">
        <f>Inputs!G27+Inputs!I27+Inputs!L27+Inputs!X27</f>
        <v>22334</v>
      </c>
      <c r="H6" s="162">
        <v>0</v>
      </c>
      <c r="I6" s="162">
        <v>1</v>
      </c>
      <c r="J6" s="162">
        <v>1</v>
      </c>
      <c r="K6" s="161">
        <v>1</v>
      </c>
      <c r="L6" s="162">
        <v>0</v>
      </c>
      <c r="M6" s="161">
        <f t="shared" si="0"/>
        <v>27546292.326022074</v>
      </c>
      <c r="N6" s="9">
        <f t="shared" si="1"/>
        <v>-2324610.9710445926</v>
      </c>
      <c r="O6" s="171">
        <f t="shared" si="2"/>
        <v>-7.7821917466850438E-2</v>
      </c>
      <c r="P6" s="171">
        <f t="shared" si="3"/>
        <v>7.7821917466850438E-2</v>
      </c>
      <c r="Q6" s="11"/>
      <c r="R6" t="s">
        <v>17</v>
      </c>
      <c r="S6">
        <v>0.89351335620436678</v>
      </c>
    </row>
    <row r="7" spans="1:23" x14ac:dyDescent="0.2">
      <c r="A7" s="160">
        <v>41790</v>
      </c>
      <c r="B7" s="161">
        <f>Inputs!D28</f>
        <v>27607357.325866669</v>
      </c>
      <c r="C7" s="161">
        <v>141.14545454545456</v>
      </c>
      <c r="D7" s="161">
        <v>16.963636363636365</v>
      </c>
      <c r="E7" s="161">
        <v>31</v>
      </c>
      <c r="F7" s="162">
        <v>1</v>
      </c>
      <c r="G7" s="161">
        <f>Inputs!G28+Inputs!I28+Inputs!L28+Inputs!X28</f>
        <v>22336</v>
      </c>
      <c r="H7" s="162">
        <v>0</v>
      </c>
      <c r="I7" s="162">
        <v>1</v>
      </c>
      <c r="J7" s="162">
        <v>1</v>
      </c>
      <c r="K7" s="161">
        <v>1</v>
      </c>
      <c r="L7" s="162">
        <v>0</v>
      </c>
      <c r="M7" s="161">
        <f t="shared" si="0"/>
        <v>28456030.485464964</v>
      </c>
      <c r="N7" s="9">
        <f t="shared" si="1"/>
        <v>848673.15959829465</v>
      </c>
      <c r="O7" s="171">
        <f t="shared" si="2"/>
        <v>3.0740832944670574E-2</v>
      </c>
      <c r="P7" s="171">
        <f t="shared" si="3"/>
        <v>3.0740832944670574E-2</v>
      </c>
      <c r="Q7" s="11"/>
      <c r="R7" t="s">
        <v>18</v>
      </c>
      <c r="S7">
        <v>0.88918463084682076</v>
      </c>
    </row>
    <row r="8" spans="1:23" x14ac:dyDescent="0.2">
      <c r="A8" s="160">
        <v>41820</v>
      </c>
      <c r="B8" s="161">
        <f>Inputs!D29</f>
        <v>32169591.381466668</v>
      </c>
      <c r="C8" s="161">
        <v>28.127272727272725</v>
      </c>
      <c r="D8" s="161">
        <v>55.209090909090904</v>
      </c>
      <c r="E8" s="161">
        <v>30</v>
      </c>
      <c r="F8" s="162">
        <v>0</v>
      </c>
      <c r="G8" s="161">
        <f>Inputs!G29+Inputs!I29+Inputs!L29+Inputs!X29</f>
        <v>22351</v>
      </c>
      <c r="H8" s="162">
        <v>0</v>
      </c>
      <c r="I8" s="162">
        <v>1</v>
      </c>
      <c r="J8" s="162">
        <v>1</v>
      </c>
      <c r="K8" s="161">
        <v>1</v>
      </c>
      <c r="L8" s="162">
        <v>0</v>
      </c>
      <c r="M8" s="161">
        <f t="shared" si="0"/>
        <v>31931831.254575014</v>
      </c>
      <c r="N8" s="9">
        <f t="shared" si="1"/>
        <v>-237760.12689165398</v>
      </c>
      <c r="O8" s="171">
        <f t="shared" si="2"/>
        <v>-7.3908345329070846E-3</v>
      </c>
      <c r="P8" s="171">
        <f t="shared" si="3"/>
        <v>7.3908345329070846E-3</v>
      </c>
      <c r="Q8" s="11"/>
      <c r="R8" t="s">
        <v>19</v>
      </c>
      <c r="S8">
        <v>1254986.9719355979</v>
      </c>
    </row>
    <row r="9" spans="1:23" ht="13.5" thickBot="1" x14ac:dyDescent="0.25">
      <c r="A9" s="160">
        <v>41851</v>
      </c>
      <c r="B9" s="161">
        <f>Inputs!D30</f>
        <v>33916845.750666663</v>
      </c>
      <c r="C9" s="161">
        <v>2.9545454545454546</v>
      </c>
      <c r="D9" s="161">
        <v>105.68181818181816</v>
      </c>
      <c r="E9" s="161">
        <v>31</v>
      </c>
      <c r="F9" s="162">
        <v>0</v>
      </c>
      <c r="G9" s="161">
        <f>Inputs!G30+Inputs!I30+Inputs!L30+Inputs!X30</f>
        <v>22375</v>
      </c>
      <c r="H9" s="162">
        <v>0</v>
      </c>
      <c r="I9" s="162">
        <v>1</v>
      </c>
      <c r="J9" s="162">
        <v>1</v>
      </c>
      <c r="K9" s="161">
        <v>1</v>
      </c>
      <c r="L9" s="162">
        <v>0</v>
      </c>
      <c r="M9" s="161">
        <f t="shared" si="0"/>
        <v>37618871.963932961</v>
      </c>
      <c r="N9" s="9">
        <f t="shared" si="1"/>
        <v>3702026.2132662982</v>
      </c>
      <c r="O9" s="171">
        <f t="shared" si="2"/>
        <v>0.10915007369733171</v>
      </c>
      <c r="P9" s="171">
        <f t="shared" si="3"/>
        <v>0.10915007369733171</v>
      </c>
      <c r="Q9" s="11"/>
      <c r="R9" s="178" t="s">
        <v>20</v>
      </c>
      <c r="S9" s="178">
        <v>129</v>
      </c>
    </row>
    <row r="10" spans="1:23" x14ac:dyDescent="0.2">
      <c r="A10" s="160">
        <v>41882</v>
      </c>
      <c r="B10" s="161">
        <f>Inputs!D31</f>
        <v>33253613.143466666</v>
      </c>
      <c r="C10" s="161">
        <v>7.0272727272727282</v>
      </c>
      <c r="D10" s="161">
        <v>87.863636363636374</v>
      </c>
      <c r="E10" s="161">
        <v>31</v>
      </c>
      <c r="F10" s="162">
        <v>0</v>
      </c>
      <c r="G10" s="161">
        <f>Inputs!G31+Inputs!I31+Inputs!L31+Inputs!X31</f>
        <v>22386</v>
      </c>
      <c r="H10" s="162">
        <v>0</v>
      </c>
      <c r="I10" s="162">
        <v>1</v>
      </c>
      <c r="J10" s="162">
        <v>1</v>
      </c>
      <c r="K10" s="161">
        <v>1</v>
      </c>
      <c r="L10" s="162">
        <v>0</v>
      </c>
      <c r="M10" s="161">
        <f t="shared" si="0"/>
        <v>36024336.94935929</v>
      </c>
      <c r="N10" s="9">
        <f t="shared" si="1"/>
        <v>2770723.805892624</v>
      </c>
      <c r="O10" s="171">
        <f t="shared" si="2"/>
        <v>8.332098511938657E-2</v>
      </c>
      <c r="P10" s="171">
        <f t="shared" si="3"/>
        <v>8.332098511938657E-2</v>
      </c>
      <c r="Q10" s="11"/>
      <c r="R10"/>
      <c r="S10"/>
    </row>
    <row r="11" spans="1:23" ht="13.5" thickBot="1" x14ac:dyDescent="0.25">
      <c r="A11" s="160">
        <v>41912</v>
      </c>
      <c r="B11" s="161">
        <f>Inputs!D32</f>
        <v>28705908.135466669</v>
      </c>
      <c r="C11" s="161">
        <v>51.009090909090908</v>
      </c>
      <c r="D11" s="161">
        <v>34.68181818181818</v>
      </c>
      <c r="E11" s="161">
        <v>30</v>
      </c>
      <c r="F11" s="162">
        <v>0</v>
      </c>
      <c r="G11" s="161">
        <f>Inputs!G32+Inputs!I32+Inputs!L32+Inputs!X32</f>
        <v>22411</v>
      </c>
      <c r="H11" s="162">
        <v>0</v>
      </c>
      <c r="I11" s="162">
        <v>1</v>
      </c>
      <c r="J11" s="162">
        <v>1</v>
      </c>
      <c r="K11" s="161">
        <v>1</v>
      </c>
      <c r="L11" s="162">
        <v>0</v>
      </c>
      <c r="M11" s="161">
        <f t="shared" si="0"/>
        <v>30309557.922978356</v>
      </c>
      <c r="N11" s="9">
        <f t="shared" si="1"/>
        <v>1603649.7875116877</v>
      </c>
      <c r="O11" s="171">
        <f t="shared" si="2"/>
        <v>5.5864798979494729E-2</v>
      </c>
      <c r="P11" s="171">
        <f t="shared" si="3"/>
        <v>5.5864798979494729E-2</v>
      </c>
      <c r="Q11" s="11"/>
      <c r="R11" t="s">
        <v>21</v>
      </c>
      <c r="S11"/>
    </row>
    <row r="12" spans="1:23" x14ac:dyDescent="0.2">
      <c r="A12" s="160">
        <v>41943</v>
      </c>
      <c r="B12" s="161">
        <f>Inputs!D33</f>
        <v>29560489.815066669</v>
      </c>
      <c r="C12" s="161">
        <v>212.45</v>
      </c>
      <c r="D12" s="161">
        <v>5.3</v>
      </c>
      <c r="E12" s="161">
        <v>31</v>
      </c>
      <c r="F12" s="162">
        <v>1</v>
      </c>
      <c r="G12" s="161">
        <f>Inputs!G33+Inputs!I33+Inputs!L33+Inputs!X33</f>
        <v>22460</v>
      </c>
      <c r="H12" s="162">
        <v>0</v>
      </c>
      <c r="I12" s="162">
        <v>1</v>
      </c>
      <c r="J12" s="162">
        <v>1</v>
      </c>
      <c r="K12" s="161">
        <v>1</v>
      </c>
      <c r="L12" s="162">
        <v>0</v>
      </c>
      <c r="M12" s="161">
        <f t="shared" si="0"/>
        <v>28188376.49578261</v>
      </c>
      <c r="N12" s="9">
        <f t="shared" si="1"/>
        <v>-1372113.3192840591</v>
      </c>
      <c r="O12" s="171">
        <f t="shared" si="2"/>
        <v>-4.6417137465181904E-2</v>
      </c>
      <c r="P12" s="171">
        <f t="shared" si="3"/>
        <v>4.6417137465181904E-2</v>
      </c>
      <c r="Q12" s="11"/>
      <c r="R12" s="179"/>
      <c r="S12" s="179" t="s">
        <v>25</v>
      </c>
      <c r="T12" s="179" t="s">
        <v>26</v>
      </c>
      <c r="U12" s="179" t="s">
        <v>27</v>
      </c>
      <c r="V12" s="179" t="s">
        <v>28</v>
      </c>
      <c r="W12" s="179" t="s">
        <v>29</v>
      </c>
    </row>
    <row r="13" spans="1:23" x14ac:dyDescent="0.2">
      <c r="A13" s="160">
        <v>41973</v>
      </c>
      <c r="B13" s="161">
        <f>Inputs!D34</f>
        <v>30512368.479866669</v>
      </c>
      <c r="C13" s="161">
        <v>408.5</v>
      </c>
      <c r="D13" s="161">
        <v>0.22999999999999998</v>
      </c>
      <c r="E13" s="161">
        <v>30</v>
      </c>
      <c r="F13" s="162">
        <v>1</v>
      </c>
      <c r="G13" s="161">
        <f>Inputs!G34+Inputs!I34+Inputs!L34+Inputs!X34</f>
        <v>22458</v>
      </c>
      <c r="H13" s="162">
        <v>0</v>
      </c>
      <c r="I13" s="162">
        <v>1</v>
      </c>
      <c r="J13" s="162">
        <v>1</v>
      </c>
      <c r="K13" s="161">
        <v>1</v>
      </c>
      <c r="L13" s="162">
        <v>0</v>
      </c>
      <c r="M13" s="161">
        <f t="shared" si="0"/>
        <v>28471577.930788215</v>
      </c>
      <c r="N13" s="9">
        <f t="shared" si="1"/>
        <v>-2040790.5490784533</v>
      </c>
      <c r="O13" s="171">
        <f t="shared" si="2"/>
        <v>-6.6884042463797977E-2</v>
      </c>
      <c r="P13" s="171">
        <f t="shared" si="3"/>
        <v>6.6884042463797977E-2</v>
      </c>
      <c r="Q13" s="11"/>
      <c r="R13" t="s">
        <v>22</v>
      </c>
      <c r="S13">
        <v>5</v>
      </c>
      <c r="T13">
        <v>1625509289094574</v>
      </c>
      <c r="U13">
        <v>325101857818914.81</v>
      </c>
      <c r="V13">
        <v>206.41488715534859</v>
      </c>
      <c r="W13">
        <v>4.7788126339918318E-58</v>
      </c>
    </row>
    <row r="14" spans="1:23" x14ac:dyDescent="0.2">
      <c r="A14" s="160">
        <v>42004</v>
      </c>
      <c r="B14" s="161">
        <f>Inputs!D35</f>
        <v>32708611.119066667</v>
      </c>
      <c r="C14" s="161">
        <v>533.85000000000014</v>
      </c>
      <c r="D14" s="161">
        <v>0</v>
      </c>
      <c r="E14" s="161">
        <v>31</v>
      </c>
      <c r="F14" s="162">
        <v>1</v>
      </c>
      <c r="G14" s="161">
        <f>Inputs!G35+Inputs!I35+Inputs!L35+Inputs!X35</f>
        <v>22470</v>
      </c>
      <c r="H14" s="162">
        <v>0</v>
      </c>
      <c r="I14" s="162">
        <v>1</v>
      </c>
      <c r="J14" s="162">
        <v>1</v>
      </c>
      <c r="K14" s="161">
        <v>1</v>
      </c>
      <c r="L14" s="162">
        <v>0</v>
      </c>
      <c r="M14" s="161">
        <f t="shared" si="0"/>
        <v>31038180.18724592</v>
      </c>
      <c r="N14" s="9">
        <f t="shared" si="1"/>
        <v>-1670430.9318207465</v>
      </c>
      <c r="O14" s="171">
        <f t="shared" si="2"/>
        <v>-5.1070066097884864E-2</v>
      </c>
      <c r="P14" s="171">
        <f t="shared" si="3"/>
        <v>5.1070066097884864E-2</v>
      </c>
      <c r="Q14" s="11"/>
      <c r="R14" t="s">
        <v>23</v>
      </c>
      <c r="S14">
        <v>123</v>
      </c>
      <c r="T14">
        <v>193724052866553.97</v>
      </c>
      <c r="U14">
        <v>1574992299728.0811</v>
      </c>
    </row>
    <row r="15" spans="1:23" ht="13.5" thickBot="1" x14ac:dyDescent="0.25">
      <c r="A15" s="160">
        <v>42035</v>
      </c>
      <c r="B15" s="161">
        <f>Inputs!D36</f>
        <v>35265002.026533335</v>
      </c>
      <c r="C15" s="161">
        <v>672.12727272727273</v>
      </c>
      <c r="D15" s="161">
        <v>0</v>
      </c>
      <c r="E15" s="161">
        <v>31</v>
      </c>
      <c r="F15" s="162">
        <v>0</v>
      </c>
      <c r="G15" s="161">
        <f>Inputs!G36+Inputs!I36+Inputs!L36+Inputs!X36</f>
        <v>22484</v>
      </c>
      <c r="H15" s="162">
        <v>0</v>
      </c>
      <c r="I15" s="162">
        <v>1</v>
      </c>
      <c r="J15" s="162">
        <v>0</v>
      </c>
      <c r="K15" s="161">
        <v>1</v>
      </c>
      <c r="L15" s="162">
        <v>0</v>
      </c>
      <c r="M15" s="161">
        <f t="shared" si="0"/>
        <v>34874485.398993403</v>
      </c>
      <c r="N15" s="9">
        <f t="shared" si="1"/>
        <v>-390516.62753993273</v>
      </c>
      <c r="O15" s="171">
        <f t="shared" si="2"/>
        <v>-1.1073773007190205E-2</v>
      </c>
      <c r="P15" s="171">
        <f t="shared" si="3"/>
        <v>1.1073773007190205E-2</v>
      </c>
      <c r="Q15" s="11"/>
      <c r="R15" s="178" t="s">
        <v>7</v>
      </c>
      <c r="S15" s="178">
        <v>128</v>
      </c>
      <c r="T15" s="178">
        <v>1819233341961128</v>
      </c>
      <c r="U15" s="178"/>
      <c r="V15" s="178"/>
      <c r="W15" s="178"/>
    </row>
    <row r="16" spans="1:23" ht="13.5" thickBot="1" x14ac:dyDescent="0.25">
      <c r="A16" s="160">
        <v>42063</v>
      </c>
      <c r="B16" s="161">
        <f>Inputs!D37</f>
        <v>32520528.185333334</v>
      </c>
      <c r="C16" s="161">
        <v>607.14545454545453</v>
      </c>
      <c r="D16" s="161">
        <v>0</v>
      </c>
      <c r="E16" s="161">
        <v>28</v>
      </c>
      <c r="F16" s="162">
        <v>0</v>
      </c>
      <c r="G16" s="161">
        <f>Inputs!G37+Inputs!I37+Inputs!L37+Inputs!X37</f>
        <v>22480</v>
      </c>
      <c r="H16" s="162">
        <v>0</v>
      </c>
      <c r="I16" s="162">
        <v>1</v>
      </c>
      <c r="J16" s="162">
        <v>0</v>
      </c>
      <c r="K16" s="161">
        <v>1</v>
      </c>
      <c r="L16" s="162">
        <v>0</v>
      </c>
      <c r="M16" s="161">
        <f t="shared" si="0"/>
        <v>30354496.24547635</v>
      </c>
      <c r="N16" s="9">
        <f t="shared" si="1"/>
        <v>-2166031.9398569837</v>
      </c>
      <c r="O16" s="171">
        <f t="shared" si="2"/>
        <v>-6.6605066421825773E-2</v>
      </c>
      <c r="P16" s="171">
        <f t="shared" si="3"/>
        <v>6.6605066421825773E-2</v>
      </c>
      <c r="Q16" s="11"/>
      <c r="R16"/>
      <c r="S16"/>
    </row>
    <row r="17" spans="1:26" x14ac:dyDescent="0.2">
      <c r="A17" s="160">
        <v>42094</v>
      </c>
      <c r="B17" s="161">
        <f>Inputs!D38</f>
        <v>32214658.640933331</v>
      </c>
      <c r="C17" s="161">
        <v>529.88181818181829</v>
      </c>
      <c r="D17" s="161">
        <v>0</v>
      </c>
      <c r="E17" s="161">
        <v>31</v>
      </c>
      <c r="F17" s="162">
        <v>1</v>
      </c>
      <c r="G17" s="161">
        <f>Inputs!G38+Inputs!I38+Inputs!L38+Inputs!X38</f>
        <v>22502</v>
      </c>
      <c r="H17" s="162">
        <v>0</v>
      </c>
      <c r="I17" s="162">
        <v>1</v>
      </c>
      <c r="J17" s="162">
        <v>0</v>
      </c>
      <c r="K17" s="161">
        <v>1</v>
      </c>
      <c r="L17" s="162">
        <v>0</v>
      </c>
      <c r="M17" s="161">
        <f t="shared" si="0"/>
        <v>31014653.337298863</v>
      </c>
      <c r="N17" s="9">
        <f t="shared" si="1"/>
        <v>-1200005.3036344685</v>
      </c>
      <c r="O17" s="171">
        <f t="shared" si="2"/>
        <v>-3.7250287734220781E-2</v>
      </c>
      <c r="P17" s="171">
        <f t="shared" si="3"/>
        <v>3.7250287734220781E-2</v>
      </c>
      <c r="Q17" s="11"/>
      <c r="R17" s="179"/>
      <c r="S17" s="179" t="s">
        <v>117</v>
      </c>
      <c r="T17" s="179" t="s">
        <v>19</v>
      </c>
      <c r="U17" s="179" t="s">
        <v>118</v>
      </c>
      <c r="V17" s="179" t="s">
        <v>119</v>
      </c>
      <c r="W17" s="179" t="s">
        <v>120</v>
      </c>
      <c r="X17" s="179" t="s">
        <v>121</v>
      </c>
      <c r="Y17" s="179" t="s">
        <v>122</v>
      </c>
      <c r="Z17" s="179" t="s">
        <v>123</v>
      </c>
    </row>
    <row r="18" spans="1:26" x14ac:dyDescent="0.2">
      <c r="A18" s="160">
        <v>42124</v>
      </c>
      <c r="B18" s="161">
        <f>Inputs!D39</f>
        <v>27411226.508933332</v>
      </c>
      <c r="C18" s="161">
        <v>327.50000000000006</v>
      </c>
      <c r="D18" s="161">
        <v>4.5454545454545456E-2</v>
      </c>
      <c r="E18" s="161">
        <v>30</v>
      </c>
      <c r="F18" s="162">
        <v>1</v>
      </c>
      <c r="G18" s="161">
        <f>Inputs!G39+Inputs!I39+Inputs!L39+Inputs!X39</f>
        <v>22537</v>
      </c>
      <c r="H18" s="162">
        <v>0</v>
      </c>
      <c r="I18" s="162">
        <v>1</v>
      </c>
      <c r="J18" s="162">
        <v>0</v>
      </c>
      <c r="K18" s="161">
        <v>1</v>
      </c>
      <c r="L18" s="162">
        <v>0</v>
      </c>
      <c r="M18" s="161">
        <f t="shared" si="0"/>
        <v>27658092.272595912</v>
      </c>
      <c r="N18" s="9">
        <f t="shared" si="1"/>
        <v>246865.7636625804</v>
      </c>
      <c r="O18" s="171">
        <f t="shared" si="2"/>
        <v>9.0060094021012418E-3</v>
      </c>
      <c r="P18" s="171">
        <f t="shared" si="3"/>
        <v>9.0060094021012418E-3</v>
      </c>
      <c r="Q18" s="11"/>
      <c r="R18" t="s">
        <v>24</v>
      </c>
      <c r="S18">
        <v>-24198838.058729626</v>
      </c>
      <c r="T18">
        <v>5286553.1024430161</v>
      </c>
      <c r="U18">
        <v>-4.5774321357988228</v>
      </c>
      <c r="V18">
        <v>1.134367922248697E-5</v>
      </c>
      <c r="W18">
        <v>-34663245.780505359</v>
      </c>
      <c r="X18">
        <v>-13734430.33695389</v>
      </c>
      <c r="Y18">
        <v>-34663245.780505359</v>
      </c>
      <c r="Z18">
        <v>-13734430.33695389</v>
      </c>
    </row>
    <row r="19" spans="1:26" x14ac:dyDescent="0.2">
      <c r="A19" s="160">
        <v>42155</v>
      </c>
      <c r="B19" s="161">
        <f>Inputs!D40</f>
        <v>28734001.131733332</v>
      </c>
      <c r="C19" s="161">
        <v>141.14545454545456</v>
      </c>
      <c r="D19" s="161">
        <v>16.963636363636365</v>
      </c>
      <c r="E19" s="161">
        <v>31</v>
      </c>
      <c r="F19" s="162">
        <v>1</v>
      </c>
      <c r="G19" s="161">
        <f>Inputs!G40+Inputs!I40+Inputs!L40+Inputs!X40</f>
        <v>22526</v>
      </c>
      <c r="H19" s="162">
        <v>0</v>
      </c>
      <c r="I19" s="162">
        <v>1</v>
      </c>
      <c r="J19" s="162">
        <v>0</v>
      </c>
      <c r="K19" s="161">
        <v>1</v>
      </c>
      <c r="L19" s="162">
        <v>0</v>
      </c>
      <c r="M19" s="161">
        <f t="shared" si="0"/>
        <v>28560670.829548854</v>
      </c>
      <c r="N19" s="9">
        <f t="shared" si="1"/>
        <v>-173330.30218447745</v>
      </c>
      <c r="O19" s="171">
        <f t="shared" si="2"/>
        <v>-6.0322369095007263E-3</v>
      </c>
      <c r="P19" s="171">
        <f t="shared" si="3"/>
        <v>6.0322369095007263E-3</v>
      </c>
      <c r="Q19" s="11"/>
      <c r="R19" t="s">
        <v>2</v>
      </c>
      <c r="S19">
        <v>10370.111232517409</v>
      </c>
      <c r="T19">
        <v>641.88530043318042</v>
      </c>
      <c r="U19">
        <v>16.155707609317542</v>
      </c>
      <c r="V19">
        <v>3.3934452253644828E-32</v>
      </c>
      <c r="W19">
        <v>9099.5386374472328</v>
      </c>
      <c r="X19">
        <v>11640.683827587585</v>
      </c>
      <c r="Y19">
        <v>9099.5386374472328</v>
      </c>
      <c r="Z19">
        <v>11640.683827587585</v>
      </c>
    </row>
    <row r="20" spans="1:26" x14ac:dyDescent="0.2">
      <c r="A20" s="160">
        <v>42185</v>
      </c>
      <c r="B20" s="161">
        <f>Inputs!D41</f>
        <v>29750992.611733332</v>
      </c>
      <c r="C20" s="161">
        <v>28.127272727272725</v>
      </c>
      <c r="D20" s="161">
        <v>55.209090909090904</v>
      </c>
      <c r="E20" s="161">
        <v>30</v>
      </c>
      <c r="F20" s="162">
        <v>0</v>
      </c>
      <c r="G20" s="161">
        <f>Inputs!G41+Inputs!I41+Inputs!L41+Inputs!X41</f>
        <v>22535</v>
      </c>
      <c r="H20" s="162">
        <v>0</v>
      </c>
      <c r="I20" s="162">
        <v>1</v>
      </c>
      <c r="J20" s="162">
        <v>0</v>
      </c>
      <c r="K20" s="161">
        <v>1</v>
      </c>
      <c r="L20" s="162">
        <v>0</v>
      </c>
      <c r="M20" s="161">
        <f t="shared" si="0"/>
        <v>32033167.166740466</v>
      </c>
      <c r="N20" s="9">
        <f t="shared" si="1"/>
        <v>2282174.5550071336</v>
      </c>
      <c r="O20" s="171">
        <f t="shared" si="2"/>
        <v>7.6709190338310904E-2</v>
      </c>
      <c r="P20" s="171">
        <f t="shared" si="3"/>
        <v>7.6709190338310904E-2</v>
      </c>
      <c r="Q20" s="11"/>
      <c r="R20" t="s">
        <v>3</v>
      </c>
      <c r="S20">
        <v>92199.517961984689</v>
      </c>
      <c r="T20">
        <v>4910.528350452586</v>
      </c>
      <c r="U20">
        <v>18.775885481546396</v>
      </c>
      <c r="V20">
        <v>6.3444741797096749E-38</v>
      </c>
      <c r="W20">
        <v>82479.428180851421</v>
      </c>
      <c r="X20">
        <v>101919.60774311796</v>
      </c>
      <c r="Y20">
        <v>82479.428180851421</v>
      </c>
      <c r="Z20">
        <v>101919.60774311796</v>
      </c>
    </row>
    <row r="21" spans="1:26" x14ac:dyDescent="0.2">
      <c r="A21" s="160">
        <v>42216</v>
      </c>
      <c r="B21" s="161">
        <f>Inputs!D42</f>
        <v>35319999.557733327</v>
      </c>
      <c r="C21" s="161">
        <v>2.9545454545454546</v>
      </c>
      <c r="D21" s="161">
        <v>105.68181818181816</v>
      </c>
      <c r="E21" s="161">
        <v>31</v>
      </c>
      <c r="F21" s="162">
        <v>0</v>
      </c>
      <c r="G21" s="161">
        <f>Inputs!G42+Inputs!I42+Inputs!L42+Inputs!X42</f>
        <v>22560</v>
      </c>
      <c r="H21" s="162">
        <v>0</v>
      </c>
      <c r="I21" s="162">
        <v>1</v>
      </c>
      <c r="J21" s="162">
        <v>0</v>
      </c>
      <c r="K21" s="161">
        <v>1</v>
      </c>
      <c r="L21" s="162">
        <v>0</v>
      </c>
      <c r="M21" s="161">
        <f t="shared" si="0"/>
        <v>37720758.614751488</v>
      </c>
      <c r="N21" s="9">
        <f t="shared" si="1"/>
        <v>2400759.0570181608</v>
      </c>
      <c r="O21" s="171">
        <f t="shared" si="2"/>
        <v>6.7971661582099704E-2</v>
      </c>
      <c r="P21" s="171">
        <f t="shared" si="3"/>
        <v>6.7971661582099704E-2</v>
      </c>
      <c r="Q21" s="11"/>
      <c r="R21" t="s">
        <v>91</v>
      </c>
      <c r="S21">
        <v>1281305.838756029</v>
      </c>
      <c r="T21">
        <v>158798.07508252162</v>
      </c>
      <c r="U21">
        <v>8.0687743733050965</v>
      </c>
      <c r="V21">
        <v>5.416109735252124E-13</v>
      </c>
      <c r="W21">
        <v>966974.78581933444</v>
      </c>
      <c r="X21">
        <v>1595636.8916927236</v>
      </c>
      <c r="Y21">
        <v>966974.78581933444</v>
      </c>
      <c r="Z21">
        <v>1595636.8916927236</v>
      </c>
    </row>
    <row r="22" spans="1:26" x14ac:dyDescent="0.2">
      <c r="A22" s="160">
        <v>42247</v>
      </c>
      <c r="B22" s="161">
        <f>Inputs!D43</f>
        <v>33778593.432533331</v>
      </c>
      <c r="C22" s="161">
        <v>7.0272727272727282</v>
      </c>
      <c r="D22" s="161">
        <v>87.863636363636374</v>
      </c>
      <c r="E22" s="161">
        <v>31</v>
      </c>
      <c r="F22" s="162">
        <v>0</v>
      </c>
      <c r="G22" s="161">
        <f>Inputs!G43+Inputs!I43+Inputs!L43+Inputs!X43</f>
        <v>22588</v>
      </c>
      <c r="H22" s="162">
        <v>0</v>
      </c>
      <c r="I22" s="162">
        <v>1</v>
      </c>
      <c r="J22" s="162">
        <v>0</v>
      </c>
      <c r="K22" s="161">
        <v>1</v>
      </c>
      <c r="L22" s="162">
        <v>0</v>
      </c>
      <c r="M22" s="161">
        <f t="shared" si="0"/>
        <v>36135586.157280058</v>
      </c>
      <c r="N22" s="9">
        <f t="shared" si="1"/>
        <v>2356992.7247467265</v>
      </c>
      <c r="O22" s="171">
        <f t="shared" si="2"/>
        <v>6.9777704908121643E-2</v>
      </c>
      <c r="P22" s="171">
        <f t="shared" si="3"/>
        <v>6.9777704908121643E-2</v>
      </c>
      <c r="Q22" s="11"/>
      <c r="R22" t="s">
        <v>13</v>
      </c>
      <c r="S22">
        <v>-2394644.1714934949</v>
      </c>
      <c r="T22">
        <v>306632.87351311033</v>
      </c>
      <c r="U22">
        <v>-7.8094828648276353</v>
      </c>
      <c r="V22">
        <v>2.1564292133152191E-12</v>
      </c>
      <c r="W22">
        <v>-3001605.1434466676</v>
      </c>
      <c r="X22">
        <v>-1787683.1995403222</v>
      </c>
      <c r="Y22">
        <v>-3001605.1434466676</v>
      </c>
      <c r="Z22">
        <v>-1787683.1995403222</v>
      </c>
    </row>
    <row r="23" spans="1:26" ht="13.5" thickBot="1" x14ac:dyDescent="0.25">
      <c r="A23" s="160">
        <v>42277</v>
      </c>
      <c r="B23" s="161">
        <f>Inputs!D44</f>
        <v>32399240.260533333</v>
      </c>
      <c r="C23" s="161">
        <v>51.009090909090908</v>
      </c>
      <c r="D23" s="161">
        <v>34.68181818181818</v>
      </c>
      <c r="E23" s="161">
        <v>30</v>
      </c>
      <c r="F23" s="162">
        <v>0</v>
      </c>
      <c r="G23" s="161">
        <f>Inputs!G44+Inputs!I44+Inputs!L44+Inputs!X44</f>
        <v>22606</v>
      </c>
      <c r="H23" s="162">
        <v>0</v>
      </c>
      <c r="I23" s="162">
        <v>1</v>
      </c>
      <c r="J23" s="162">
        <v>0</v>
      </c>
      <c r="K23" s="161">
        <v>1</v>
      </c>
      <c r="L23" s="162">
        <v>0</v>
      </c>
      <c r="M23" s="161">
        <f t="shared" si="0"/>
        <v>30416951.96032761</v>
      </c>
      <c r="N23" s="9">
        <f t="shared" si="1"/>
        <v>-1982288.3002057225</v>
      </c>
      <c r="O23" s="171">
        <f t="shared" si="2"/>
        <v>-6.1183172329519663E-2</v>
      </c>
      <c r="P23" s="171">
        <f t="shared" si="3"/>
        <v>6.1183172329519663E-2</v>
      </c>
      <c r="Q23" s="11"/>
      <c r="R23" s="178" t="s">
        <v>105</v>
      </c>
      <c r="S23" s="178">
        <v>550.73865307310746</v>
      </c>
      <c r="T23" s="178">
        <v>100.87929127844797</v>
      </c>
      <c r="U23" s="178">
        <v>5.4593826551869151</v>
      </c>
      <c r="V23" s="178">
        <v>2.5259870180878541E-7</v>
      </c>
      <c r="W23" s="178">
        <v>351.05428139175194</v>
      </c>
      <c r="X23" s="178">
        <v>750.42302475446297</v>
      </c>
      <c r="Y23" s="178">
        <v>351.05428139175194</v>
      </c>
      <c r="Z23" s="178">
        <v>750.42302475446297</v>
      </c>
    </row>
    <row r="24" spans="1:26" x14ac:dyDescent="0.2">
      <c r="A24" s="160">
        <v>42308</v>
      </c>
      <c r="B24" s="161">
        <f>Inputs!D45</f>
        <v>27207724.193333331</v>
      </c>
      <c r="C24" s="161">
        <v>212.45</v>
      </c>
      <c r="D24" s="161">
        <v>5.3</v>
      </c>
      <c r="E24" s="161">
        <v>31</v>
      </c>
      <c r="F24" s="162">
        <v>1</v>
      </c>
      <c r="G24" s="161">
        <f>Inputs!G45+Inputs!I45+Inputs!L45+Inputs!X45</f>
        <v>22626</v>
      </c>
      <c r="H24" s="162">
        <v>0</v>
      </c>
      <c r="I24" s="162">
        <v>1</v>
      </c>
      <c r="J24" s="162">
        <v>0</v>
      </c>
      <c r="K24" s="161">
        <v>1</v>
      </c>
      <c r="L24" s="162">
        <v>0</v>
      </c>
      <c r="M24" s="161">
        <f t="shared" si="0"/>
        <v>28279799.112192743</v>
      </c>
      <c r="N24" s="9">
        <f t="shared" si="1"/>
        <v>1072074.918859411</v>
      </c>
      <c r="O24" s="171">
        <f t="shared" si="2"/>
        <v>3.940332940901025E-2</v>
      </c>
      <c r="P24" s="171">
        <f t="shared" si="3"/>
        <v>3.940332940901025E-2</v>
      </c>
      <c r="Q24" s="11"/>
      <c r="R24"/>
      <c r="S24"/>
    </row>
    <row r="25" spans="1:26" x14ac:dyDescent="0.2">
      <c r="A25" s="160">
        <v>42338</v>
      </c>
      <c r="B25" s="161">
        <f>Inputs!D46</f>
        <v>27907416.640533332</v>
      </c>
      <c r="C25" s="161">
        <v>408.5</v>
      </c>
      <c r="D25" s="161">
        <v>0.22999999999999998</v>
      </c>
      <c r="E25" s="161">
        <v>30</v>
      </c>
      <c r="F25" s="162">
        <v>1</v>
      </c>
      <c r="G25" s="161">
        <f>Inputs!G46+Inputs!I46+Inputs!L46+Inputs!X46</f>
        <v>22650</v>
      </c>
      <c r="H25" s="162">
        <v>0</v>
      </c>
      <c r="I25" s="162">
        <v>1</v>
      </c>
      <c r="J25" s="162">
        <v>0</v>
      </c>
      <c r="K25" s="161">
        <v>1</v>
      </c>
      <c r="L25" s="162">
        <v>0</v>
      </c>
      <c r="M25" s="161">
        <f t="shared" si="0"/>
        <v>28577319.752178252</v>
      </c>
      <c r="N25" s="9">
        <f t="shared" si="1"/>
        <v>669903.11164491996</v>
      </c>
      <c r="O25" s="171">
        <f t="shared" si="2"/>
        <v>2.4004483119083774E-2</v>
      </c>
      <c r="P25" s="171">
        <f t="shared" si="3"/>
        <v>2.4004483119083774E-2</v>
      </c>
      <c r="Q25" s="11"/>
      <c r="R25"/>
      <c r="S25"/>
    </row>
    <row r="26" spans="1:26" x14ac:dyDescent="0.2">
      <c r="A26" s="160">
        <v>42369</v>
      </c>
      <c r="B26" s="161">
        <f>Inputs!D47</f>
        <v>30150193.52733333</v>
      </c>
      <c r="C26" s="161">
        <v>533.85000000000014</v>
      </c>
      <c r="D26" s="161">
        <v>0</v>
      </c>
      <c r="E26" s="161">
        <v>31</v>
      </c>
      <c r="F26" s="162">
        <v>1</v>
      </c>
      <c r="G26" s="161">
        <f>Inputs!G47+Inputs!I47+Inputs!L47+Inputs!X47</f>
        <v>22667</v>
      </c>
      <c r="H26" s="162">
        <v>0</v>
      </c>
      <c r="I26" s="162">
        <v>1</v>
      </c>
      <c r="J26" s="162">
        <v>0</v>
      </c>
      <c r="K26" s="161">
        <v>1</v>
      </c>
      <c r="L26" s="162">
        <v>0</v>
      </c>
      <c r="M26" s="161">
        <f t="shared" si="0"/>
        <v>31146675.701901324</v>
      </c>
      <c r="N26" s="9">
        <f t="shared" si="1"/>
        <v>996482.17456799373</v>
      </c>
      <c r="O26" s="171">
        <f t="shared" si="2"/>
        <v>3.3050606247837531E-2</v>
      </c>
      <c r="P26" s="171">
        <f t="shared" si="3"/>
        <v>3.3050606247837531E-2</v>
      </c>
      <c r="Q26" s="11"/>
      <c r="R26"/>
      <c r="S26"/>
    </row>
    <row r="27" spans="1:26" x14ac:dyDescent="0.2">
      <c r="A27" s="160">
        <v>42400</v>
      </c>
      <c r="B27" s="161">
        <f>Inputs!D48</f>
        <v>33030100.046666667</v>
      </c>
      <c r="C27" s="161">
        <v>672.12727272727273</v>
      </c>
      <c r="D27" s="161">
        <v>0</v>
      </c>
      <c r="E27" s="161">
        <v>31</v>
      </c>
      <c r="F27" s="162">
        <v>0</v>
      </c>
      <c r="G27" s="161">
        <f>Inputs!G48+Inputs!I48+Inputs!L48+Inputs!X48</f>
        <v>22670</v>
      </c>
      <c r="H27" s="162">
        <v>0</v>
      </c>
      <c r="I27" s="162">
        <v>1</v>
      </c>
      <c r="J27" s="162">
        <v>0</v>
      </c>
      <c r="K27" s="161">
        <v>1</v>
      </c>
      <c r="L27" s="162">
        <v>0</v>
      </c>
      <c r="M27" s="161">
        <f t="shared" si="0"/>
        <v>34976922.788465001</v>
      </c>
      <c r="N27" s="9">
        <f t="shared" si="1"/>
        <v>1946822.7417983338</v>
      </c>
      <c r="O27" s="171">
        <f t="shared" si="2"/>
        <v>5.8940867240721645E-2</v>
      </c>
      <c r="P27" s="171">
        <f t="shared" si="3"/>
        <v>5.8940867240721645E-2</v>
      </c>
      <c r="Q27" s="11"/>
      <c r="R27"/>
      <c r="S27" s="132"/>
    </row>
    <row r="28" spans="1:26" x14ac:dyDescent="0.2">
      <c r="A28" s="160">
        <v>42429</v>
      </c>
      <c r="B28" s="161">
        <f>Inputs!D49</f>
        <v>30335368.476666667</v>
      </c>
      <c r="C28" s="161">
        <v>607.14545454545453</v>
      </c>
      <c r="D28" s="161">
        <v>0</v>
      </c>
      <c r="E28" s="161">
        <v>29</v>
      </c>
      <c r="F28" s="162">
        <v>0</v>
      </c>
      <c r="G28" s="161">
        <f>Inputs!G49+Inputs!I49+Inputs!L49+Inputs!X49</f>
        <v>22695</v>
      </c>
      <c r="H28" s="162">
        <v>0</v>
      </c>
      <c r="I28" s="162">
        <v>1</v>
      </c>
      <c r="J28" s="162">
        <v>0</v>
      </c>
      <c r="K28" s="161">
        <v>1</v>
      </c>
      <c r="L28" s="162">
        <v>0</v>
      </c>
      <c r="M28" s="161">
        <f t="shared" si="0"/>
        <v>31754210.894643091</v>
      </c>
      <c r="N28" s="9">
        <f t="shared" si="1"/>
        <v>1418842.4179764241</v>
      </c>
      <c r="O28" s="171">
        <f t="shared" si="2"/>
        <v>4.677188671921912E-2</v>
      </c>
      <c r="P28" s="171">
        <f t="shared" si="3"/>
        <v>4.677188671921912E-2</v>
      </c>
      <c r="Q28" s="11"/>
      <c r="R28"/>
      <c r="S28" s="132"/>
    </row>
    <row r="29" spans="1:26" x14ac:dyDescent="0.2">
      <c r="A29" s="160">
        <v>42460</v>
      </c>
      <c r="B29" s="161">
        <f>Inputs!D50</f>
        <v>29470505.726666667</v>
      </c>
      <c r="C29" s="161">
        <v>529.88181818181829</v>
      </c>
      <c r="D29" s="161">
        <v>0</v>
      </c>
      <c r="E29" s="161">
        <v>31</v>
      </c>
      <c r="F29" s="162">
        <v>1</v>
      </c>
      <c r="G29" s="161">
        <f>Inputs!G50+Inputs!I50+Inputs!L50+Inputs!X50</f>
        <v>22699</v>
      </c>
      <c r="H29" s="162">
        <v>0</v>
      </c>
      <c r="I29" s="162">
        <v>1</v>
      </c>
      <c r="J29" s="162">
        <v>0</v>
      </c>
      <c r="K29" s="161">
        <v>1</v>
      </c>
      <c r="L29" s="162">
        <v>0</v>
      </c>
      <c r="M29" s="161">
        <f t="shared" si="0"/>
        <v>31123148.851954266</v>
      </c>
      <c r="N29" s="9">
        <f t="shared" si="1"/>
        <v>1652643.1252875999</v>
      </c>
      <c r="O29" s="171">
        <f t="shared" si="2"/>
        <v>5.6077867838969252E-2</v>
      </c>
      <c r="P29" s="171">
        <f t="shared" si="3"/>
        <v>5.6077867838969252E-2</v>
      </c>
      <c r="Q29" s="11"/>
      <c r="R29"/>
      <c r="S29"/>
    </row>
    <row r="30" spans="1:26" x14ac:dyDescent="0.2">
      <c r="A30" s="160">
        <v>42490</v>
      </c>
      <c r="B30" s="161">
        <f>Inputs!D51</f>
        <v>27500006.806666669</v>
      </c>
      <c r="C30" s="161">
        <v>327.50000000000006</v>
      </c>
      <c r="D30" s="161">
        <v>4.5454545454545456E-2</v>
      </c>
      <c r="E30" s="161">
        <v>30</v>
      </c>
      <c r="F30" s="162">
        <v>1</v>
      </c>
      <c r="G30" s="161">
        <f>Inputs!G51+Inputs!I51+Inputs!L51+Inputs!X51</f>
        <v>22717</v>
      </c>
      <c r="H30" s="162">
        <v>0</v>
      </c>
      <c r="I30" s="162">
        <v>1</v>
      </c>
      <c r="J30" s="162">
        <v>0</v>
      </c>
      <c r="K30" s="161">
        <v>1</v>
      </c>
      <c r="L30" s="162">
        <v>0</v>
      </c>
      <c r="M30" s="161">
        <f t="shared" si="0"/>
        <v>27757225.230149075</v>
      </c>
      <c r="N30" s="9">
        <f t="shared" si="1"/>
        <v>257218.42348240688</v>
      </c>
      <c r="O30" s="171">
        <f t="shared" si="2"/>
        <v>9.353394902435112E-3</v>
      </c>
      <c r="P30" s="171">
        <f t="shared" si="3"/>
        <v>9.353394902435112E-3</v>
      </c>
      <c r="Q30" s="11"/>
      <c r="R30" s="147"/>
      <c r="S30" s="173"/>
    </row>
    <row r="31" spans="1:26" x14ac:dyDescent="0.2">
      <c r="A31" s="160">
        <v>42521</v>
      </c>
      <c r="B31" s="161">
        <f>Inputs!D52</f>
        <v>28052824.666666668</v>
      </c>
      <c r="C31" s="161">
        <v>141.14545454545456</v>
      </c>
      <c r="D31" s="161">
        <v>16.963636363636365</v>
      </c>
      <c r="E31" s="161">
        <v>31</v>
      </c>
      <c r="F31" s="162">
        <v>1</v>
      </c>
      <c r="G31" s="161">
        <f>Inputs!G52+Inputs!I52+Inputs!L52+Inputs!X52</f>
        <v>22722</v>
      </c>
      <c r="H31" s="162">
        <v>0</v>
      </c>
      <c r="I31" s="162">
        <v>1</v>
      </c>
      <c r="J31" s="162">
        <v>0</v>
      </c>
      <c r="K31" s="161">
        <v>1</v>
      </c>
      <c r="L31" s="162">
        <v>0</v>
      </c>
      <c r="M31" s="161">
        <f t="shared" si="0"/>
        <v>28668615.605551183</v>
      </c>
      <c r="N31" s="9">
        <f t="shared" si="1"/>
        <v>615790.93888451532</v>
      </c>
      <c r="O31" s="171">
        <f t="shared" si="2"/>
        <v>2.195112065189711E-2</v>
      </c>
      <c r="P31" s="171">
        <f t="shared" si="3"/>
        <v>2.195112065189711E-2</v>
      </c>
      <c r="Q31" s="11"/>
      <c r="R31" s="147"/>
      <c r="U31" s="40"/>
    </row>
    <row r="32" spans="1:26" x14ac:dyDescent="0.2">
      <c r="A32" s="160">
        <v>42551</v>
      </c>
      <c r="B32" s="161">
        <f>Inputs!D53</f>
        <v>31979033.996666666</v>
      </c>
      <c r="C32" s="161">
        <v>28.127272727272725</v>
      </c>
      <c r="D32" s="161">
        <v>55.209090909090904</v>
      </c>
      <c r="E32" s="161">
        <v>30</v>
      </c>
      <c r="F32" s="162">
        <v>0</v>
      </c>
      <c r="G32" s="161">
        <f>Inputs!G53+Inputs!I53+Inputs!L53+Inputs!X53</f>
        <v>22733</v>
      </c>
      <c r="H32" s="162">
        <v>0</v>
      </c>
      <c r="I32" s="162">
        <v>1</v>
      </c>
      <c r="J32" s="162">
        <v>0</v>
      </c>
      <c r="K32" s="161">
        <v>1</v>
      </c>
      <c r="L32" s="162">
        <v>0</v>
      </c>
      <c r="M32" s="161">
        <f t="shared" si="0"/>
        <v>32142213.420048945</v>
      </c>
      <c r="N32" s="9">
        <f t="shared" si="1"/>
        <v>163179.42338227853</v>
      </c>
      <c r="O32" s="171">
        <f t="shared" si="2"/>
        <v>5.1027002066193596E-3</v>
      </c>
      <c r="P32" s="171">
        <f t="shared" si="3"/>
        <v>5.1027002066193596E-3</v>
      </c>
      <c r="Q32" s="11"/>
      <c r="R32" s="147"/>
      <c r="U32" s="40"/>
    </row>
    <row r="33" spans="1:21" x14ac:dyDescent="0.2">
      <c r="A33" s="160">
        <v>42582</v>
      </c>
      <c r="B33" s="161">
        <f>Inputs!D54</f>
        <v>38582728.506666668</v>
      </c>
      <c r="C33" s="161">
        <v>2.9545454545454546</v>
      </c>
      <c r="D33" s="161">
        <v>105.68181818181816</v>
      </c>
      <c r="E33" s="161">
        <v>31</v>
      </c>
      <c r="F33" s="162">
        <v>0</v>
      </c>
      <c r="G33" s="161">
        <f>Inputs!G54+Inputs!I54+Inputs!L54+Inputs!X54</f>
        <v>22761</v>
      </c>
      <c r="H33" s="162">
        <v>0</v>
      </c>
      <c r="I33" s="162">
        <v>1</v>
      </c>
      <c r="J33" s="162">
        <v>0</v>
      </c>
      <c r="K33" s="161">
        <v>1</v>
      </c>
      <c r="L33" s="162">
        <v>0</v>
      </c>
      <c r="M33" s="161">
        <f t="shared" si="0"/>
        <v>37831457.084019184</v>
      </c>
      <c r="N33" s="9">
        <f t="shared" si="1"/>
        <v>-751271.42264748365</v>
      </c>
      <c r="O33" s="171">
        <f t="shared" si="2"/>
        <v>-1.9471702798771015E-2</v>
      </c>
      <c r="P33" s="171">
        <f t="shared" si="3"/>
        <v>1.9471702798771015E-2</v>
      </c>
      <c r="Q33" s="11"/>
      <c r="R33" s="147"/>
      <c r="S33"/>
      <c r="U33" s="40"/>
    </row>
    <row r="34" spans="1:21" x14ac:dyDescent="0.2">
      <c r="A34" s="160">
        <v>42613</v>
      </c>
      <c r="B34" s="161">
        <f>Inputs!D55</f>
        <v>41437079.986666664</v>
      </c>
      <c r="C34" s="161">
        <v>7.0272727272727282</v>
      </c>
      <c r="D34" s="161">
        <v>87.863636363636374</v>
      </c>
      <c r="E34" s="161">
        <v>31</v>
      </c>
      <c r="F34" s="162">
        <v>0</v>
      </c>
      <c r="G34" s="161">
        <f>Inputs!G55+Inputs!I55+Inputs!L55+Inputs!X55</f>
        <v>22775</v>
      </c>
      <c r="H34" s="162">
        <v>0</v>
      </c>
      <c r="I34" s="162">
        <v>1</v>
      </c>
      <c r="J34" s="162">
        <v>0</v>
      </c>
      <c r="K34" s="161">
        <v>1</v>
      </c>
      <c r="L34" s="162">
        <v>0</v>
      </c>
      <c r="M34" s="161">
        <f t="shared" si="0"/>
        <v>36238574.285404727</v>
      </c>
      <c r="N34" s="9">
        <f t="shared" si="1"/>
        <v>-5198505.7012619376</v>
      </c>
      <c r="O34" s="171">
        <f t="shared" si="2"/>
        <v>-0.12545540619499918</v>
      </c>
      <c r="P34" s="171">
        <f t="shared" si="3"/>
        <v>0.12545540619499918</v>
      </c>
      <c r="Q34" s="11"/>
      <c r="R34" s="147"/>
      <c r="S34"/>
      <c r="U34" s="40"/>
    </row>
    <row r="35" spans="1:21" x14ac:dyDescent="0.2">
      <c r="A35" s="160">
        <v>42643</v>
      </c>
      <c r="B35" s="161">
        <f>Inputs!D56</f>
        <v>31887811.926666666</v>
      </c>
      <c r="C35" s="161">
        <v>51.009090909090908</v>
      </c>
      <c r="D35" s="161">
        <v>34.68181818181818</v>
      </c>
      <c r="E35" s="161">
        <v>30</v>
      </c>
      <c r="F35" s="162">
        <v>0</v>
      </c>
      <c r="G35" s="161">
        <f>Inputs!G56+Inputs!I56+Inputs!L56+Inputs!X56</f>
        <v>22784</v>
      </c>
      <c r="H35" s="162">
        <v>0</v>
      </c>
      <c r="I35" s="162">
        <v>1</v>
      </c>
      <c r="J35" s="162">
        <v>0</v>
      </c>
      <c r="K35" s="161">
        <v>1</v>
      </c>
      <c r="L35" s="162">
        <v>0</v>
      </c>
      <c r="M35" s="161">
        <f t="shared" si="0"/>
        <v>30514983.440574624</v>
      </c>
      <c r="N35" s="9">
        <f t="shared" si="1"/>
        <v>-1372828.4860920422</v>
      </c>
      <c r="O35" s="171">
        <f t="shared" si="2"/>
        <v>-4.305182460462248E-2</v>
      </c>
      <c r="P35" s="171">
        <f t="shared" si="3"/>
        <v>4.305182460462248E-2</v>
      </c>
      <c r="Q35" s="11"/>
      <c r="R35" s="147"/>
      <c r="S35"/>
      <c r="U35" s="40"/>
    </row>
    <row r="36" spans="1:21" x14ac:dyDescent="0.2">
      <c r="A36" s="160">
        <v>42674</v>
      </c>
      <c r="B36" s="161">
        <f>Inputs!D57</f>
        <v>27632019.866666667</v>
      </c>
      <c r="C36" s="161">
        <v>212.45</v>
      </c>
      <c r="D36" s="161">
        <v>5.3</v>
      </c>
      <c r="E36" s="161">
        <v>31</v>
      </c>
      <c r="F36" s="162">
        <v>1</v>
      </c>
      <c r="G36" s="161">
        <f>Inputs!G57+Inputs!I57+Inputs!L57+Inputs!X57</f>
        <v>22793</v>
      </c>
      <c r="H36" s="162">
        <v>0</v>
      </c>
      <c r="I36" s="162">
        <v>1</v>
      </c>
      <c r="J36" s="162">
        <v>0</v>
      </c>
      <c r="K36" s="161">
        <v>1</v>
      </c>
      <c r="L36" s="162">
        <v>0</v>
      </c>
      <c r="M36" s="161">
        <f t="shared" si="0"/>
        <v>28371772.467255954</v>
      </c>
      <c r="N36" s="9">
        <f t="shared" si="1"/>
        <v>739752.60058928654</v>
      </c>
      <c r="O36" s="171">
        <f t="shared" si="2"/>
        <v>2.6771571682375355E-2</v>
      </c>
      <c r="P36" s="171">
        <f t="shared" si="3"/>
        <v>2.6771571682375355E-2</v>
      </c>
      <c r="Q36" s="11"/>
      <c r="R36" s="147"/>
      <c r="S36"/>
      <c r="U36" s="40"/>
    </row>
    <row r="37" spans="1:21" x14ac:dyDescent="0.2">
      <c r="A37" s="160">
        <v>42704</v>
      </c>
      <c r="B37" s="161">
        <f>Inputs!D58</f>
        <v>28072689.79275357</v>
      </c>
      <c r="C37" s="161">
        <v>408.5</v>
      </c>
      <c r="D37" s="161">
        <v>0.22999999999999998</v>
      </c>
      <c r="E37" s="161">
        <v>30</v>
      </c>
      <c r="F37" s="162">
        <v>1</v>
      </c>
      <c r="G37" s="161">
        <f>Inputs!G58+Inputs!I58+Inputs!L58+Inputs!X58</f>
        <v>22824</v>
      </c>
      <c r="H37" s="162">
        <v>0</v>
      </c>
      <c r="I37" s="162">
        <v>1</v>
      </c>
      <c r="J37" s="162">
        <v>0</v>
      </c>
      <c r="K37" s="161">
        <v>1</v>
      </c>
      <c r="L37" s="162">
        <v>0</v>
      </c>
      <c r="M37" s="161">
        <f t="shared" si="0"/>
        <v>28673148.277812973</v>
      </c>
      <c r="N37" s="9">
        <f t="shared" si="1"/>
        <v>600458.48505940288</v>
      </c>
      <c r="O37" s="171">
        <f t="shared" si="2"/>
        <v>2.1389417597397445E-2</v>
      </c>
      <c r="P37" s="171">
        <f t="shared" si="3"/>
        <v>2.1389417597397445E-2</v>
      </c>
      <c r="Q37" s="11"/>
      <c r="R37" s="147"/>
      <c r="S37"/>
      <c r="U37" s="40"/>
    </row>
    <row r="38" spans="1:21" x14ac:dyDescent="0.2">
      <c r="A38" s="160">
        <v>42735</v>
      </c>
      <c r="B38" s="161">
        <f>Inputs!D59</f>
        <v>32042035.384939767</v>
      </c>
      <c r="C38" s="161">
        <v>533.85000000000014</v>
      </c>
      <c r="D38" s="161">
        <v>0</v>
      </c>
      <c r="E38" s="161">
        <v>31</v>
      </c>
      <c r="F38" s="162">
        <v>1</v>
      </c>
      <c r="G38" s="161">
        <f>Inputs!G59+Inputs!I59+Inputs!L59+Inputs!X59</f>
        <v>22852</v>
      </c>
      <c r="H38" s="162">
        <v>0</v>
      </c>
      <c r="I38" s="162">
        <v>1</v>
      </c>
      <c r="J38" s="162">
        <v>0</v>
      </c>
      <c r="K38" s="161">
        <v>1</v>
      </c>
      <c r="L38" s="162">
        <v>0</v>
      </c>
      <c r="M38" s="161">
        <f t="shared" si="0"/>
        <v>31248562.352719851</v>
      </c>
      <c r="N38" s="9">
        <f t="shared" si="1"/>
        <v>-793473.03221991658</v>
      </c>
      <c r="O38" s="171">
        <f t="shared" si="2"/>
        <v>-2.4763502776507785E-2</v>
      </c>
      <c r="P38" s="171">
        <f t="shared" si="3"/>
        <v>2.4763502776507785E-2</v>
      </c>
      <c r="Q38" s="11"/>
      <c r="R38" s="147"/>
      <c r="S38"/>
      <c r="U38" s="40"/>
    </row>
    <row r="39" spans="1:21" x14ac:dyDescent="0.2">
      <c r="A39" s="160">
        <v>42766</v>
      </c>
      <c r="B39" s="161">
        <f>Inputs!D60</f>
        <v>32603243.687800001</v>
      </c>
      <c r="C39" s="161">
        <v>672.12727272727273</v>
      </c>
      <c r="D39" s="161">
        <v>0</v>
      </c>
      <c r="E39" s="161">
        <v>31</v>
      </c>
      <c r="F39" s="162">
        <v>0</v>
      </c>
      <c r="G39" s="161">
        <f>Inputs!G60+Inputs!I60+Inputs!L60+Inputs!X60</f>
        <v>22862</v>
      </c>
      <c r="H39" s="162">
        <v>0</v>
      </c>
      <c r="I39" s="162">
        <v>1</v>
      </c>
      <c r="J39" s="162">
        <v>0</v>
      </c>
      <c r="K39" s="161">
        <v>1</v>
      </c>
      <c r="L39" s="162">
        <v>0</v>
      </c>
      <c r="M39" s="161">
        <f t="shared" si="0"/>
        <v>35082664.609855033</v>
      </c>
      <c r="N39" s="9">
        <f t="shared" si="1"/>
        <v>2479420.9220550321</v>
      </c>
      <c r="O39" s="171">
        <f t="shared" si="2"/>
        <v>7.6048289728387397E-2</v>
      </c>
      <c r="P39" s="171">
        <f t="shared" si="3"/>
        <v>7.6048289728387397E-2</v>
      </c>
      <c r="Q39" s="11"/>
      <c r="R39" s="147"/>
      <c r="S39"/>
      <c r="U39" s="40"/>
    </row>
    <row r="40" spans="1:21" x14ac:dyDescent="0.2">
      <c r="A40" s="160">
        <v>42794</v>
      </c>
      <c r="B40" s="161">
        <f>Inputs!D61</f>
        <v>28442344.894508798</v>
      </c>
      <c r="C40" s="161">
        <v>607.14545454545453</v>
      </c>
      <c r="D40" s="161">
        <v>0</v>
      </c>
      <c r="E40" s="161">
        <v>28</v>
      </c>
      <c r="F40" s="162">
        <v>0</v>
      </c>
      <c r="G40" s="161">
        <f>Inputs!G61+Inputs!I61+Inputs!L61+Inputs!X61</f>
        <v>22870</v>
      </c>
      <c r="H40" s="162">
        <v>0</v>
      </c>
      <c r="I40" s="162">
        <v>1</v>
      </c>
      <c r="J40" s="162">
        <v>0</v>
      </c>
      <c r="K40" s="161">
        <v>1</v>
      </c>
      <c r="L40" s="162">
        <v>0</v>
      </c>
      <c r="M40" s="161">
        <f t="shared" si="0"/>
        <v>30569284.320174858</v>
      </c>
      <c r="N40" s="9">
        <f t="shared" si="1"/>
        <v>2126939.4256660603</v>
      </c>
      <c r="O40" s="171">
        <f t="shared" si="2"/>
        <v>7.478073392172023E-2</v>
      </c>
      <c r="P40" s="171">
        <f t="shared" si="3"/>
        <v>7.478073392172023E-2</v>
      </c>
      <c r="Q40" s="11"/>
      <c r="R40" s="147"/>
      <c r="S40"/>
    </row>
    <row r="41" spans="1:21" x14ac:dyDescent="0.2">
      <c r="A41" s="160">
        <v>42825</v>
      </c>
      <c r="B41" s="161">
        <f>Inputs!D62</f>
        <v>31091148.4114093</v>
      </c>
      <c r="C41" s="161">
        <v>529.88181818181829</v>
      </c>
      <c r="D41" s="161">
        <v>0</v>
      </c>
      <c r="E41" s="161">
        <v>31</v>
      </c>
      <c r="F41" s="162">
        <v>1</v>
      </c>
      <c r="G41" s="161">
        <f>Inputs!G62+Inputs!I62+Inputs!L62+Inputs!X62</f>
        <v>22881</v>
      </c>
      <c r="H41" s="162">
        <v>0</v>
      </c>
      <c r="I41" s="162">
        <v>1</v>
      </c>
      <c r="J41" s="162">
        <v>0</v>
      </c>
      <c r="K41" s="161">
        <v>1</v>
      </c>
      <c r="L41" s="162">
        <v>0</v>
      </c>
      <c r="M41" s="161">
        <f t="shared" si="0"/>
        <v>31223383.286813572</v>
      </c>
      <c r="N41" s="9">
        <f t="shared" si="1"/>
        <v>132234.87540427223</v>
      </c>
      <c r="O41" s="171">
        <f t="shared" si="2"/>
        <v>4.2531357688848489E-3</v>
      </c>
      <c r="P41" s="171">
        <f t="shared" si="3"/>
        <v>4.2531357688848489E-3</v>
      </c>
      <c r="Q41" s="11"/>
      <c r="R41" s="147"/>
      <c r="S41"/>
    </row>
    <row r="42" spans="1:21" x14ac:dyDescent="0.2">
      <c r="A42" s="160">
        <v>42855</v>
      </c>
      <c r="B42" s="161">
        <f>Inputs!D63</f>
        <v>26726381.985407598</v>
      </c>
      <c r="C42" s="161">
        <v>327.50000000000006</v>
      </c>
      <c r="D42" s="161">
        <v>4.5454545454545456E-2</v>
      </c>
      <c r="E42" s="161">
        <v>30</v>
      </c>
      <c r="F42" s="162">
        <v>1</v>
      </c>
      <c r="G42" s="161">
        <f>Inputs!G63+Inputs!I63+Inputs!L63+Inputs!X63</f>
        <v>22886</v>
      </c>
      <c r="H42" s="162">
        <v>0</v>
      </c>
      <c r="I42" s="162">
        <v>1</v>
      </c>
      <c r="J42" s="162">
        <v>0</v>
      </c>
      <c r="K42" s="161">
        <v>1</v>
      </c>
      <c r="L42" s="162">
        <v>0</v>
      </c>
      <c r="M42" s="161">
        <f t="shared" si="0"/>
        <v>27850300.062518429</v>
      </c>
      <c r="N42" s="9">
        <f t="shared" si="1"/>
        <v>1123918.0771108307</v>
      </c>
      <c r="O42" s="171">
        <f t="shared" si="2"/>
        <v>4.2052758122086316E-2</v>
      </c>
      <c r="P42" s="171">
        <f t="shared" si="3"/>
        <v>4.2052758122086316E-2</v>
      </c>
      <c r="Q42" s="11"/>
      <c r="R42" s="147"/>
      <c r="S42"/>
    </row>
    <row r="43" spans="1:21" x14ac:dyDescent="0.2">
      <c r="A43" s="160">
        <v>42886</v>
      </c>
      <c r="B43" s="161">
        <f>Inputs!D64</f>
        <v>27100631.439999998</v>
      </c>
      <c r="C43" s="161">
        <v>141.14545454545456</v>
      </c>
      <c r="D43" s="161">
        <v>16.963636363636365</v>
      </c>
      <c r="E43" s="161">
        <v>31</v>
      </c>
      <c r="F43" s="162">
        <v>1</v>
      </c>
      <c r="G43" s="161">
        <f>Inputs!G64+Inputs!I64+Inputs!L64+Inputs!X64</f>
        <v>22907</v>
      </c>
      <c r="H43" s="162">
        <v>0</v>
      </c>
      <c r="I43" s="162">
        <v>1</v>
      </c>
      <c r="J43" s="162">
        <v>0</v>
      </c>
      <c r="K43" s="161">
        <v>1</v>
      </c>
      <c r="L43" s="162">
        <v>0</v>
      </c>
      <c r="M43" s="161">
        <f t="shared" si="0"/>
        <v>28770502.25636971</v>
      </c>
      <c r="N43" s="9">
        <f t="shared" si="1"/>
        <v>1669870.8163697124</v>
      </c>
      <c r="O43" s="171">
        <f t="shared" si="2"/>
        <v>6.1617413604061491E-2</v>
      </c>
      <c r="P43" s="171">
        <f t="shared" si="3"/>
        <v>6.1617413604061491E-2</v>
      </c>
      <c r="Q43" s="11"/>
      <c r="R43" s="147"/>
      <c r="S43"/>
    </row>
    <row r="44" spans="1:21" x14ac:dyDescent="0.2">
      <c r="A44" s="160">
        <v>42916</v>
      </c>
      <c r="B44" s="161">
        <f>Inputs!D65</f>
        <v>31069771.245993197</v>
      </c>
      <c r="C44" s="161">
        <v>28.127272727272725</v>
      </c>
      <c r="D44" s="161">
        <v>55.209090909090904</v>
      </c>
      <c r="E44" s="161">
        <v>30</v>
      </c>
      <c r="F44" s="162">
        <v>0</v>
      </c>
      <c r="G44" s="161">
        <f>Inputs!G65+Inputs!I65+Inputs!L65+Inputs!X65</f>
        <v>22911</v>
      </c>
      <c r="H44" s="162">
        <v>0</v>
      </c>
      <c r="I44" s="162">
        <v>1</v>
      </c>
      <c r="J44" s="162">
        <v>0</v>
      </c>
      <c r="K44" s="161">
        <v>1</v>
      </c>
      <c r="L44" s="162">
        <v>0</v>
      </c>
      <c r="M44" s="161">
        <f t="shared" si="0"/>
        <v>32240244.900295958</v>
      </c>
      <c r="N44" s="9">
        <f t="shared" si="1"/>
        <v>1170473.654302761</v>
      </c>
      <c r="O44" s="171">
        <f t="shared" si="2"/>
        <v>3.7672425877731786E-2</v>
      </c>
      <c r="P44" s="171">
        <f t="shared" si="3"/>
        <v>3.7672425877731786E-2</v>
      </c>
      <c r="Q44" s="11"/>
      <c r="R44" s="147"/>
      <c r="S44"/>
    </row>
    <row r="45" spans="1:21" x14ac:dyDescent="0.2">
      <c r="A45" s="160">
        <v>42947</v>
      </c>
      <c r="B45" s="161">
        <f>Inputs!D66</f>
        <v>35551342.793448403</v>
      </c>
      <c r="C45" s="161">
        <v>2.9545454545454546</v>
      </c>
      <c r="D45" s="161">
        <v>105.68181818181816</v>
      </c>
      <c r="E45" s="161">
        <v>31</v>
      </c>
      <c r="F45" s="162">
        <v>0</v>
      </c>
      <c r="G45" s="161">
        <f>Inputs!G66+Inputs!I66+Inputs!L66+Inputs!X66</f>
        <v>22937</v>
      </c>
      <c r="H45" s="162">
        <v>0</v>
      </c>
      <c r="I45" s="162">
        <v>1</v>
      </c>
      <c r="J45" s="162">
        <v>0</v>
      </c>
      <c r="K45" s="161">
        <v>1</v>
      </c>
      <c r="L45" s="162">
        <v>0</v>
      </c>
      <c r="M45" s="161">
        <f t="shared" si="0"/>
        <v>37928387.086960047</v>
      </c>
      <c r="N45" s="9">
        <f t="shared" si="1"/>
        <v>2377044.293511644</v>
      </c>
      <c r="O45" s="171">
        <f t="shared" si="2"/>
        <v>6.6862292862527234E-2</v>
      </c>
      <c r="P45" s="171">
        <f t="shared" si="3"/>
        <v>6.6862292862527234E-2</v>
      </c>
      <c r="Q45" s="11"/>
      <c r="R45" s="147"/>
      <c r="S45"/>
    </row>
    <row r="46" spans="1:21" x14ac:dyDescent="0.2">
      <c r="A46" s="160">
        <v>42978</v>
      </c>
      <c r="B46" s="161">
        <f>Inputs!D67</f>
        <v>34125261.1615927</v>
      </c>
      <c r="C46" s="161">
        <v>7.0272727272727282</v>
      </c>
      <c r="D46" s="161">
        <v>87.863636363636374</v>
      </c>
      <c r="E46" s="161">
        <v>31</v>
      </c>
      <c r="F46" s="162">
        <v>0</v>
      </c>
      <c r="G46" s="161">
        <f>Inputs!G67+Inputs!I67+Inputs!L67+Inputs!X67</f>
        <v>22952</v>
      </c>
      <c r="H46" s="162">
        <v>0</v>
      </c>
      <c r="I46" s="162">
        <v>1</v>
      </c>
      <c r="J46" s="162">
        <v>0</v>
      </c>
      <c r="K46" s="161">
        <v>0</v>
      </c>
      <c r="L46" s="162">
        <v>0</v>
      </c>
      <c r="M46" s="161">
        <f t="shared" si="0"/>
        <v>36336055.026998669</v>
      </c>
      <c r="N46" s="9">
        <f t="shared" si="1"/>
        <v>2210793.8654059693</v>
      </c>
      <c r="O46" s="171">
        <f t="shared" si="2"/>
        <v>6.4784672414292727E-2</v>
      </c>
      <c r="P46" s="171">
        <f t="shared" si="3"/>
        <v>6.4784672414292727E-2</v>
      </c>
      <c r="Q46" s="11"/>
      <c r="R46" s="147"/>
      <c r="S46"/>
    </row>
    <row r="47" spans="1:21" x14ac:dyDescent="0.2">
      <c r="A47" s="160">
        <v>43008</v>
      </c>
      <c r="B47" s="161">
        <f>Inputs!D68</f>
        <v>31037006.541170798</v>
      </c>
      <c r="C47" s="161">
        <v>51.009090909090908</v>
      </c>
      <c r="D47" s="161">
        <v>34.68181818181818</v>
      </c>
      <c r="E47" s="161">
        <v>30</v>
      </c>
      <c r="F47" s="162">
        <v>0</v>
      </c>
      <c r="G47" s="161">
        <f>Inputs!G68+Inputs!I68+Inputs!L68+Inputs!X68</f>
        <v>22968</v>
      </c>
      <c r="H47" s="162">
        <v>0</v>
      </c>
      <c r="I47" s="162">
        <v>1</v>
      </c>
      <c r="J47" s="162">
        <v>0</v>
      </c>
      <c r="K47" s="161">
        <v>0</v>
      </c>
      <c r="L47" s="162">
        <v>0</v>
      </c>
      <c r="M47" s="161">
        <f t="shared" si="0"/>
        <v>30616319.352740075</v>
      </c>
      <c r="N47" s="9">
        <f t="shared" si="1"/>
        <v>-420687.1884307228</v>
      </c>
      <c r="O47" s="171">
        <f t="shared" si="2"/>
        <v>-1.3554373804467206E-2</v>
      </c>
      <c r="P47" s="171">
        <f t="shared" si="3"/>
        <v>1.3554373804467206E-2</v>
      </c>
      <c r="Q47" s="11"/>
      <c r="R47" s="147"/>
      <c r="S47"/>
    </row>
    <row r="48" spans="1:21" x14ac:dyDescent="0.2">
      <c r="A48" s="160">
        <v>43039</v>
      </c>
      <c r="B48" s="161">
        <f>Inputs!D69</f>
        <v>28262231.379913501</v>
      </c>
      <c r="C48" s="161">
        <v>212.45</v>
      </c>
      <c r="D48" s="161">
        <v>5.3</v>
      </c>
      <c r="E48" s="161">
        <v>31</v>
      </c>
      <c r="F48" s="162">
        <v>1</v>
      </c>
      <c r="G48" s="161">
        <f>Inputs!G69+Inputs!I69+Inputs!L69+Inputs!X69</f>
        <v>22997</v>
      </c>
      <c r="H48" s="162">
        <v>0</v>
      </c>
      <c r="I48" s="162">
        <v>1</v>
      </c>
      <c r="J48" s="162">
        <v>0</v>
      </c>
      <c r="K48" s="161">
        <v>0</v>
      </c>
      <c r="L48" s="162">
        <v>0</v>
      </c>
      <c r="M48" s="161">
        <f t="shared" si="0"/>
        <v>28484123.152482867</v>
      </c>
      <c r="N48" s="9">
        <f t="shared" si="1"/>
        <v>221891.7725693658</v>
      </c>
      <c r="O48" s="171">
        <f t="shared" si="2"/>
        <v>7.8511767024548682E-3</v>
      </c>
      <c r="P48" s="171">
        <f t="shared" si="3"/>
        <v>7.8511767024548682E-3</v>
      </c>
      <c r="Q48" s="11"/>
      <c r="R48" s="147"/>
      <c r="S48"/>
    </row>
    <row r="49" spans="1:19" x14ac:dyDescent="0.2">
      <c r="A49" s="160">
        <v>43069</v>
      </c>
      <c r="B49" s="161">
        <f>Inputs!D70</f>
        <v>29451606.664241601</v>
      </c>
      <c r="C49" s="161">
        <v>408.5</v>
      </c>
      <c r="D49" s="161">
        <v>0.22999999999999998</v>
      </c>
      <c r="E49" s="161">
        <v>30</v>
      </c>
      <c r="F49" s="162">
        <v>1</v>
      </c>
      <c r="G49" s="161">
        <f>Inputs!G70+Inputs!I70+Inputs!L70+Inputs!X70</f>
        <v>23027</v>
      </c>
      <c r="H49" s="162">
        <v>0</v>
      </c>
      <c r="I49" s="162">
        <v>1</v>
      </c>
      <c r="J49" s="162">
        <v>0</v>
      </c>
      <c r="K49" s="161">
        <v>0</v>
      </c>
      <c r="L49" s="162">
        <v>0</v>
      </c>
      <c r="M49" s="161">
        <f t="shared" si="0"/>
        <v>28784948.224386811</v>
      </c>
      <c r="N49" s="9">
        <f t="shared" si="1"/>
        <v>-666658.43985478953</v>
      </c>
      <c r="O49" s="171">
        <f t="shared" si="2"/>
        <v>-2.2635724001577366E-2</v>
      </c>
      <c r="P49" s="171">
        <f t="shared" si="3"/>
        <v>2.2635724001577366E-2</v>
      </c>
      <c r="Q49" s="11"/>
      <c r="R49" s="147"/>
      <c r="S49"/>
    </row>
    <row r="50" spans="1:19" x14ac:dyDescent="0.2">
      <c r="A50" s="160">
        <v>43100</v>
      </c>
      <c r="B50" s="161">
        <f>Inputs!D71</f>
        <v>33135674.439350799</v>
      </c>
      <c r="C50" s="161">
        <v>533.85000000000014</v>
      </c>
      <c r="D50" s="161">
        <v>0</v>
      </c>
      <c r="E50" s="161">
        <v>31</v>
      </c>
      <c r="F50" s="162">
        <v>1</v>
      </c>
      <c r="G50" s="161">
        <f>Inputs!G71+Inputs!I71+Inputs!L71+Inputs!X71</f>
        <v>23048</v>
      </c>
      <c r="H50" s="162">
        <v>0</v>
      </c>
      <c r="I50" s="162">
        <v>1</v>
      </c>
      <c r="J50" s="162">
        <v>0</v>
      </c>
      <c r="K50" s="161">
        <v>0</v>
      </c>
      <c r="L50" s="162">
        <v>0</v>
      </c>
      <c r="M50" s="161">
        <f t="shared" si="0"/>
        <v>31356507.128722176</v>
      </c>
      <c r="N50" s="9">
        <f t="shared" si="1"/>
        <v>-1779167.3106286228</v>
      </c>
      <c r="O50" s="171">
        <f t="shared" si="2"/>
        <v>-5.3693408712265238E-2</v>
      </c>
      <c r="P50" s="171">
        <f t="shared" si="3"/>
        <v>5.3693408712265238E-2</v>
      </c>
      <c r="Q50" s="11"/>
      <c r="R50" s="147"/>
      <c r="S50"/>
    </row>
    <row r="51" spans="1:19" x14ac:dyDescent="0.2">
      <c r="A51" s="160">
        <v>43131</v>
      </c>
      <c r="B51" s="161">
        <f>Inputs!D72</f>
        <v>34633272.560236096</v>
      </c>
      <c r="C51" s="161">
        <v>672.12727272727273</v>
      </c>
      <c r="D51" s="161">
        <v>0</v>
      </c>
      <c r="E51" s="161">
        <v>31</v>
      </c>
      <c r="F51" s="162">
        <v>0</v>
      </c>
      <c r="G51" s="161">
        <f>Inputs!G72+Inputs!I72+Inputs!L72+Inputs!X72</f>
        <v>23089</v>
      </c>
      <c r="H51" s="162">
        <v>0</v>
      </c>
      <c r="I51" s="162">
        <v>1</v>
      </c>
      <c r="J51" s="162">
        <v>0</v>
      </c>
      <c r="K51" s="161">
        <v>0</v>
      </c>
      <c r="L51" s="162">
        <v>0</v>
      </c>
      <c r="M51" s="161">
        <f t="shared" si="0"/>
        <v>35207682.284102634</v>
      </c>
      <c r="N51" s="9">
        <f t="shared" si="1"/>
        <v>574409.72386653721</v>
      </c>
      <c r="O51" s="171">
        <f t="shared" si="2"/>
        <v>1.6585487925447766E-2</v>
      </c>
      <c r="P51" s="171">
        <f t="shared" si="3"/>
        <v>1.6585487925447766E-2</v>
      </c>
      <c r="Q51" s="11"/>
      <c r="R51" s="147"/>
      <c r="S51"/>
    </row>
    <row r="52" spans="1:19" x14ac:dyDescent="0.2">
      <c r="A52" s="160">
        <v>43159</v>
      </c>
      <c r="B52" s="161">
        <f>Inputs!D73</f>
        <v>29707123.119004901</v>
      </c>
      <c r="C52" s="161">
        <v>607.14545454545453</v>
      </c>
      <c r="D52" s="161">
        <v>0</v>
      </c>
      <c r="E52" s="161">
        <v>28</v>
      </c>
      <c r="F52" s="162">
        <v>0</v>
      </c>
      <c r="G52" s="161">
        <f>Inputs!G73+Inputs!I73+Inputs!L73+Inputs!X73</f>
        <v>23082</v>
      </c>
      <c r="H52" s="162">
        <v>0</v>
      </c>
      <c r="I52" s="162">
        <v>1</v>
      </c>
      <c r="J52" s="162">
        <v>0</v>
      </c>
      <c r="K52" s="161">
        <v>0</v>
      </c>
      <c r="L52" s="162">
        <v>0</v>
      </c>
      <c r="M52" s="161">
        <f t="shared" si="0"/>
        <v>30686040.91462636</v>
      </c>
      <c r="N52" s="9">
        <f t="shared" si="1"/>
        <v>978917.79562145844</v>
      </c>
      <c r="O52" s="171">
        <f t="shared" si="2"/>
        <v>3.2952292004176043E-2</v>
      </c>
      <c r="P52" s="171">
        <f t="shared" si="3"/>
        <v>3.2952292004176043E-2</v>
      </c>
      <c r="Q52" s="11"/>
      <c r="R52" s="147"/>
      <c r="S52"/>
    </row>
    <row r="53" spans="1:19" x14ac:dyDescent="0.2">
      <c r="A53" s="160">
        <v>43190</v>
      </c>
      <c r="B53" s="161">
        <f>Inputs!D74</f>
        <v>31571358.704649799</v>
      </c>
      <c r="C53" s="161">
        <v>529.88181818181829</v>
      </c>
      <c r="D53" s="161">
        <v>0</v>
      </c>
      <c r="E53" s="161">
        <v>31</v>
      </c>
      <c r="F53" s="162">
        <v>1</v>
      </c>
      <c r="G53" s="161">
        <f>Inputs!G74+Inputs!I74+Inputs!L74+Inputs!X74</f>
        <v>23104</v>
      </c>
      <c r="H53" s="162">
        <v>0</v>
      </c>
      <c r="I53" s="162">
        <v>1</v>
      </c>
      <c r="J53" s="162">
        <v>0</v>
      </c>
      <c r="K53" s="161">
        <v>0</v>
      </c>
      <c r="L53" s="162">
        <v>0</v>
      </c>
      <c r="M53" s="161">
        <f t="shared" si="0"/>
        <v>31346198.006448876</v>
      </c>
      <c r="N53" s="9">
        <f t="shared" si="1"/>
        <v>-225160.69820092246</v>
      </c>
      <c r="O53" s="171">
        <f t="shared" si="2"/>
        <v>-7.1318026033438025E-3</v>
      </c>
      <c r="P53" s="171">
        <f t="shared" si="3"/>
        <v>7.1318026033438025E-3</v>
      </c>
      <c r="Q53" s="11"/>
      <c r="R53" s="147"/>
      <c r="S53"/>
    </row>
    <row r="54" spans="1:19" x14ac:dyDescent="0.2">
      <c r="A54" s="160">
        <v>43220</v>
      </c>
      <c r="B54" s="161">
        <f>Inputs!D75</f>
        <v>29502213.161825802</v>
      </c>
      <c r="C54" s="161">
        <v>327.50000000000006</v>
      </c>
      <c r="D54" s="161">
        <v>4.5454545454545456E-2</v>
      </c>
      <c r="E54" s="161">
        <v>30</v>
      </c>
      <c r="F54" s="162">
        <v>1</v>
      </c>
      <c r="G54" s="161">
        <f>Inputs!G75+Inputs!I75+Inputs!L75+Inputs!X75</f>
        <v>23133</v>
      </c>
      <c r="H54" s="162">
        <v>0</v>
      </c>
      <c r="I54" s="162">
        <v>1</v>
      </c>
      <c r="J54" s="162">
        <v>0</v>
      </c>
      <c r="K54" s="161">
        <v>0</v>
      </c>
      <c r="L54" s="162">
        <v>0</v>
      </c>
      <c r="M54" s="161">
        <f t="shared" si="0"/>
        <v>27986332.509827487</v>
      </c>
      <c r="N54" s="9">
        <f t="shared" si="1"/>
        <v>-1515880.651998315</v>
      </c>
      <c r="O54" s="171">
        <f t="shared" si="2"/>
        <v>-5.1381930016009068E-2</v>
      </c>
      <c r="P54" s="171">
        <f t="shared" si="3"/>
        <v>5.1381930016009068E-2</v>
      </c>
      <c r="Q54" s="11"/>
      <c r="R54" s="147"/>
      <c r="S54"/>
    </row>
    <row r="55" spans="1:19" x14ac:dyDescent="0.2">
      <c r="A55" s="160">
        <v>43251</v>
      </c>
      <c r="B55" s="161">
        <f>Inputs!D76</f>
        <v>29818036.360710699</v>
      </c>
      <c r="C55" s="161">
        <v>141.14545454545456</v>
      </c>
      <c r="D55" s="161">
        <v>16.963636363636365</v>
      </c>
      <c r="E55" s="161">
        <v>31</v>
      </c>
      <c r="F55" s="162">
        <v>1</v>
      </c>
      <c r="G55" s="161">
        <f>Inputs!G76+Inputs!I76+Inputs!L76+Inputs!X76</f>
        <v>23168</v>
      </c>
      <c r="H55" s="162">
        <v>0</v>
      </c>
      <c r="I55" s="162">
        <v>1</v>
      </c>
      <c r="J55" s="162">
        <v>0</v>
      </c>
      <c r="K55" s="161">
        <v>0</v>
      </c>
      <c r="L55" s="162">
        <v>0</v>
      </c>
      <c r="M55" s="161">
        <f t="shared" si="0"/>
        <v>28914245.044821791</v>
      </c>
      <c r="N55" s="9">
        <f t="shared" si="1"/>
        <v>-903791.31588890776</v>
      </c>
      <c r="O55" s="171">
        <f t="shared" si="2"/>
        <v>-3.0310222475943293E-2</v>
      </c>
      <c r="P55" s="171">
        <f t="shared" si="3"/>
        <v>3.0310222475943293E-2</v>
      </c>
      <c r="Q55" s="11"/>
      <c r="R55" s="147"/>
      <c r="S55"/>
    </row>
    <row r="56" spans="1:19" x14ac:dyDescent="0.2">
      <c r="A56" s="160">
        <v>43281</v>
      </c>
      <c r="B56" s="161">
        <f>Inputs!D77</f>
        <v>32564167.646594502</v>
      </c>
      <c r="C56" s="161">
        <v>28.127272727272725</v>
      </c>
      <c r="D56" s="161">
        <v>55.209090909090904</v>
      </c>
      <c r="E56" s="161">
        <v>30</v>
      </c>
      <c r="F56" s="162">
        <v>0</v>
      </c>
      <c r="G56" s="161">
        <f>Inputs!G77+Inputs!I77+Inputs!L77+Inputs!X77</f>
        <v>23182</v>
      </c>
      <c r="H56" s="162">
        <v>0</v>
      </c>
      <c r="I56" s="162">
        <v>1</v>
      </c>
      <c r="J56" s="162">
        <v>0</v>
      </c>
      <c r="K56" s="161">
        <v>0</v>
      </c>
      <c r="L56" s="162">
        <v>0</v>
      </c>
      <c r="M56" s="161">
        <f t="shared" si="0"/>
        <v>32389495.075278766</v>
      </c>
      <c r="N56" s="9">
        <f t="shared" si="1"/>
        <v>-174672.57131573558</v>
      </c>
      <c r="O56" s="171">
        <f t="shared" si="2"/>
        <v>-5.363950131057703E-3</v>
      </c>
      <c r="P56" s="171">
        <f t="shared" si="3"/>
        <v>5.363950131057703E-3</v>
      </c>
      <c r="Q56" s="11"/>
      <c r="R56" s="147"/>
      <c r="S56"/>
    </row>
    <row r="57" spans="1:19" x14ac:dyDescent="0.2">
      <c r="A57" s="160">
        <v>43312</v>
      </c>
      <c r="B57" s="161">
        <f>Inputs!D78</f>
        <v>41016276.892574996</v>
      </c>
      <c r="C57" s="161">
        <v>2.9545454545454546</v>
      </c>
      <c r="D57" s="161">
        <v>105.68181818181816</v>
      </c>
      <c r="E57" s="161">
        <v>31</v>
      </c>
      <c r="F57" s="162">
        <v>0</v>
      </c>
      <c r="G57" s="161">
        <f>Inputs!G78+Inputs!I78+Inputs!L78+Inputs!X78</f>
        <v>23194</v>
      </c>
      <c r="H57" s="162">
        <v>0</v>
      </c>
      <c r="I57" s="162">
        <v>1</v>
      </c>
      <c r="J57" s="162">
        <v>0</v>
      </c>
      <c r="K57" s="161">
        <v>0</v>
      </c>
      <c r="L57" s="162">
        <v>0</v>
      </c>
      <c r="M57" s="161">
        <f t="shared" si="0"/>
        <v>38069926.920799837</v>
      </c>
      <c r="N57" s="9">
        <f t="shared" si="1"/>
        <v>-2946349.9717751592</v>
      </c>
      <c r="O57" s="171">
        <f t="shared" si="2"/>
        <v>-7.1833676652122577E-2</v>
      </c>
      <c r="P57" s="171">
        <f t="shared" si="3"/>
        <v>7.1833676652122577E-2</v>
      </c>
      <c r="Q57" s="11"/>
      <c r="R57" s="147"/>
      <c r="S57"/>
    </row>
    <row r="58" spans="1:19" x14ac:dyDescent="0.2">
      <c r="A58" s="160">
        <v>43343</v>
      </c>
      <c r="B58" s="161">
        <f>Inputs!D79</f>
        <v>39071849.328965105</v>
      </c>
      <c r="C58" s="161">
        <v>7.0272727272727282</v>
      </c>
      <c r="D58" s="161">
        <v>87.863636363636374</v>
      </c>
      <c r="E58" s="161">
        <v>31</v>
      </c>
      <c r="F58" s="162">
        <v>0</v>
      </c>
      <c r="G58" s="161">
        <f>Inputs!G79+Inputs!I79+Inputs!L79+Inputs!X79</f>
        <v>23239</v>
      </c>
      <c r="H58" s="162">
        <v>0</v>
      </c>
      <c r="I58" s="162">
        <v>1</v>
      </c>
      <c r="J58" s="162">
        <v>0</v>
      </c>
      <c r="K58" s="161">
        <v>0</v>
      </c>
      <c r="L58" s="162">
        <v>0</v>
      </c>
      <c r="M58" s="161">
        <f t="shared" si="0"/>
        <v>36494117.020430654</v>
      </c>
      <c r="N58" s="9">
        <f t="shared" si="1"/>
        <v>-2577732.3085344508</v>
      </c>
      <c r="O58" s="171">
        <f t="shared" si="2"/>
        <v>-6.5974156657680971E-2</v>
      </c>
      <c r="P58" s="171">
        <f t="shared" si="3"/>
        <v>6.5974156657680971E-2</v>
      </c>
      <c r="Q58" s="11"/>
      <c r="R58" s="147"/>
      <c r="S58"/>
    </row>
    <row r="59" spans="1:19" x14ac:dyDescent="0.2">
      <c r="A59" s="160">
        <v>43373</v>
      </c>
      <c r="B59" s="161">
        <f>Inputs!D80</f>
        <v>33330014.256383102</v>
      </c>
      <c r="C59" s="161">
        <v>51.009090909090908</v>
      </c>
      <c r="D59" s="161">
        <v>34.68181818181818</v>
      </c>
      <c r="E59" s="161">
        <v>30</v>
      </c>
      <c r="F59" s="162">
        <v>0</v>
      </c>
      <c r="G59" s="161">
        <f>Inputs!G80+Inputs!I80+Inputs!L80+Inputs!X80</f>
        <v>23272</v>
      </c>
      <c r="H59" s="162">
        <v>0</v>
      </c>
      <c r="I59" s="162">
        <v>1</v>
      </c>
      <c r="J59" s="162">
        <v>0</v>
      </c>
      <c r="K59" s="161">
        <v>0</v>
      </c>
      <c r="L59" s="162">
        <v>0</v>
      </c>
      <c r="M59" s="161">
        <f t="shared" si="0"/>
        <v>30783743.903274298</v>
      </c>
      <c r="N59" s="9">
        <f t="shared" si="1"/>
        <v>-2546270.3531088047</v>
      </c>
      <c r="O59" s="171">
        <f t="shared" si="2"/>
        <v>-7.6395717491214779E-2</v>
      </c>
      <c r="P59" s="171">
        <f t="shared" si="3"/>
        <v>7.6395717491214779E-2</v>
      </c>
      <c r="Q59" s="11"/>
      <c r="R59" s="147"/>
      <c r="S59"/>
    </row>
    <row r="60" spans="1:19" x14ac:dyDescent="0.2">
      <c r="A60" s="160">
        <v>43404</v>
      </c>
      <c r="B60" s="161">
        <f>Inputs!D81</f>
        <v>29522757.314444497</v>
      </c>
      <c r="C60" s="161">
        <v>212.45</v>
      </c>
      <c r="D60" s="161">
        <v>5.3</v>
      </c>
      <c r="E60" s="161">
        <v>31</v>
      </c>
      <c r="F60" s="162">
        <v>1</v>
      </c>
      <c r="G60" s="161">
        <f>Inputs!G81+Inputs!I81+Inputs!L81+Inputs!X81</f>
        <v>23305</v>
      </c>
      <c r="H60" s="162">
        <v>0</v>
      </c>
      <c r="I60" s="162">
        <v>1</v>
      </c>
      <c r="J60" s="162">
        <v>0</v>
      </c>
      <c r="K60" s="161">
        <v>0</v>
      </c>
      <c r="L60" s="162">
        <v>0</v>
      </c>
      <c r="M60" s="161">
        <f t="shared" si="0"/>
        <v>28653750.657629386</v>
      </c>
      <c r="N60" s="9">
        <f t="shared" si="1"/>
        <v>-869006.65681511164</v>
      </c>
      <c r="O60" s="171">
        <f t="shared" si="2"/>
        <v>-2.9435145489948383E-2</v>
      </c>
      <c r="P60" s="171">
        <f t="shared" si="3"/>
        <v>2.9435145489948383E-2</v>
      </c>
      <c r="Q60" s="11"/>
      <c r="R60" s="147"/>
      <c r="S60"/>
    </row>
    <row r="61" spans="1:19" x14ac:dyDescent="0.2">
      <c r="A61" s="160">
        <v>43434</v>
      </c>
      <c r="B61" s="161">
        <f>Inputs!D82</f>
        <v>30788860.462713901</v>
      </c>
      <c r="C61" s="161">
        <v>408.5</v>
      </c>
      <c r="D61" s="161">
        <v>0.22999999999999998</v>
      </c>
      <c r="E61" s="161">
        <v>30</v>
      </c>
      <c r="F61" s="162">
        <v>1</v>
      </c>
      <c r="G61" s="161">
        <f>Inputs!G82+Inputs!I82+Inputs!L82+Inputs!X82</f>
        <v>23321</v>
      </c>
      <c r="H61" s="162">
        <v>0</v>
      </c>
      <c r="I61" s="162">
        <v>1</v>
      </c>
      <c r="J61" s="162">
        <v>0</v>
      </c>
      <c r="K61" s="161">
        <v>0</v>
      </c>
      <c r="L61" s="162">
        <v>0</v>
      </c>
      <c r="M61" s="161">
        <f t="shared" si="0"/>
        <v>28946865.388390306</v>
      </c>
      <c r="N61" s="9">
        <f t="shared" si="1"/>
        <v>-1841995.0743235946</v>
      </c>
      <c r="O61" s="171">
        <f t="shared" si="2"/>
        <v>-5.9826672590052428E-2</v>
      </c>
      <c r="P61" s="171">
        <f t="shared" si="3"/>
        <v>5.9826672590052428E-2</v>
      </c>
      <c r="Q61" s="11"/>
      <c r="R61" s="147"/>
      <c r="S61"/>
    </row>
    <row r="62" spans="1:19" x14ac:dyDescent="0.2">
      <c r="A62" s="160">
        <v>43465</v>
      </c>
      <c r="B62" s="161">
        <f>Inputs!D83</f>
        <v>32363996.620362099</v>
      </c>
      <c r="C62" s="161">
        <v>533.85000000000014</v>
      </c>
      <c r="D62" s="161">
        <v>0</v>
      </c>
      <c r="E62" s="161">
        <v>31</v>
      </c>
      <c r="F62" s="162">
        <v>1</v>
      </c>
      <c r="G62" s="161">
        <f>Inputs!G83+Inputs!I83+Inputs!L83+Inputs!X83</f>
        <v>23366</v>
      </c>
      <c r="H62" s="162">
        <v>0</v>
      </c>
      <c r="I62" s="162">
        <v>1</v>
      </c>
      <c r="J62" s="162">
        <v>0</v>
      </c>
      <c r="K62" s="161">
        <v>0</v>
      </c>
      <c r="L62" s="162">
        <v>0</v>
      </c>
      <c r="M62" s="161">
        <f t="shared" si="0"/>
        <v>31531642.020399425</v>
      </c>
      <c r="N62" s="9">
        <f t="shared" si="1"/>
        <v>-832354.59996267408</v>
      </c>
      <c r="O62" s="171">
        <f t="shared" si="2"/>
        <v>-2.571853562235854E-2</v>
      </c>
      <c r="P62" s="171">
        <f t="shared" si="3"/>
        <v>2.571853562235854E-2</v>
      </c>
      <c r="Q62" s="11"/>
      <c r="R62" s="147"/>
      <c r="S62"/>
    </row>
    <row r="63" spans="1:19" x14ac:dyDescent="0.2">
      <c r="A63" s="160">
        <v>43496</v>
      </c>
      <c r="B63" s="161">
        <f>Inputs!D84</f>
        <v>35287777.216221102</v>
      </c>
      <c r="C63" s="161">
        <v>672.12727272727273</v>
      </c>
      <c r="D63" s="161">
        <v>0</v>
      </c>
      <c r="E63" s="161">
        <v>31</v>
      </c>
      <c r="F63" s="162">
        <v>0</v>
      </c>
      <c r="G63" s="161">
        <f>Inputs!G84+Inputs!I84+Inputs!L84+Inputs!X84</f>
        <v>23414</v>
      </c>
      <c r="H63" s="162">
        <v>0</v>
      </c>
      <c r="I63" s="162">
        <v>1</v>
      </c>
      <c r="J63" s="162">
        <v>0</v>
      </c>
      <c r="K63" s="161">
        <v>0</v>
      </c>
      <c r="L63" s="162">
        <v>1</v>
      </c>
      <c r="M63" s="161">
        <f t="shared" si="0"/>
        <v>35386672.346351393</v>
      </c>
      <c r="N63" s="9">
        <f t="shared" si="1"/>
        <v>98895.130130290985</v>
      </c>
      <c r="O63" s="171">
        <f t="shared" si="2"/>
        <v>2.8025321494273892E-3</v>
      </c>
      <c r="P63" s="171">
        <f t="shared" si="3"/>
        <v>2.8025321494273892E-3</v>
      </c>
      <c r="Q63" s="11"/>
      <c r="R63" s="147"/>
      <c r="S63"/>
    </row>
    <row r="64" spans="1:19" x14ac:dyDescent="0.2">
      <c r="A64" s="160">
        <v>43524</v>
      </c>
      <c r="B64" s="161">
        <f>Inputs!D85</f>
        <v>31413450.428820997</v>
      </c>
      <c r="C64" s="161">
        <v>607.14545454545453</v>
      </c>
      <c r="D64" s="161">
        <v>0</v>
      </c>
      <c r="E64" s="161">
        <v>28</v>
      </c>
      <c r="F64" s="162">
        <v>0</v>
      </c>
      <c r="G64" s="161">
        <f>Inputs!G85+Inputs!I85+Inputs!L85+Inputs!X85</f>
        <v>23414</v>
      </c>
      <c r="H64" s="162">
        <v>0</v>
      </c>
      <c r="I64" s="162">
        <v>1</v>
      </c>
      <c r="J64" s="162">
        <v>0</v>
      </c>
      <c r="K64" s="161">
        <v>0</v>
      </c>
      <c r="L64" s="162">
        <v>1</v>
      </c>
      <c r="M64" s="161">
        <f t="shared" si="0"/>
        <v>30868886.147446632</v>
      </c>
      <c r="N64" s="9">
        <f t="shared" si="1"/>
        <v>-544564.28137436509</v>
      </c>
      <c r="O64" s="171">
        <f t="shared" si="2"/>
        <v>-1.7335385764396704E-2</v>
      </c>
      <c r="P64" s="171">
        <f t="shared" si="3"/>
        <v>1.7335385764396704E-2</v>
      </c>
      <c r="Q64" s="11"/>
      <c r="R64" s="147"/>
      <c r="S64"/>
    </row>
    <row r="65" spans="1:19" x14ac:dyDescent="0.2">
      <c r="A65" s="160">
        <v>43555</v>
      </c>
      <c r="B65" s="161">
        <f>Inputs!D86</f>
        <v>32753174.855792601</v>
      </c>
      <c r="C65" s="161">
        <v>529.88181818181829</v>
      </c>
      <c r="D65" s="161">
        <v>0</v>
      </c>
      <c r="E65" s="161">
        <v>31</v>
      </c>
      <c r="F65" s="162">
        <v>1</v>
      </c>
      <c r="G65" s="161">
        <f>Inputs!G86+Inputs!I86+Inputs!L86+Inputs!X86</f>
        <v>23448</v>
      </c>
      <c r="H65" s="162">
        <v>0</v>
      </c>
      <c r="I65" s="162">
        <v>1</v>
      </c>
      <c r="J65" s="162">
        <v>0</v>
      </c>
      <c r="K65" s="161">
        <v>0</v>
      </c>
      <c r="L65" s="162">
        <v>1</v>
      </c>
      <c r="M65" s="161">
        <f t="shared" si="0"/>
        <v>31535652.103106022</v>
      </c>
      <c r="N65" s="9">
        <f t="shared" si="1"/>
        <v>-1217522.7526865788</v>
      </c>
      <c r="O65" s="171">
        <f t="shared" si="2"/>
        <v>-3.7172663659237673E-2</v>
      </c>
      <c r="P65" s="171">
        <f t="shared" si="3"/>
        <v>3.7172663659237673E-2</v>
      </c>
      <c r="Q65" s="11"/>
      <c r="R65" s="147"/>
    </row>
    <row r="66" spans="1:19" x14ac:dyDescent="0.2">
      <c r="A66" s="160">
        <v>43585</v>
      </c>
      <c r="B66" s="161">
        <f>Inputs!D87</f>
        <v>28598242.1384985</v>
      </c>
      <c r="C66" s="161">
        <v>327.50000000000006</v>
      </c>
      <c r="D66" s="161">
        <v>4.5454545454545456E-2</v>
      </c>
      <c r="E66" s="161">
        <v>30</v>
      </c>
      <c r="F66" s="162">
        <v>1</v>
      </c>
      <c r="G66" s="161">
        <f>Inputs!G87+Inputs!I87+Inputs!L87+Inputs!X87</f>
        <v>23474</v>
      </c>
      <c r="H66" s="162">
        <v>0</v>
      </c>
      <c r="I66" s="162">
        <v>1</v>
      </c>
      <c r="J66" s="162">
        <v>0</v>
      </c>
      <c r="K66" s="161">
        <v>0</v>
      </c>
      <c r="L66" s="162">
        <v>1</v>
      </c>
      <c r="M66" s="161">
        <f t="shared" si="0"/>
        <v>28174134.390525416</v>
      </c>
      <c r="N66" s="9">
        <f t="shared" si="1"/>
        <v>-424107.74797308445</v>
      </c>
      <c r="O66" s="171">
        <f t="shared" si="2"/>
        <v>-1.4829853734336955E-2</v>
      </c>
      <c r="P66" s="171">
        <f t="shared" si="3"/>
        <v>1.4829853734336955E-2</v>
      </c>
      <c r="Q66" s="11"/>
      <c r="R66" s="147"/>
    </row>
    <row r="67" spans="1:19" x14ac:dyDescent="0.2">
      <c r="A67" s="160">
        <v>43616</v>
      </c>
      <c r="B67" s="161">
        <f>Inputs!D88</f>
        <v>27905719.018595401</v>
      </c>
      <c r="C67" s="161">
        <v>141.14545454545456</v>
      </c>
      <c r="D67" s="161">
        <v>16.963636363636365</v>
      </c>
      <c r="E67" s="161">
        <v>31</v>
      </c>
      <c r="F67" s="162">
        <v>1</v>
      </c>
      <c r="G67" s="161">
        <f>Inputs!G88+Inputs!I88+Inputs!L88+Inputs!X88</f>
        <v>23504</v>
      </c>
      <c r="H67" s="162">
        <v>0</v>
      </c>
      <c r="I67" s="162">
        <v>1</v>
      </c>
      <c r="J67" s="162">
        <v>0</v>
      </c>
      <c r="K67" s="161">
        <v>0</v>
      </c>
      <c r="L67" s="162">
        <v>1</v>
      </c>
      <c r="M67" s="161">
        <f t="shared" si="0"/>
        <v>29099293.232254356</v>
      </c>
      <c r="N67" s="9">
        <f t="shared" si="1"/>
        <v>1193574.2136589549</v>
      </c>
      <c r="O67" s="171">
        <f t="shared" si="2"/>
        <v>4.2771670311150145E-2</v>
      </c>
      <c r="P67" s="171">
        <f t="shared" si="3"/>
        <v>4.2771670311150145E-2</v>
      </c>
      <c r="Q67" s="11"/>
      <c r="R67" s="147"/>
    </row>
    <row r="68" spans="1:19" x14ac:dyDescent="0.2">
      <c r="A68" s="160">
        <v>43646</v>
      </c>
      <c r="B68" s="161">
        <f>Inputs!D89</f>
        <v>30246126.597568698</v>
      </c>
      <c r="C68" s="161">
        <v>28.127272727272725</v>
      </c>
      <c r="D68" s="161">
        <v>55.209090909090904</v>
      </c>
      <c r="E68" s="161">
        <v>30</v>
      </c>
      <c r="F68" s="162">
        <v>0</v>
      </c>
      <c r="G68" s="161">
        <f>Inputs!G89+Inputs!I89+Inputs!L89+Inputs!X89</f>
        <v>23505</v>
      </c>
      <c r="H68" s="162">
        <v>0</v>
      </c>
      <c r="I68" s="162">
        <v>1</v>
      </c>
      <c r="J68" s="162">
        <v>0</v>
      </c>
      <c r="K68" s="161">
        <v>0</v>
      </c>
      <c r="L68" s="162">
        <v>1</v>
      </c>
      <c r="M68" s="161">
        <f t="shared" ref="M68:M131" si="4">$S$18+$S$19*C68+$S$20*D68+$S$21*E68+$S$22*F68+$S$23*G68</f>
        <v>32567383.660221383</v>
      </c>
      <c r="N68" s="9">
        <f t="shared" ref="N68:N131" si="5">M68-B68</f>
        <v>2321257.0626526847</v>
      </c>
      <c r="O68" s="171">
        <f t="shared" ref="O68:O131" si="6">N68/B68</f>
        <v>7.6745597660735715E-2</v>
      </c>
      <c r="P68" s="171">
        <f t="shared" ref="P68:P131" si="7">ABS(O68)</f>
        <v>7.6745597660735715E-2</v>
      </c>
      <c r="Q68" s="11"/>
      <c r="R68" s="147"/>
    </row>
    <row r="69" spans="1:19" x14ac:dyDescent="0.2">
      <c r="A69" s="160">
        <v>43677</v>
      </c>
      <c r="B69" s="161">
        <f>Inputs!D90</f>
        <v>40514961.932033904</v>
      </c>
      <c r="C69" s="161">
        <v>2.9545454545454546</v>
      </c>
      <c r="D69" s="161">
        <v>105.68181818181816</v>
      </c>
      <c r="E69" s="161">
        <v>31</v>
      </c>
      <c r="F69" s="162">
        <v>0</v>
      </c>
      <c r="G69" s="161">
        <f>Inputs!G90+Inputs!I90+Inputs!L90+Inputs!X90</f>
        <v>23545</v>
      </c>
      <c r="H69" s="162">
        <v>0</v>
      </c>
      <c r="I69" s="162">
        <v>1</v>
      </c>
      <c r="J69" s="162">
        <v>0</v>
      </c>
      <c r="K69" s="161">
        <v>0</v>
      </c>
      <c r="L69" s="162">
        <v>1</v>
      </c>
      <c r="M69" s="161">
        <f t="shared" si="4"/>
        <v>38263236.188028499</v>
      </c>
      <c r="N69" s="9">
        <f t="shared" si="5"/>
        <v>-2251725.7440054044</v>
      </c>
      <c r="O69" s="171">
        <f t="shared" si="6"/>
        <v>-5.5577634449781768E-2</v>
      </c>
      <c r="P69" s="171">
        <f t="shared" si="7"/>
        <v>5.5577634449781768E-2</v>
      </c>
      <c r="Q69" s="11"/>
      <c r="R69" s="147"/>
    </row>
    <row r="70" spans="1:19" x14ac:dyDescent="0.2">
      <c r="A70" s="160">
        <v>43708</v>
      </c>
      <c r="B70" s="161">
        <f>Inputs!D91</f>
        <v>36599467.089364603</v>
      </c>
      <c r="C70" s="161">
        <v>7.0272727272727282</v>
      </c>
      <c r="D70" s="161">
        <v>87.863636363636374</v>
      </c>
      <c r="E70" s="161">
        <v>31</v>
      </c>
      <c r="F70" s="162">
        <v>0</v>
      </c>
      <c r="G70" s="161">
        <f>Inputs!G91+Inputs!I91+Inputs!L91+Inputs!X91</f>
        <v>23610</v>
      </c>
      <c r="H70" s="162">
        <v>0</v>
      </c>
      <c r="I70" s="162">
        <v>1</v>
      </c>
      <c r="J70" s="162">
        <v>0</v>
      </c>
      <c r="K70" s="161">
        <v>0</v>
      </c>
      <c r="L70" s="162">
        <v>1</v>
      </c>
      <c r="M70" s="161">
        <f t="shared" si="4"/>
        <v>36698441.060720772</v>
      </c>
      <c r="N70" s="9">
        <f t="shared" si="5"/>
        <v>98973.971356168389</v>
      </c>
      <c r="O70" s="171">
        <f t="shared" si="6"/>
        <v>2.7042462425615242E-3</v>
      </c>
      <c r="P70" s="171">
        <f t="shared" si="7"/>
        <v>2.7042462425615242E-3</v>
      </c>
      <c r="Q70" s="11"/>
      <c r="R70" s="147"/>
    </row>
    <row r="71" spans="1:19" x14ac:dyDescent="0.2">
      <c r="A71" s="160">
        <v>43738</v>
      </c>
      <c r="B71" s="161">
        <f>Inputs!D92</f>
        <v>30196024.2346556</v>
      </c>
      <c r="C71" s="161">
        <v>51.009090909090908</v>
      </c>
      <c r="D71" s="161">
        <v>34.68181818181818</v>
      </c>
      <c r="E71" s="161">
        <v>30</v>
      </c>
      <c r="F71" s="162">
        <v>0</v>
      </c>
      <c r="G71" s="161">
        <f>Inputs!G92+Inputs!I92+Inputs!L92+Inputs!X92</f>
        <v>23624</v>
      </c>
      <c r="H71" s="162">
        <v>0</v>
      </c>
      <c r="I71" s="162">
        <v>1</v>
      </c>
      <c r="J71" s="162">
        <v>0</v>
      </c>
      <c r="K71" s="161">
        <v>0</v>
      </c>
      <c r="L71" s="162">
        <v>1</v>
      </c>
      <c r="M71" s="161">
        <f t="shared" si="4"/>
        <v>30977603.909156032</v>
      </c>
      <c r="N71" s="9">
        <f t="shared" si="5"/>
        <v>781579.67450043187</v>
      </c>
      <c r="O71" s="171">
        <f t="shared" si="6"/>
        <v>2.5883529183402317E-2</v>
      </c>
      <c r="P71" s="171">
        <f t="shared" si="7"/>
        <v>2.5883529183402317E-2</v>
      </c>
      <c r="Q71" s="11"/>
      <c r="R71" s="147"/>
    </row>
    <row r="72" spans="1:19" x14ac:dyDescent="0.2">
      <c r="A72" s="160">
        <v>43769</v>
      </c>
      <c r="B72" s="161">
        <f>Inputs!D93</f>
        <v>27971860.355314802</v>
      </c>
      <c r="C72" s="161">
        <v>212.45</v>
      </c>
      <c r="D72" s="161">
        <v>5.3</v>
      </c>
      <c r="E72" s="161">
        <v>31</v>
      </c>
      <c r="F72" s="162">
        <v>1</v>
      </c>
      <c r="G72" s="161">
        <f>Inputs!G93+Inputs!I93+Inputs!L93+Inputs!X93</f>
        <v>23662</v>
      </c>
      <c r="H72" s="162">
        <v>0</v>
      </c>
      <c r="I72" s="162">
        <v>1</v>
      </c>
      <c r="J72" s="162">
        <v>0</v>
      </c>
      <c r="K72" s="161">
        <v>0</v>
      </c>
      <c r="L72" s="162">
        <v>1</v>
      </c>
      <c r="M72" s="161">
        <f t="shared" si="4"/>
        <v>28850364.356776483</v>
      </c>
      <c r="N72" s="9">
        <f t="shared" si="5"/>
        <v>878504.00146168098</v>
      </c>
      <c r="O72" s="171">
        <f t="shared" si="6"/>
        <v>3.1406706250582311E-2</v>
      </c>
      <c r="P72" s="171">
        <f t="shared" si="7"/>
        <v>3.1406706250582311E-2</v>
      </c>
      <c r="Q72" s="11"/>
      <c r="R72" s="147"/>
    </row>
    <row r="73" spans="1:19" x14ac:dyDescent="0.2">
      <c r="A73" s="160">
        <v>43799</v>
      </c>
      <c r="B73" s="161">
        <f>Inputs!D94</f>
        <v>30548760.205844</v>
      </c>
      <c r="C73" s="161">
        <v>408.5</v>
      </c>
      <c r="D73" s="161">
        <v>0.22999999999999998</v>
      </c>
      <c r="E73" s="161">
        <v>30</v>
      </c>
      <c r="F73" s="162">
        <v>1</v>
      </c>
      <c r="G73" s="161">
        <f>Inputs!G94+Inputs!I94+Inputs!L94+Inputs!X94</f>
        <v>23658</v>
      </c>
      <c r="H73" s="162">
        <v>0</v>
      </c>
      <c r="I73" s="162">
        <v>1</v>
      </c>
      <c r="J73" s="162">
        <v>0</v>
      </c>
      <c r="K73" s="161">
        <v>0</v>
      </c>
      <c r="L73" s="162">
        <v>1</v>
      </c>
      <c r="M73" s="161">
        <f t="shared" si="4"/>
        <v>29132464.314475946</v>
      </c>
      <c r="N73" s="9">
        <f t="shared" si="5"/>
        <v>-1416295.8913680539</v>
      </c>
      <c r="O73" s="171">
        <f t="shared" si="6"/>
        <v>-4.6361812454081705E-2</v>
      </c>
      <c r="P73" s="171">
        <f t="shared" si="7"/>
        <v>4.6361812454081705E-2</v>
      </c>
      <c r="Q73" s="11"/>
      <c r="R73" s="147"/>
    </row>
    <row r="74" spans="1:19" x14ac:dyDescent="0.2">
      <c r="A74" s="160">
        <v>43830</v>
      </c>
      <c r="B74" s="161">
        <f>Inputs!D95</f>
        <v>32756213.143715002</v>
      </c>
      <c r="C74" s="161">
        <v>533.85000000000014</v>
      </c>
      <c r="D74" s="161">
        <v>0</v>
      </c>
      <c r="E74" s="161">
        <v>31</v>
      </c>
      <c r="F74" s="162">
        <v>1</v>
      </c>
      <c r="G74" s="161">
        <f>Inputs!G95+Inputs!I95+Inputs!L95+Inputs!X95</f>
        <v>23664</v>
      </c>
      <c r="H74" s="162">
        <v>0</v>
      </c>
      <c r="I74" s="162">
        <v>1</v>
      </c>
      <c r="J74" s="162">
        <v>0</v>
      </c>
      <c r="K74" s="161">
        <v>0</v>
      </c>
      <c r="L74" s="162">
        <v>1</v>
      </c>
      <c r="M74" s="161">
        <f t="shared" si="4"/>
        <v>31695762.139015213</v>
      </c>
      <c r="N74" s="9">
        <f t="shared" si="5"/>
        <v>-1060451.004699789</v>
      </c>
      <c r="O74" s="171">
        <f t="shared" si="6"/>
        <v>-3.2374041530599203E-2</v>
      </c>
      <c r="P74" s="171">
        <f t="shared" si="7"/>
        <v>3.2374041530599203E-2</v>
      </c>
      <c r="Q74" s="11"/>
      <c r="R74" s="147"/>
    </row>
    <row r="75" spans="1:19" x14ac:dyDescent="0.2">
      <c r="A75" s="160">
        <v>43861</v>
      </c>
      <c r="B75" s="161">
        <f>Inputs!D96</f>
        <v>32984745.984053601</v>
      </c>
      <c r="C75" s="161">
        <v>672.12727272727273</v>
      </c>
      <c r="D75" s="161">
        <v>0</v>
      </c>
      <c r="E75" s="161">
        <v>31</v>
      </c>
      <c r="F75" s="162">
        <v>0</v>
      </c>
      <c r="G75" s="161">
        <f>Inputs!G96+Inputs!I96+Inputs!L96+Inputs!X96</f>
        <v>23709</v>
      </c>
      <c r="H75" s="162">
        <v>0</v>
      </c>
      <c r="I75" s="162">
        <v>1</v>
      </c>
      <c r="J75" s="162">
        <v>0</v>
      </c>
      <c r="K75" s="161">
        <v>0</v>
      </c>
      <c r="L75" s="162">
        <v>1</v>
      </c>
      <c r="M75" s="161">
        <f t="shared" si="4"/>
        <v>35549140.249007955</v>
      </c>
      <c r="N75" s="9">
        <f t="shared" si="5"/>
        <v>2564394.2649543546</v>
      </c>
      <c r="O75" s="171">
        <f t="shared" si="6"/>
        <v>7.7744854127241275E-2</v>
      </c>
      <c r="P75" s="171">
        <f t="shared" si="7"/>
        <v>7.7744854127241275E-2</v>
      </c>
      <c r="Q75" s="11"/>
      <c r="R75" s="147"/>
      <c r="S75" s="39"/>
    </row>
    <row r="76" spans="1:19" x14ac:dyDescent="0.2">
      <c r="A76" s="160">
        <v>43890</v>
      </c>
      <c r="B76" s="161">
        <f>Inputs!D97</f>
        <v>31066267.637283299</v>
      </c>
      <c r="C76" s="161">
        <v>607.14545454545453</v>
      </c>
      <c r="D76" s="161">
        <v>0</v>
      </c>
      <c r="E76" s="161">
        <v>29</v>
      </c>
      <c r="F76" s="162">
        <v>0</v>
      </c>
      <c r="G76" s="161">
        <f>Inputs!G97+Inputs!I97+Inputs!L97+Inputs!X97</f>
        <v>23738</v>
      </c>
      <c r="H76" s="162">
        <v>0</v>
      </c>
      <c r="I76" s="162">
        <v>1</v>
      </c>
      <c r="J76" s="162">
        <v>0</v>
      </c>
      <c r="K76" s="161">
        <v>0</v>
      </c>
      <c r="L76" s="162">
        <v>1</v>
      </c>
      <c r="M76" s="161">
        <f t="shared" si="4"/>
        <v>32328631.309798341</v>
      </c>
      <c r="N76" s="9">
        <f t="shared" si="5"/>
        <v>1262363.6725150421</v>
      </c>
      <c r="O76" s="171">
        <f t="shared" si="6"/>
        <v>4.0634545715432263E-2</v>
      </c>
      <c r="P76" s="171">
        <f t="shared" si="7"/>
        <v>4.0634545715432263E-2</v>
      </c>
      <c r="Q76" s="11"/>
      <c r="R76" s="147"/>
    </row>
    <row r="77" spans="1:19" x14ac:dyDescent="0.2">
      <c r="A77" s="160">
        <v>43921</v>
      </c>
      <c r="B77" s="161">
        <f>Inputs!D98</f>
        <v>30079085.278391898</v>
      </c>
      <c r="C77" s="161">
        <v>529.88181818181829</v>
      </c>
      <c r="D77" s="161">
        <v>0</v>
      </c>
      <c r="E77" s="161">
        <v>31</v>
      </c>
      <c r="F77" s="162">
        <v>1</v>
      </c>
      <c r="G77" s="161">
        <f>Inputs!G98+Inputs!I98+Inputs!L98+Inputs!X98</f>
        <v>23774</v>
      </c>
      <c r="H77" s="162">
        <v>1</v>
      </c>
      <c r="I77" s="162">
        <v>1</v>
      </c>
      <c r="J77" s="162">
        <v>0</v>
      </c>
      <c r="K77" s="161">
        <v>0</v>
      </c>
      <c r="L77" s="162">
        <v>1</v>
      </c>
      <c r="M77" s="161">
        <f t="shared" si="4"/>
        <v>31715192.90400786</v>
      </c>
      <c r="N77" s="9">
        <f t="shared" si="5"/>
        <v>1636107.6256159618</v>
      </c>
      <c r="O77" s="171">
        <f t="shared" si="6"/>
        <v>5.4393529938601651E-2</v>
      </c>
      <c r="P77" s="171">
        <f t="shared" si="7"/>
        <v>5.4393529938601651E-2</v>
      </c>
      <c r="Q77" s="11"/>
      <c r="R77" s="147"/>
    </row>
    <row r="78" spans="1:19" x14ac:dyDescent="0.2">
      <c r="A78" s="160">
        <v>43951</v>
      </c>
      <c r="B78" s="161">
        <f>Inputs!D99</f>
        <v>26605231.832859904</v>
      </c>
      <c r="C78" s="161">
        <v>327.50000000000006</v>
      </c>
      <c r="D78" s="161">
        <v>4.5454545454545456E-2</v>
      </c>
      <c r="E78" s="161">
        <v>30</v>
      </c>
      <c r="F78" s="162">
        <v>1</v>
      </c>
      <c r="G78" s="161">
        <f>Inputs!G99+Inputs!I99+Inputs!L99+Inputs!X99</f>
        <v>23805</v>
      </c>
      <c r="H78" s="162">
        <v>1</v>
      </c>
      <c r="I78" s="162">
        <v>1</v>
      </c>
      <c r="J78" s="162">
        <v>0</v>
      </c>
      <c r="K78" s="161">
        <v>0</v>
      </c>
      <c r="L78" s="162">
        <v>1</v>
      </c>
      <c r="M78" s="161">
        <f t="shared" si="4"/>
        <v>28356428.884692617</v>
      </c>
      <c r="N78" s="9">
        <f t="shared" si="5"/>
        <v>1751197.0518327132</v>
      </c>
      <c r="O78" s="171">
        <f t="shared" si="6"/>
        <v>6.5821529495932604E-2</v>
      </c>
      <c r="P78" s="171">
        <f t="shared" si="7"/>
        <v>6.5821529495932604E-2</v>
      </c>
      <c r="Q78" s="11"/>
      <c r="R78" s="147"/>
    </row>
    <row r="79" spans="1:19" x14ac:dyDescent="0.2">
      <c r="A79" s="160">
        <v>43982</v>
      </c>
      <c r="B79" s="161">
        <f>Inputs!D100</f>
        <v>28255543.1817187</v>
      </c>
      <c r="C79" s="161">
        <v>141.14545454545456</v>
      </c>
      <c r="D79" s="161">
        <v>16.963636363636365</v>
      </c>
      <c r="E79" s="161">
        <v>31</v>
      </c>
      <c r="F79" s="162">
        <v>1</v>
      </c>
      <c r="G79" s="161">
        <f>Inputs!G100+Inputs!I100+Inputs!L100+Inputs!X100</f>
        <v>23829</v>
      </c>
      <c r="H79" s="162">
        <v>1</v>
      </c>
      <c r="I79" s="162">
        <v>1</v>
      </c>
      <c r="J79" s="162">
        <v>0</v>
      </c>
      <c r="K79" s="161">
        <v>0</v>
      </c>
      <c r="L79" s="162">
        <v>1</v>
      </c>
      <c r="M79" s="161">
        <f t="shared" si="4"/>
        <v>29278283.294503115</v>
      </c>
      <c r="N79" s="9">
        <f t="shared" si="5"/>
        <v>1022740.1127844155</v>
      </c>
      <c r="O79" s="171">
        <f t="shared" si="6"/>
        <v>3.6196087479434022E-2</v>
      </c>
      <c r="P79" s="171">
        <f t="shared" si="7"/>
        <v>3.6196087479434022E-2</v>
      </c>
      <c r="Q79" s="11"/>
      <c r="R79" s="147"/>
    </row>
    <row r="80" spans="1:19" x14ac:dyDescent="0.2">
      <c r="A80" s="160">
        <v>44012</v>
      </c>
      <c r="B80" s="161">
        <f>Inputs!D101</f>
        <v>33406975.0200781</v>
      </c>
      <c r="C80" s="161">
        <v>28.127272727272725</v>
      </c>
      <c r="D80" s="161">
        <v>55.209090909090904</v>
      </c>
      <c r="E80" s="161">
        <v>30</v>
      </c>
      <c r="F80" s="162">
        <v>0</v>
      </c>
      <c r="G80" s="161">
        <f>Inputs!G101+Inputs!I101+Inputs!L101+Inputs!X101</f>
        <v>23871</v>
      </c>
      <c r="H80" s="162">
        <v>1</v>
      </c>
      <c r="I80" s="162">
        <v>1</v>
      </c>
      <c r="J80" s="162">
        <v>0</v>
      </c>
      <c r="K80" s="161">
        <v>0</v>
      </c>
      <c r="L80" s="162">
        <v>1</v>
      </c>
      <c r="M80" s="161">
        <f t="shared" si="4"/>
        <v>32768954.007246137</v>
      </c>
      <c r="N80" s="9">
        <f t="shared" si="5"/>
        <v>-638021.0128319636</v>
      </c>
      <c r="O80" s="171">
        <f t="shared" si="6"/>
        <v>-1.9098437151178857E-2</v>
      </c>
      <c r="P80" s="171">
        <f t="shared" si="7"/>
        <v>1.9098437151178857E-2</v>
      </c>
      <c r="Q80" s="11"/>
      <c r="R80" s="147"/>
    </row>
    <row r="81" spans="1:19" x14ac:dyDescent="0.2">
      <c r="A81" s="160">
        <v>44043</v>
      </c>
      <c r="B81" s="161">
        <f>Inputs!D102</f>
        <v>42687999.775185399</v>
      </c>
      <c r="C81" s="161">
        <v>2.9545454545454546</v>
      </c>
      <c r="D81" s="161">
        <v>105.68181818181816</v>
      </c>
      <c r="E81" s="161">
        <v>31</v>
      </c>
      <c r="F81" s="162">
        <v>0</v>
      </c>
      <c r="G81" s="161">
        <f>Inputs!G102+Inputs!I102+Inputs!L102+Inputs!X102</f>
        <v>23900</v>
      </c>
      <c r="H81" s="162">
        <v>1</v>
      </c>
      <c r="I81" s="162">
        <v>1</v>
      </c>
      <c r="J81" s="162">
        <v>0</v>
      </c>
      <c r="K81" s="161">
        <v>0</v>
      </c>
      <c r="L81" s="162">
        <v>1</v>
      </c>
      <c r="M81" s="161">
        <f t="shared" si="4"/>
        <v>38458748.409869447</v>
      </c>
      <c r="N81" s="9">
        <f t="shared" si="5"/>
        <v>-4229251.3653159514</v>
      </c>
      <c r="O81" s="171">
        <f t="shared" si="6"/>
        <v>-9.9073542625307584E-2</v>
      </c>
      <c r="P81" s="171">
        <f t="shared" si="7"/>
        <v>9.9073542625307584E-2</v>
      </c>
      <c r="Q81" s="11"/>
      <c r="R81" s="147"/>
    </row>
    <row r="82" spans="1:19" x14ac:dyDescent="0.2">
      <c r="A82" s="160">
        <v>44074</v>
      </c>
      <c r="B82" s="161">
        <f>Inputs!D103</f>
        <v>37930770.327769101</v>
      </c>
      <c r="C82" s="161">
        <v>7.0272727272727282</v>
      </c>
      <c r="D82" s="161">
        <v>87.863636363636374</v>
      </c>
      <c r="E82" s="161">
        <v>31</v>
      </c>
      <c r="F82" s="162">
        <v>0</v>
      </c>
      <c r="G82" s="161">
        <f>Inputs!G103+Inputs!I103+Inputs!L103+Inputs!X103</f>
        <v>23924</v>
      </c>
      <c r="H82" s="162">
        <v>1</v>
      </c>
      <c r="I82" s="162">
        <v>1</v>
      </c>
      <c r="J82" s="162">
        <v>0</v>
      </c>
      <c r="K82" s="161">
        <v>0</v>
      </c>
      <c r="L82" s="162">
        <v>1</v>
      </c>
      <c r="M82" s="161">
        <f t="shared" si="4"/>
        <v>36871372.997785732</v>
      </c>
      <c r="N82" s="9">
        <f t="shared" si="5"/>
        <v>-1059397.3299833685</v>
      </c>
      <c r="O82" s="171">
        <f t="shared" si="6"/>
        <v>-2.7929760477545171E-2</v>
      </c>
      <c r="P82" s="171">
        <f t="shared" si="7"/>
        <v>2.7929760477545171E-2</v>
      </c>
      <c r="Q82" s="11"/>
      <c r="R82" s="147"/>
    </row>
    <row r="83" spans="1:19" x14ac:dyDescent="0.2">
      <c r="A83" s="160">
        <v>44104</v>
      </c>
      <c r="B83" s="161">
        <f>Inputs!D104</f>
        <v>29216230.450019099</v>
      </c>
      <c r="C83" s="161">
        <v>51.009090909090908</v>
      </c>
      <c r="D83" s="161">
        <v>34.68181818181818</v>
      </c>
      <c r="E83" s="161">
        <v>30</v>
      </c>
      <c r="F83" s="162">
        <v>0</v>
      </c>
      <c r="G83" s="161">
        <f>Inputs!G104+Inputs!I104+Inputs!L104+Inputs!X104</f>
        <v>23945</v>
      </c>
      <c r="H83" s="162">
        <v>1</v>
      </c>
      <c r="I83" s="162">
        <v>1</v>
      </c>
      <c r="J83" s="162">
        <v>0</v>
      </c>
      <c r="K83" s="161">
        <v>0</v>
      </c>
      <c r="L83" s="162">
        <v>1</v>
      </c>
      <c r="M83" s="161">
        <f t="shared" si="4"/>
        <v>31154391.016792502</v>
      </c>
      <c r="N83" s="9">
        <f t="shared" si="5"/>
        <v>1938160.5667734034</v>
      </c>
      <c r="O83" s="171">
        <f t="shared" si="6"/>
        <v>6.633848846753386E-2</v>
      </c>
      <c r="P83" s="171">
        <f t="shared" si="7"/>
        <v>6.633848846753386E-2</v>
      </c>
      <c r="Q83" s="11"/>
      <c r="R83" s="147"/>
    </row>
    <row r="84" spans="1:19" x14ac:dyDescent="0.2">
      <c r="A84" s="160">
        <v>44135</v>
      </c>
      <c r="B84" s="161">
        <f>Inputs!D105</f>
        <v>27410041.627921898</v>
      </c>
      <c r="C84" s="161">
        <v>212.45</v>
      </c>
      <c r="D84" s="161">
        <v>5.3</v>
      </c>
      <c r="E84" s="161">
        <v>31</v>
      </c>
      <c r="F84" s="162">
        <v>1</v>
      </c>
      <c r="G84" s="161">
        <f>Inputs!G105+Inputs!I105+Inputs!L105+Inputs!X105</f>
        <v>23961</v>
      </c>
      <c r="H84" s="162">
        <v>1</v>
      </c>
      <c r="I84" s="162">
        <v>0</v>
      </c>
      <c r="J84" s="162">
        <v>0</v>
      </c>
      <c r="K84" s="161">
        <v>0</v>
      </c>
      <c r="L84" s="162">
        <v>1</v>
      </c>
      <c r="M84" s="161">
        <f t="shared" si="4"/>
        <v>29015035.214045346</v>
      </c>
      <c r="N84" s="9">
        <f t="shared" si="5"/>
        <v>1604993.5861234479</v>
      </c>
      <c r="O84" s="171">
        <f t="shared" si="6"/>
        <v>5.8554948872769408E-2</v>
      </c>
      <c r="P84" s="171">
        <f t="shared" si="7"/>
        <v>5.8554948872769408E-2</v>
      </c>
      <c r="Q84" s="11"/>
      <c r="R84" s="147"/>
    </row>
    <row r="85" spans="1:19" x14ac:dyDescent="0.2">
      <c r="A85" s="160">
        <v>44165</v>
      </c>
      <c r="B85" s="161">
        <f>Inputs!D106</f>
        <v>28047137.9106231</v>
      </c>
      <c r="C85" s="161">
        <v>408.5</v>
      </c>
      <c r="D85" s="161">
        <v>0.22999999999999998</v>
      </c>
      <c r="E85" s="161">
        <v>30</v>
      </c>
      <c r="F85" s="162">
        <v>1</v>
      </c>
      <c r="G85" s="161">
        <f>Inputs!G106+Inputs!I106+Inputs!L106+Inputs!X106</f>
        <v>23995</v>
      </c>
      <c r="H85" s="162">
        <v>1</v>
      </c>
      <c r="I85" s="162">
        <v>0</v>
      </c>
      <c r="J85" s="162">
        <v>0</v>
      </c>
      <c r="K85" s="161">
        <v>0</v>
      </c>
      <c r="L85" s="162">
        <v>1</v>
      </c>
      <c r="M85" s="161">
        <f t="shared" si="4"/>
        <v>29318063.240561582</v>
      </c>
      <c r="N85" s="9">
        <f t="shared" si="5"/>
        <v>1270925.3299384825</v>
      </c>
      <c r="O85" s="171">
        <f t="shared" si="6"/>
        <v>4.5313904541293977E-2</v>
      </c>
      <c r="P85" s="171">
        <f t="shared" si="7"/>
        <v>4.5313904541293977E-2</v>
      </c>
      <c r="Q85" s="11"/>
      <c r="R85" s="147"/>
    </row>
    <row r="86" spans="1:19" x14ac:dyDescent="0.2">
      <c r="A86" s="160">
        <v>44196</v>
      </c>
      <c r="B86" s="161">
        <f>Inputs!D107</f>
        <v>32403661.342188701</v>
      </c>
      <c r="C86" s="161">
        <v>533.85000000000014</v>
      </c>
      <c r="D86" s="161">
        <v>0</v>
      </c>
      <c r="E86" s="161">
        <v>31</v>
      </c>
      <c r="F86" s="162">
        <v>1</v>
      </c>
      <c r="G86" s="161">
        <f>Inputs!G107+Inputs!I107+Inputs!L107+Inputs!X107</f>
        <v>24054</v>
      </c>
      <c r="H86" s="162">
        <v>1</v>
      </c>
      <c r="I86" s="162">
        <v>0</v>
      </c>
      <c r="J86" s="162">
        <v>0</v>
      </c>
      <c r="K86" s="161">
        <v>0</v>
      </c>
      <c r="L86" s="162">
        <v>1</v>
      </c>
      <c r="M86" s="161">
        <f t="shared" si="4"/>
        <v>31910550.213713724</v>
      </c>
      <c r="N86" s="9">
        <f t="shared" si="5"/>
        <v>-493111.12847497687</v>
      </c>
      <c r="O86" s="171">
        <f t="shared" si="6"/>
        <v>-1.5217759600300456E-2</v>
      </c>
      <c r="P86" s="171">
        <f t="shared" si="7"/>
        <v>1.5217759600300456E-2</v>
      </c>
      <c r="Q86" s="11"/>
      <c r="R86" s="147"/>
    </row>
    <row r="87" spans="1:19" x14ac:dyDescent="0.2">
      <c r="A87" s="160">
        <v>44227</v>
      </c>
      <c r="B87" s="161">
        <f>Inputs!D108</f>
        <v>32846157.776278503</v>
      </c>
      <c r="C87" s="161">
        <v>672.12727272727273</v>
      </c>
      <c r="D87" s="161">
        <v>0</v>
      </c>
      <c r="E87" s="161">
        <v>31</v>
      </c>
      <c r="F87" s="162">
        <v>0</v>
      </c>
      <c r="G87" s="161">
        <f>Inputs!G108+Inputs!I108+Inputs!L108+Inputs!X108</f>
        <v>24074</v>
      </c>
      <c r="H87" s="162">
        <v>1</v>
      </c>
      <c r="I87" s="162">
        <v>0</v>
      </c>
      <c r="J87" s="162">
        <v>0</v>
      </c>
      <c r="K87" s="161">
        <v>0</v>
      </c>
      <c r="L87" s="162">
        <v>1</v>
      </c>
      <c r="M87" s="161">
        <f t="shared" si="4"/>
        <v>35750159.857379645</v>
      </c>
      <c r="N87" s="9">
        <f t="shared" si="5"/>
        <v>2904002.0811011419</v>
      </c>
      <c r="O87" s="171">
        <f t="shared" si="6"/>
        <v>8.8412230766254568E-2</v>
      </c>
      <c r="P87" s="171">
        <f t="shared" si="7"/>
        <v>8.8412230766254568E-2</v>
      </c>
      <c r="Q87" s="11"/>
      <c r="R87" s="147"/>
    </row>
    <row r="88" spans="1:19" x14ac:dyDescent="0.2">
      <c r="A88" s="160">
        <v>44255</v>
      </c>
      <c r="B88" s="161">
        <f>Inputs!D109</f>
        <v>30819473.817396801</v>
      </c>
      <c r="C88" s="161">
        <v>607.14545454545453</v>
      </c>
      <c r="D88" s="161">
        <v>0</v>
      </c>
      <c r="E88" s="161">
        <v>28</v>
      </c>
      <c r="F88" s="162">
        <v>0</v>
      </c>
      <c r="G88" s="161">
        <f>Inputs!G109+Inputs!I109+Inputs!L109+Inputs!X109</f>
        <v>24154</v>
      </c>
      <c r="H88" s="162">
        <v>1</v>
      </c>
      <c r="I88" s="162">
        <v>0</v>
      </c>
      <c r="J88" s="162">
        <v>0</v>
      </c>
      <c r="K88" s="161">
        <v>0</v>
      </c>
      <c r="L88" s="162">
        <v>1</v>
      </c>
      <c r="M88" s="161">
        <f t="shared" si="4"/>
        <v>31276432.750720732</v>
      </c>
      <c r="N88" s="9">
        <f t="shared" si="5"/>
        <v>456958.93332393095</v>
      </c>
      <c r="O88" s="171">
        <f t="shared" si="6"/>
        <v>1.4826954413024059E-2</v>
      </c>
      <c r="P88" s="171">
        <f t="shared" si="7"/>
        <v>1.4826954413024059E-2</v>
      </c>
      <c r="Q88" s="11"/>
      <c r="R88" s="147"/>
    </row>
    <row r="89" spans="1:19" x14ac:dyDescent="0.2">
      <c r="A89" s="160">
        <v>44286</v>
      </c>
      <c r="B89" s="161">
        <f>Inputs!D110</f>
        <v>30429325.708896</v>
      </c>
      <c r="C89" s="161">
        <v>529.88181818181829</v>
      </c>
      <c r="D89" s="161">
        <v>0</v>
      </c>
      <c r="E89" s="161">
        <v>31</v>
      </c>
      <c r="F89" s="162">
        <v>1</v>
      </c>
      <c r="G89" s="161">
        <f>Inputs!G110+Inputs!I110+Inputs!L110+Inputs!X110</f>
        <v>24237</v>
      </c>
      <c r="H89" s="162">
        <v>1</v>
      </c>
      <c r="I89" s="162">
        <v>0</v>
      </c>
      <c r="J89" s="162">
        <v>0</v>
      </c>
      <c r="K89" s="161">
        <v>0</v>
      </c>
      <c r="L89" s="162">
        <v>1</v>
      </c>
      <c r="M89" s="161">
        <f t="shared" si="4"/>
        <v>31970184.900380708</v>
      </c>
      <c r="N89" s="9">
        <f t="shared" si="5"/>
        <v>1540859.1914847083</v>
      </c>
      <c r="O89" s="171">
        <f t="shared" si="6"/>
        <v>5.0637309752619292E-2</v>
      </c>
      <c r="P89" s="171">
        <f t="shared" si="7"/>
        <v>5.0637309752619292E-2</v>
      </c>
      <c r="Q89" s="11"/>
      <c r="R89" s="147"/>
    </row>
    <row r="90" spans="1:19" x14ac:dyDescent="0.2">
      <c r="A90" s="160">
        <v>44316</v>
      </c>
      <c r="B90" s="161">
        <f>Inputs!D111</f>
        <v>26763134.5519844</v>
      </c>
      <c r="C90" s="161">
        <v>327.50000000000006</v>
      </c>
      <c r="D90" s="161">
        <v>4.5454545454545456E-2</v>
      </c>
      <c r="E90" s="161">
        <v>30</v>
      </c>
      <c r="F90" s="162">
        <v>1</v>
      </c>
      <c r="G90" s="161">
        <f>Inputs!G111+Inputs!I111+Inputs!L111+Inputs!X111</f>
        <v>24275</v>
      </c>
      <c r="H90" s="162">
        <v>0</v>
      </c>
      <c r="I90" s="162">
        <v>0</v>
      </c>
      <c r="J90" s="162">
        <v>0</v>
      </c>
      <c r="K90" s="161">
        <v>0</v>
      </c>
      <c r="L90" s="162">
        <v>1</v>
      </c>
      <c r="M90" s="161">
        <f t="shared" si="4"/>
        <v>28615276.051636975</v>
      </c>
      <c r="N90" s="9">
        <f t="shared" si="5"/>
        <v>1852141.4996525757</v>
      </c>
      <c r="O90" s="171">
        <f t="shared" si="6"/>
        <v>6.9204954152698284E-2</v>
      </c>
      <c r="P90" s="171">
        <f t="shared" si="7"/>
        <v>6.9204954152698284E-2</v>
      </c>
      <c r="Q90" s="11"/>
      <c r="R90" s="147"/>
    </row>
    <row r="91" spans="1:19" x14ac:dyDescent="0.2">
      <c r="A91" s="160">
        <v>44347</v>
      </c>
      <c r="B91" s="161">
        <f>Inputs!D112</f>
        <v>28296552.692327201</v>
      </c>
      <c r="C91" s="161">
        <v>141.14545454545456</v>
      </c>
      <c r="D91" s="161">
        <v>16.963636363636365</v>
      </c>
      <c r="E91" s="161">
        <v>31</v>
      </c>
      <c r="F91" s="162">
        <v>1</v>
      </c>
      <c r="G91" s="161">
        <f>Inputs!G112+Inputs!I112+Inputs!L112+Inputs!X112</f>
        <v>24299</v>
      </c>
      <c r="H91" s="162">
        <v>0</v>
      </c>
      <c r="I91" s="162">
        <v>0</v>
      </c>
      <c r="J91" s="162">
        <v>0</v>
      </c>
      <c r="K91" s="161">
        <v>0</v>
      </c>
      <c r="L91" s="162">
        <v>1</v>
      </c>
      <c r="M91" s="161">
        <f t="shared" si="4"/>
        <v>29537130.461447477</v>
      </c>
      <c r="N91" s="9">
        <f t="shared" si="5"/>
        <v>1240577.769120276</v>
      </c>
      <c r="O91" s="171">
        <f t="shared" si="6"/>
        <v>4.384201081344679E-2</v>
      </c>
      <c r="P91" s="171">
        <f t="shared" si="7"/>
        <v>4.384201081344679E-2</v>
      </c>
      <c r="Q91" s="11"/>
      <c r="R91" s="147"/>
    </row>
    <row r="92" spans="1:19" x14ac:dyDescent="0.2">
      <c r="A92" s="160">
        <v>44377</v>
      </c>
      <c r="B92" s="161">
        <f>Inputs!D113</f>
        <v>34399006.535900503</v>
      </c>
      <c r="C92" s="161">
        <v>28.127272727272725</v>
      </c>
      <c r="D92" s="161">
        <v>55.209090909090904</v>
      </c>
      <c r="E92" s="161">
        <v>30</v>
      </c>
      <c r="F92" s="162">
        <v>0</v>
      </c>
      <c r="G92" s="161">
        <f>Inputs!G113+Inputs!I113+Inputs!L113+Inputs!X113</f>
        <v>24365</v>
      </c>
      <c r="H92" s="162">
        <v>0</v>
      </c>
      <c r="I92" s="162">
        <v>0</v>
      </c>
      <c r="J92" s="162">
        <v>0</v>
      </c>
      <c r="K92" s="161">
        <v>0</v>
      </c>
      <c r="L92" s="162">
        <v>1</v>
      </c>
      <c r="M92" s="161">
        <f t="shared" si="4"/>
        <v>33041018.901864253</v>
      </c>
      <c r="N92" s="9">
        <f t="shared" si="5"/>
        <v>-1357987.6340362504</v>
      </c>
      <c r="O92" s="171">
        <f t="shared" si="6"/>
        <v>-3.9477524812206059E-2</v>
      </c>
      <c r="P92" s="171">
        <f t="shared" si="7"/>
        <v>3.9477524812206059E-2</v>
      </c>
      <c r="Q92" s="11"/>
      <c r="R92" s="147"/>
      <c r="S92"/>
    </row>
    <row r="93" spans="1:19" x14ac:dyDescent="0.2">
      <c r="A93" s="160">
        <v>44408</v>
      </c>
      <c r="B93" s="161">
        <f>Inputs!D114</f>
        <v>36416581.592046797</v>
      </c>
      <c r="C93" s="161">
        <v>2.9545454545454546</v>
      </c>
      <c r="D93" s="161">
        <v>105.68181818181816</v>
      </c>
      <c r="E93" s="161">
        <v>31</v>
      </c>
      <c r="F93" s="162">
        <v>0</v>
      </c>
      <c r="G93" s="161">
        <f>Inputs!G114+Inputs!I114+Inputs!L114+Inputs!X114</f>
        <v>24389</v>
      </c>
      <c r="H93" s="162">
        <v>0</v>
      </c>
      <c r="I93" s="162">
        <v>0</v>
      </c>
      <c r="J93" s="162">
        <v>0</v>
      </c>
      <c r="K93" s="161">
        <v>0</v>
      </c>
      <c r="L93" s="162">
        <v>1</v>
      </c>
      <c r="M93" s="161">
        <f t="shared" si="4"/>
        <v>38728059.6112222</v>
      </c>
      <c r="N93" s="9">
        <f t="shared" si="5"/>
        <v>2311478.0191754028</v>
      </c>
      <c r="O93" s="171">
        <f t="shared" si="6"/>
        <v>6.3473228900765857E-2</v>
      </c>
      <c r="P93" s="171">
        <f t="shared" si="7"/>
        <v>6.3473228900765857E-2</v>
      </c>
      <c r="Q93" s="11"/>
      <c r="R93" s="147"/>
      <c r="S93"/>
    </row>
    <row r="94" spans="1:19" x14ac:dyDescent="0.2">
      <c r="A94" s="160">
        <v>44439</v>
      </c>
      <c r="B94" s="161">
        <f>Inputs!D115</f>
        <v>41970614.616817705</v>
      </c>
      <c r="C94" s="161">
        <v>7.0272727272727282</v>
      </c>
      <c r="D94" s="161">
        <v>87.863636363636374</v>
      </c>
      <c r="E94" s="161">
        <v>31</v>
      </c>
      <c r="F94" s="162">
        <v>0</v>
      </c>
      <c r="G94" s="161">
        <f>Inputs!G115+Inputs!I115+Inputs!L115+Inputs!X115</f>
        <v>24447</v>
      </c>
      <c r="H94" s="162">
        <v>0</v>
      </c>
      <c r="I94" s="162">
        <v>0</v>
      </c>
      <c r="J94" s="162">
        <v>0</v>
      </c>
      <c r="K94" s="161">
        <v>0</v>
      </c>
      <c r="L94" s="162">
        <v>1</v>
      </c>
      <c r="M94" s="161">
        <f t="shared" si="4"/>
        <v>37159409.313342966</v>
      </c>
      <c r="N94" s="9">
        <f t="shared" si="5"/>
        <v>-4811205.3034747392</v>
      </c>
      <c r="O94" s="171">
        <f t="shared" si="6"/>
        <v>-0.11463271022833389</v>
      </c>
      <c r="P94" s="171">
        <f t="shared" si="7"/>
        <v>0.11463271022833389</v>
      </c>
      <c r="Q94" s="11"/>
      <c r="R94" s="147"/>
      <c r="S94"/>
    </row>
    <row r="95" spans="1:19" x14ac:dyDescent="0.2">
      <c r="A95" s="160">
        <v>44469</v>
      </c>
      <c r="B95" s="161">
        <f>Inputs!D116</f>
        <v>30974506.587737001</v>
      </c>
      <c r="C95" s="161">
        <v>51.009090909090908</v>
      </c>
      <c r="D95" s="161">
        <v>34.68181818181818</v>
      </c>
      <c r="E95" s="161">
        <v>30</v>
      </c>
      <c r="F95" s="162">
        <v>0</v>
      </c>
      <c r="G95" s="161">
        <f>Inputs!G116+Inputs!I116+Inputs!L116+Inputs!X116</f>
        <v>24480</v>
      </c>
      <c r="H95" s="162">
        <v>0</v>
      </c>
      <c r="I95" s="162">
        <v>0</v>
      </c>
      <c r="J95" s="162">
        <v>0</v>
      </c>
      <c r="K95" s="161">
        <v>0</v>
      </c>
      <c r="L95" s="162">
        <v>1</v>
      </c>
      <c r="M95" s="161">
        <f t="shared" si="4"/>
        <v>31449036.196186613</v>
      </c>
      <c r="N95" s="9">
        <f t="shared" si="5"/>
        <v>474529.60844961181</v>
      </c>
      <c r="O95" s="171">
        <f t="shared" si="6"/>
        <v>1.5320005408495548E-2</v>
      </c>
      <c r="P95" s="171">
        <f t="shared" si="7"/>
        <v>1.5320005408495548E-2</v>
      </c>
      <c r="Q95" s="11"/>
      <c r="R95" s="147"/>
      <c r="S95"/>
    </row>
    <row r="96" spans="1:19" x14ac:dyDescent="0.2">
      <c r="A96" s="160">
        <v>44500</v>
      </c>
      <c r="B96" s="161">
        <f>Inputs!D117</f>
        <v>28889124.189985599</v>
      </c>
      <c r="C96" s="161">
        <v>212.45</v>
      </c>
      <c r="D96" s="161">
        <v>5.3</v>
      </c>
      <c r="E96" s="161">
        <v>31</v>
      </c>
      <c r="F96" s="162">
        <v>1</v>
      </c>
      <c r="G96" s="161">
        <f>Inputs!G117+Inputs!I117+Inputs!L117+Inputs!X117</f>
        <v>24539</v>
      </c>
      <c r="H96" s="162">
        <v>0</v>
      </c>
      <c r="I96" s="162">
        <v>0</v>
      </c>
      <c r="J96" s="162">
        <v>0</v>
      </c>
      <c r="K96" s="161">
        <v>0</v>
      </c>
      <c r="L96" s="162">
        <v>1</v>
      </c>
      <c r="M96" s="161">
        <f t="shared" si="4"/>
        <v>29333362.155521601</v>
      </c>
      <c r="N96" s="9">
        <f t="shared" si="5"/>
        <v>444237.96553600207</v>
      </c>
      <c r="O96" s="171">
        <f t="shared" si="6"/>
        <v>1.5377342788743902E-2</v>
      </c>
      <c r="P96" s="171">
        <f t="shared" si="7"/>
        <v>1.5377342788743902E-2</v>
      </c>
      <c r="Q96" s="11"/>
      <c r="R96" s="147"/>
      <c r="S96"/>
    </row>
    <row r="97" spans="1:19" x14ac:dyDescent="0.2">
      <c r="A97" s="160">
        <v>44530</v>
      </c>
      <c r="B97" s="161">
        <f>Inputs!D118</f>
        <v>29524971.059174798</v>
      </c>
      <c r="C97" s="161">
        <v>408.5</v>
      </c>
      <c r="D97" s="161">
        <v>0.22999999999999998</v>
      </c>
      <c r="E97" s="161">
        <v>30</v>
      </c>
      <c r="F97" s="162">
        <v>1</v>
      </c>
      <c r="G97" s="161">
        <f>Inputs!G118+Inputs!I118+Inputs!L118+Inputs!X118</f>
        <v>24577</v>
      </c>
      <c r="H97" s="162">
        <v>0</v>
      </c>
      <c r="I97" s="162">
        <v>0</v>
      </c>
      <c r="J97" s="162">
        <v>0</v>
      </c>
      <c r="K97" s="161">
        <v>0</v>
      </c>
      <c r="L97" s="162">
        <v>1</v>
      </c>
      <c r="M97" s="161">
        <f t="shared" si="4"/>
        <v>29638593.13665013</v>
      </c>
      <c r="N97" s="9">
        <f t="shared" si="5"/>
        <v>113622.07747533172</v>
      </c>
      <c r="O97" s="171">
        <f t="shared" si="6"/>
        <v>3.8483383183545578E-3</v>
      </c>
      <c r="P97" s="171">
        <f t="shared" si="7"/>
        <v>3.8483383183545578E-3</v>
      </c>
      <c r="Q97" s="11"/>
      <c r="R97" s="147"/>
      <c r="S97"/>
    </row>
    <row r="98" spans="1:19" x14ac:dyDescent="0.2">
      <c r="A98" s="160">
        <v>44561</v>
      </c>
      <c r="B98" s="161">
        <f>Inputs!D119</f>
        <v>32565823.594668198</v>
      </c>
      <c r="C98" s="161">
        <v>533.85000000000014</v>
      </c>
      <c r="D98" s="161">
        <v>0</v>
      </c>
      <c r="E98" s="161">
        <v>31</v>
      </c>
      <c r="F98" s="162">
        <v>1</v>
      </c>
      <c r="G98" s="161">
        <f>Inputs!G119+Inputs!I119+Inputs!L119+Inputs!X119</f>
        <v>24627</v>
      </c>
      <c r="H98" s="162">
        <v>0</v>
      </c>
      <c r="I98" s="162">
        <v>0</v>
      </c>
      <c r="J98" s="162">
        <v>0</v>
      </c>
      <c r="K98" s="161">
        <v>0</v>
      </c>
      <c r="L98" s="162">
        <v>1</v>
      </c>
      <c r="M98" s="161">
        <f t="shared" si="4"/>
        <v>32226123.461924613</v>
      </c>
      <c r="N98" s="9">
        <f t="shared" si="5"/>
        <v>-339700.13274358585</v>
      </c>
      <c r="O98" s="171">
        <f t="shared" si="6"/>
        <v>-1.0431185066027407E-2</v>
      </c>
      <c r="P98" s="171">
        <f t="shared" si="7"/>
        <v>1.0431185066027407E-2</v>
      </c>
      <c r="Q98" s="11"/>
      <c r="R98" s="147"/>
      <c r="S98"/>
    </row>
    <row r="99" spans="1:19" x14ac:dyDescent="0.2">
      <c r="A99" s="160">
        <v>44592</v>
      </c>
      <c r="B99" s="161">
        <f>Inputs!D120</f>
        <v>35465006.471801899</v>
      </c>
      <c r="C99" s="163">
        <v>672.12727272727273</v>
      </c>
      <c r="D99" s="163">
        <v>0</v>
      </c>
      <c r="E99" s="161">
        <v>31</v>
      </c>
      <c r="F99" s="162">
        <v>0</v>
      </c>
      <c r="G99" s="161">
        <f>Inputs!G120+Inputs!I120+Inputs!L120+Inputs!X120</f>
        <v>24639</v>
      </c>
      <c r="H99" s="162">
        <v>0</v>
      </c>
      <c r="I99" s="162">
        <v>0</v>
      </c>
      <c r="J99" s="162">
        <v>0</v>
      </c>
      <c r="K99" s="161">
        <v>0</v>
      </c>
      <c r="L99" s="162">
        <v>1</v>
      </c>
      <c r="M99" s="161">
        <f t="shared" si="4"/>
        <v>36061327.196365945</v>
      </c>
      <c r="N99" s="9">
        <f t="shared" si="5"/>
        <v>596320.72456404567</v>
      </c>
      <c r="O99" s="171">
        <f t="shared" si="6"/>
        <v>1.6814341343436047E-2</v>
      </c>
      <c r="P99" s="171">
        <f t="shared" si="7"/>
        <v>1.6814341343436047E-2</v>
      </c>
      <c r="Q99" s="11"/>
      <c r="R99" s="147"/>
      <c r="S99"/>
    </row>
    <row r="100" spans="1:19" x14ac:dyDescent="0.2">
      <c r="A100" s="160">
        <v>44620</v>
      </c>
      <c r="B100" s="161">
        <f>Inputs!D121</f>
        <v>31523310.542636499</v>
      </c>
      <c r="C100" s="163">
        <v>607.14545454545453</v>
      </c>
      <c r="D100" s="163">
        <v>0</v>
      </c>
      <c r="E100" s="161">
        <v>28</v>
      </c>
      <c r="F100" s="162">
        <v>0</v>
      </c>
      <c r="G100" s="161">
        <f>Inputs!G121+Inputs!I121+Inputs!L121+Inputs!X121</f>
        <v>24652</v>
      </c>
      <c r="H100" s="162">
        <v>0</v>
      </c>
      <c r="I100" s="162">
        <v>0</v>
      </c>
      <c r="J100" s="162">
        <v>0</v>
      </c>
      <c r="K100" s="161">
        <v>0</v>
      </c>
      <c r="L100" s="162">
        <v>1</v>
      </c>
      <c r="M100" s="161">
        <f t="shared" si="4"/>
        <v>31550700.599951137</v>
      </c>
      <c r="N100" s="9">
        <f t="shared" si="5"/>
        <v>27390.057314638048</v>
      </c>
      <c r="O100" s="171">
        <f t="shared" si="6"/>
        <v>8.6888264091399708E-4</v>
      </c>
      <c r="P100" s="171">
        <f t="shared" si="7"/>
        <v>8.6888264091399708E-4</v>
      </c>
      <c r="Q100" s="11"/>
      <c r="R100" s="147"/>
      <c r="S100"/>
    </row>
    <row r="101" spans="1:19" x14ac:dyDescent="0.2">
      <c r="A101" s="160">
        <v>44651</v>
      </c>
      <c r="B101" s="161">
        <f>Inputs!D122</f>
        <v>32353240.0566434</v>
      </c>
      <c r="C101" s="163">
        <v>529.88181818181829</v>
      </c>
      <c r="D101" s="163">
        <v>0</v>
      </c>
      <c r="E101" s="161">
        <v>31</v>
      </c>
      <c r="F101" s="162">
        <v>1</v>
      </c>
      <c r="G101" s="161">
        <f>Inputs!G122+Inputs!I122+Inputs!L122+Inputs!X122</f>
        <v>24687</v>
      </c>
      <c r="H101" s="162">
        <v>0</v>
      </c>
      <c r="I101" s="162">
        <v>0</v>
      </c>
      <c r="J101" s="162">
        <v>0</v>
      </c>
      <c r="K101" s="161">
        <v>0</v>
      </c>
      <c r="L101" s="162">
        <v>1</v>
      </c>
      <c r="M101" s="161">
        <f t="shared" si="4"/>
        <v>32218017.294263605</v>
      </c>
      <c r="N101" s="9">
        <f t="shared" si="5"/>
        <v>-135222.76237979531</v>
      </c>
      <c r="O101" s="171">
        <f t="shared" si="6"/>
        <v>-4.1795740439921946E-3</v>
      </c>
      <c r="P101" s="171">
        <f t="shared" si="7"/>
        <v>4.1795740439921946E-3</v>
      </c>
      <c r="Q101" s="11"/>
      <c r="R101" s="147"/>
      <c r="S101"/>
    </row>
    <row r="102" spans="1:19" x14ac:dyDescent="0.2">
      <c r="A102" s="160">
        <v>44681</v>
      </c>
      <c r="B102" s="161">
        <f>Inputs!D123</f>
        <v>27915177.2162803</v>
      </c>
      <c r="C102" s="163">
        <v>327.50000000000006</v>
      </c>
      <c r="D102" s="163">
        <v>4.5454545454545456E-2</v>
      </c>
      <c r="E102" s="161">
        <v>30</v>
      </c>
      <c r="F102" s="162">
        <v>1</v>
      </c>
      <c r="G102" s="161">
        <f>Inputs!G123+Inputs!I123+Inputs!L123+Inputs!X123</f>
        <v>24739</v>
      </c>
      <c r="H102" s="162">
        <v>0</v>
      </c>
      <c r="I102" s="162">
        <v>0</v>
      </c>
      <c r="J102" s="162">
        <v>0</v>
      </c>
      <c r="K102" s="161">
        <v>0</v>
      </c>
      <c r="L102" s="162">
        <v>1</v>
      </c>
      <c r="M102" s="161">
        <f t="shared" si="4"/>
        <v>28870818.786662899</v>
      </c>
      <c r="N102" s="9">
        <f t="shared" si="5"/>
        <v>955641.57038259879</v>
      </c>
      <c r="O102" s="171">
        <f t="shared" si="6"/>
        <v>3.4233763338792737E-2</v>
      </c>
      <c r="P102" s="171">
        <f t="shared" si="7"/>
        <v>3.4233763338792737E-2</v>
      </c>
      <c r="Q102" s="11"/>
      <c r="R102" s="147"/>
      <c r="S102"/>
    </row>
    <row r="103" spans="1:19" x14ac:dyDescent="0.2">
      <c r="A103" s="160">
        <v>44712</v>
      </c>
      <c r="B103" s="161">
        <f>Inputs!D124</f>
        <v>29942359.493953399</v>
      </c>
      <c r="C103" s="163">
        <v>141.14545454545456</v>
      </c>
      <c r="D103" s="163">
        <v>16.963636363636365</v>
      </c>
      <c r="E103" s="161">
        <v>31</v>
      </c>
      <c r="F103" s="162">
        <v>1</v>
      </c>
      <c r="G103" s="161">
        <f>Inputs!G124+Inputs!I124+Inputs!L124+Inputs!X124</f>
        <v>24766</v>
      </c>
      <c r="H103" s="162">
        <v>0</v>
      </c>
      <c r="I103" s="162">
        <v>0</v>
      </c>
      <c r="J103" s="162">
        <v>0</v>
      </c>
      <c r="K103" s="161">
        <v>0</v>
      </c>
      <c r="L103" s="162">
        <v>1</v>
      </c>
      <c r="M103" s="161">
        <f t="shared" si="4"/>
        <v>29794325.412432618</v>
      </c>
      <c r="N103" s="9">
        <f t="shared" si="5"/>
        <v>-148034.08152078092</v>
      </c>
      <c r="O103" s="171">
        <f t="shared" si="6"/>
        <v>-4.943968478859361E-3</v>
      </c>
      <c r="P103" s="171">
        <f t="shared" si="7"/>
        <v>4.943968478859361E-3</v>
      </c>
      <c r="Q103" s="11"/>
      <c r="R103" s="147"/>
      <c r="S103"/>
    </row>
    <row r="104" spans="1:19" x14ac:dyDescent="0.2">
      <c r="A104" s="160">
        <v>44742</v>
      </c>
      <c r="B104" s="161">
        <f>Inputs!D125</f>
        <v>32984458.022498798</v>
      </c>
      <c r="C104" s="163">
        <v>28.127272727272725</v>
      </c>
      <c r="D104" s="163">
        <v>55.209090909090904</v>
      </c>
      <c r="E104" s="161">
        <v>30</v>
      </c>
      <c r="F104" s="162">
        <v>0</v>
      </c>
      <c r="G104" s="161">
        <f>Inputs!G125+Inputs!I125+Inputs!L125+Inputs!X125</f>
        <v>24790</v>
      </c>
      <c r="H104" s="162">
        <v>0</v>
      </c>
      <c r="I104" s="162">
        <v>0</v>
      </c>
      <c r="J104" s="162">
        <v>0</v>
      </c>
      <c r="K104" s="161">
        <v>0</v>
      </c>
      <c r="L104" s="162">
        <v>1</v>
      </c>
      <c r="M104" s="161">
        <f t="shared" si="4"/>
        <v>33275082.829420324</v>
      </c>
      <c r="N104" s="9">
        <f t="shared" si="5"/>
        <v>290624.80692152679</v>
      </c>
      <c r="O104" s="171">
        <f t="shared" si="6"/>
        <v>8.8109620210612746E-3</v>
      </c>
      <c r="P104" s="171">
        <f t="shared" si="7"/>
        <v>8.8109620210612746E-3</v>
      </c>
      <c r="Q104" s="11"/>
      <c r="R104" s="147"/>
      <c r="S104"/>
    </row>
    <row r="105" spans="1:19" x14ac:dyDescent="0.2">
      <c r="A105" s="160">
        <v>44773</v>
      </c>
      <c r="B105" s="161">
        <f>Inputs!D126</f>
        <v>39133029.9268599</v>
      </c>
      <c r="C105" s="163">
        <v>2.9545454545454546</v>
      </c>
      <c r="D105" s="163">
        <v>105.68181818181816</v>
      </c>
      <c r="E105" s="161">
        <v>31</v>
      </c>
      <c r="F105" s="162">
        <v>0</v>
      </c>
      <c r="G105" s="161">
        <f>Inputs!G126+Inputs!I126+Inputs!L126+Inputs!X126</f>
        <v>24818</v>
      </c>
      <c r="H105" s="162">
        <v>0</v>
      </c>
      <c r="I105" s="162">
        <v>0</v>
      </c>
      <c r="J105" s="162">
        <v>0</v>
      </c>
      <c r="K105" s="161">
        <v>0</v>
      </c>
      <c r="L105" s="162">
        <v>1</v>
      </c>
      <c r="M105" s="161">
        <f t="shared" si="4"/>
        <v>38964326.49339056</v>
      </c>
      <c r="N105" s="9">
        <f t="shared" si="5"/>
        <v>-168703.43346934021</v>
      </c>
      <c r="O105" s="171">
        <f t="shared" si="6"/>
        <v>-4.3110240578010167E-3</v>
      </c>
      <c r="P105" s="171">
        <f t="shared" si="7"/>
        <v>4.3110240578010167E-3</v>
      </c>
      <c r="Q105" s="11"/>
      <c r="R105" s="147"/>
      <c r="S105"/>
    </row>
    <row r="106" spans="1:19" x14ac:dyDescent="0.2">
      <c r="A106" s="160">
        <v>44804</v>
      </c>
      <c r="B106" s="161">
        <f>Inputs!D127</f>
        <v>39821521.175825201</v>
      </c>
      <c r="C106" s="163">
        <v>7.0272727272727282</v>
      </c>
      <c r="D106" s="163">
        <v>87.863636363636374</v>
      </c>
      <c r="E106" s="161">
        <v>31</v>
      </c>
      <c r="F106" s="162">
        <v>0</v>
      </c>
      <c r="G106" s="161">
        <f>Inputs!G127+Inputs!I127+Inputs!L127+Inputs!X127</f>
        <v>24861</v>
      </c>
      <c r="H106" s="162">
        <v>0</v>
      </c>
      <c r="I106" s="162">
        <v>0</v>
      </c>
      <c r="J106" s="162">
        <v>0</v>
      </c>
      <c r="K106" s="161">
        <v>0</v>
      </c>
      <c r="L106" s="162">
        <v>1</v>
      </c>
      <c r="M106" s="161">
        <f t="shared" si="4"/>
        <v>37387415.115715235</v>
      </c>
      <c r="N106" s="9">
        <f t="shared" si="5"/>
        <v>-2434106.0601099655</v>
      </c>
      <c r="O106" s="171">
        <f t="shared" si="6"/>
        <v>-6.1125391201470716E-2</v>
      </c>
      <c r="P106" s="171">
        <f t="shared" si="7"/>
        <v>6.1125391201470716E-2</v>
      </c>
      <c r="Q106" s="11"/>
      <c r="R106" s="147"/>
      <c r="S106"/>
    </row>
    <row r="107" spans="1:19" x14ac:dyDescent="0.2">
      <c r="A107" s="160">
        <v>44834</v>
      </c>
      <c r="B107" s="161">
        <f>Inputs!D128</f>
        <v>31429525.786972698</v>
      </c>
      <c r="C107" s="163">
        <v>51.009090909090908</v>
      </c>
      <c r="D107" s="163">
        <v>34.68181818181818</v>
      </c>
      <c r="E107" s="161">
        <v>30</v>
      </c>
      <c r="F107" s="162">
        <v>0</v>
      </c>
      <c r="G107" s="161">
        <f>Inputs!G128+Inputs!I128+Inputs!L128+Inputs!X128</f>
        <v>24901</v>
      </c>
      <c r="H107" s="162">
        <v>0</v>
      </c>
      <c r="I107" s="162">
        <v>0</v>
      </c>
      <c r="J107" s="162">
        <v>0</v>
      </c>
      <c r="K107" s="161">
        <v>0</v>
      </c>
      <c r="L107" s="162">
        <v>1</v>
      </c>
      <c r="M107" s="161">
        <f t="shared" si="4"/>
        <v>31680897.169130392</v>
      </c>
      <c r="N107" s="9">
        <f t="shared" si="5"/>
        <v>251371.38215769455</v>
      </c>
      <c r="O107" s="171">
        <f t="shared" si="6"/>
        <v>7.9979374764186251E-3</v>
      </c>
      <c r="P107" s="171">
        <f t="shared" si="7"/>
        <v>7.9979374764186251E-3</v>
      </c>
      <c r="Q107" s="11"/>
      <c r="R107" s="147"/>
      <c r="S107"/>
    </row>
    <row r="108" spans="1:19" x14ac:dyDescent="0.2">
      <c r="A108" s="160">
        <v>44865</v>
      </c>
      <c r="B108" s="161">
        <f>Inputs!D129</f>
        <v>28375439.900397301</v>
      </c>
      <c r="C108" s="163">
        <v>212.45</v>
      </c>
      <c r="D108" s="163">
        <v>5.3</v>
      </c>
      <c r="E108" s="161">
        <v>31</v>
      </c>
      <c r="F108" s="162">
        <v>1</v>
      </c>
      <c r="G108" s="161">
        <f>Inputs!G129+Inputs!I129+Inputs!L129+Inputs!X129</f>
        <v>24980</v>
      </c>
      <c r="H108" s="162">
        <v>0</v>
      </c>
      <c r="I108" s="162">
        <v>0</v>
      </c>
      <c r="J108" s="162">
        <v>0</v>
      </c>
      <c r="K108" s="161">
        <v>0</v>
      </c>
      <c r="L108" s="162">
        <v>1</v>
      </c>
      <c r="M108" s="161">
        <f t="shared" si="4"/>
        <v>29576237.901526839</v>
      </c>
      <c r="N108" s="9">
        <f t="shared" si="5"/>
        <v>1200798.0011295378</v>
      </c>
      <c r="O108" s="171">
        <f t="shared" si="6"/>
        <v>4.2318216223062845E-2</v>
      </c>
      <c r="P108" s="171">
        <f t="shared" si="7"/>
        <v>4.2318216223062845E-2</v>
      </c>
      <c r="Q108" s="11"/>
      <c r="R108" s="147"/>
      <c r="S108"/>
    </row>
    <row r="109" spans="1:19" x14ac:dyDescent="0.2">
      <c r="A109" s="160">
        <v>44895</v>
      </c>
      <c r="B109" s="161">
        <f>Inputs!D130</f>
        <v>29798652.173497498</v>
      </c>
      <c r="C109" s="163">
        <v>408.5</v>
      </c>
      <c r="D109" s="163">
        <v>0.22999999999999998</v>
      </c>
      <c r="E109" s="161">
        <v>30</v>
      </c>
      <c r="F109" s="162">
        <v>1</v>
      </c>
      <c r="G109" s="161">
        <f>Inputs!G130+Inputs!I130+Inputs!L130+Inputs!X130</f>
        <v>25014</v>
      </c>
      <c r="H109" s="162">
        <v>0</v>
      </c>
      <c r="I109" s="162">
        <v>0</v>
      </c>
      <c r="J109" s="162">
        <v>0</v>
      </c>
      <c r="K109" s="161">
        <v>0</v>
      </c>
      <c r="L109" s="162">
        <v>1</v>
      </c>
      <c r="M109" s="161">
        <f t="shared" si="4"/>
        <v>29879265.928043075</v>
      </c>
      <c r="N109" s="9">
        <f t="shared" si="5"/>
        <v>80613.75454557687</v>
      </c>
      <c r="O109" s="171">
        <f t="shared" si="6"/>
        <v>2.7052819059136374E-3</v>
      </c>
      <c r="P109" s="171">
        <f t="shared" si="7"/>
        <v>2.7052819059136374E-3</v>
      </c>
      <c r="Q109" s="11"/>
      <c r="R109" s="147"/>
      <c r="S109"/>
    </row>
    <row r="110" spans="1:19" x14ac:dyDescent="0.2">
      <c r="A110" s="160">
        <v>44926</v>
      </c>
      <c r="B110" s="161">
        <f>Inputs!D131</f>
        <v>33870515.1064891</v>
      </c>
      <c r="C110" s="163">
        <v>533.85000000000014</v>
      </c>
      <c r="D110" s="163">
        <v>0</v>
      </c>
      <c r="E110" s="161">
        <v>31</v>
      </c>
      <c r="F110" s="162">
        <v>1</v>
      </c>
      <c r="G110" s="161">
        <f>Inputs!G131+Inputs!I131+Inputs!L131+Inputs!X131</f>
        <v>25063</v>
      </c>
      <c r="H110" s="162">
        <v>0</v>
      </c>
      <c r="I110" s="162">
        <v>0</v>
      </c>
      <c r="J110" s="162">
        <v>0</v>
      </c>
      <c r="K110" s="161">
        <v>0</v>
      </c>
      <c r="L110" s="162">
        <v>1</v>
      </c>
      <c r="M110" s="161">
        <f t="shared" si="4"/>
        <v>32466245.51466449</v>
      </c>
      <c r="N110" s="9">
        <f t="shared" si="5"/>
        <v>-1404269.5918246098</v>
      </c>
      <c r="O110" s="171">
        <f t="shared" si="6"/>
        <v>-4.14599419999837E-2</v>
      </c>
      <c r="P110" s="171">
        <f t="shared" si="7"/>
        <v>4.14599419999837E-2</v>
      </c>
      <c r="Q110" s="11"/>
      <c r="R110" s="147"/>
      <c r="S110"/>
    </row>
    <row r="111" spans="1:19" x14ac:dyDescent="0.2">
      <c r="A111" s="160">
        <v>44957</v>
      </c>
      <c r="B111" s="161">
        <f>Inputs!D132</f>
        <v>33991812.103445902</v>
      </c>
      <c r="C111" s="161">
        <v>672.12727272727273</v>
      </c>
      <c r="D111" s="161">
        <v>0</v>
      </c>
      <c r="E111" s="161">
        <v>31</v>
      </c>
      <c r="F111" s="162">
        <v>0</v>
      </c>
      <c r="G111" s="161">
        <f>Inputs!G132+Inputs!I132+Inputs!L132+Inputs!X132</f>
        <v>25081</v>
      </c>
      <c r="H111" s="162">
        <v>0</v>
      </c>
      <c r="I111" s="162">
        <v>0</v>
      </c>
      <c r="J111" s="162">
        <v>0</v>
      </c>
      <c r="K111" s="161">
        <v>0</v>
      </c>
      <c r="L111" s="162">
        <v>1</v>
      </c>
      <c r="M111" s="161">
        <f t="shared" si="4"/>
        <v>36304753.681024261</v>
      </c>
      <c r="N111" s="9">
        <f t="shared" si="5"/>
        <v>2312941.5775783584</v>
      </c>
      <c r="O111" s="171">
        <f t="shared" si="6"/>
        <v>6.804407986663015E-2</v>
      </c>
      <c r="P111" s="171">
        <f t="shared" si="7"/>
        <v>6.804407986663015E-2</v>
      </c>
      <c r="Q111" s="11"/>
      <c r="R111" s="147"/>
      <c r="S111"/>
    </row>
    <row r="112" spans="1:19" x14ac:dyDescent="0.2">
      <c r="A112" s="160">
        <v>44985</v>
      </c>
      <c r="B112" s="161">
        <f>Inputs!D133</f>
        <v>30665858.379131198</v>
      </c>
      <c r="C112" s="161">
        <v>607.14545454545453</v>
      </c>
      <c r="D112" s="161">
        <v>0</v>
      </c>
      <c r="E112" s="161">
        <v>28</v>
      </c>
      <c r="F112" s="162">
        <v>0</v>
      </c>
      <c r="G112" s="161">
        <f>Inputs!G133+Inputs!I133+Inputs!L133+Inputs!X133</f>
        <v>25093</v>
      </c>
      <c r="H112" s="162">
        <v>0</v>
      </c>
      <c r="I112" s="162">
        <v>0</v>
      </c>
      <c r="J112" s="162">
        <v>0</v>
      </c>
      <c r="K112" s="161">
        <v>0</v>
      </c>
      <c r="L112" s="162">
        <v>1</v>
      </c>
      <c r="M112" s="161">
        <f t="shared" si="4"/>
        <v>31793576.345956378</v>
      </c>
      <c r="N112" s="9">
        <f t="shared" si="5"/>
        <v>1127717.9668251798</v>
      </c>
      <c r="O112" s="171">
        <f t="shared" si="6"/>
        <v>3.6774381231494145E-2</v>
      </c>
      <c r="P112" s="171">
        <f t="shared" si="7"/>
        <v>3.6774381231494145E-2</v>
      </c>
      <c r="Q112" s="11"/>
      <c r="R112" s="147"/>
      <c r="S112"/>
    </row>
    <row r="113" spans="1:19" x14ac:dyDescent="0.2">
      <c r="A113" s="160">
        <v>45016</v>
      </c>
      <c r="B113" s="161">
        <f>Inputs!D134</f>
        <v>32629381.9263977</v>
      </c>
      <c r="C113" s="161">
        <v>529.88181818181829</v>
      </c>
      <c r="D113" s="161">
        <v>0</v>
      </c>
      <c r="E113" s="161">
        <v>31</v>
      </c>
      <c r="F113" s="162">
        <v>1</v>
      </c>
      <c r="G113" s="161">
        <f>Inputs!G134+Inputs!I134+Inputs!L134+Inputs!X134</f>
        <v>25129</v>
      </c>
      <c r="H113" s="162">
        <v>0</v>
      </c>
      <c r="I113" s="162">
        <v>0</v>
      </c>
      <c r="J113" s="162">
        <v>0</v>
      </c>
      <c r="K113" s="161">
        <v>0</v>
      </c>
      <c r="L113" s="162">
        <v>1</v>
      </c>
      <c r="M113" s="161">
        <f t="shared" si="4"/>
        <v>32461443.778921917</v>
      </c>
      <c r="N113" s="9">
        <f t="shared" si="5"/>
        <v>-167938.14747578278</v>
      </c>
      <c r="O113" s="171">
        <f t="shared" si="6"/>
        <v>-5.1468381428309588E-3</v>
      </c>
      <c r="P113" s="171">
        <f t="shared" si="7"/>
        <v>5.1468381428309588E-3</v>
      </c>
      <c r="Q113" s="11"/>
      <c r="R113" s="147"/>
      <c r="S113"/>
    </row>
    <row r="114" spans="1:19" x14ac:dyDescent="0.2">
      <c r="A114" s="160">
        <v>45046</v>
      </c>
      <c r="B114" s="161">
        <f>Inputs!D135</f>
        <v>28070848.797054499</v>
      </c>
      <c r="C114" s="161">
        <v>327.50000000000006</v>
      </c>
      <c r="D114" s="161">
        <v>4.5454545454545456E-2</v>
      </c>
      <c r="E114" s="161">
        <v>30</v>
      </c>
      <c r="F114" s="162">
        <v>1</v>
      </c>
      <c r="G114" s="161">
        <f>Inputs!G135+Inputs!I135+Inputs!L135+Inputs!X135</f>
        <v>25213</v>
      </c>
      <c r="H114" s="162">
        <v>0</v>
      </c>
      <c r="I114" s="162">
        <v>0</v>
      </c>
      <c r="J114" s="162">
        <v>0</v>
      </c>
      <c r="K114" s="161">
        <v>0</v>
      </c>
      <c r="L114" s="162">
        <v>1</v>
      </c>
      <c r="M114" s="161">
        <f t="shared" si="4"/>
        <v>29131868.90821955</v>
      </c>
      <c r="N114" s="9">
        <f t="shared" si="5"/>
        <v>1061020.1111650504</v>
      </c>
      <c r="O114" s="171">
        <f t="shared" si="6"/>
        <v>3.7797934748463477E-2</v>
      </c>
      <c r="P114" s="171">
        <f t="shared" si="7"/>
        <v>3.7797934748463477E-2</v>
      </c>
      <c r="Q114" s="11"/>
      <c r="R114" s="147"/>
      <c r="S114"/>
    </row>
    <row r="115" spans="1:19" x14ac:dyDescent="0.2">
      <c r="A115" s="160">
        <v>45077</v>
      </c>
      <c r="B115" s="161">
        <f>Inputs!D136</f>
        <v>28924411.6335361</v>
      </c>
      <c r="C115" s="161">
        <v>141.14545454545456</v>
      </c>
      <c r="D115" s="161">
        <v>16.963636363636365</v>
      </c>
      <c r="E115" s="161">
        <v>31</v>
      </c>
      <c r="F115" s="162">
        <v>1</v>
      </c>
      <c r="G115" s="161">
        <f>Inputs!G136+Inputs!I136+Inputs!L136+Inputs!X136</f>
        <v>25301</v>
      </c>
      <c r="H115" s="162">
        <v>0</v>
      </c>
      <c r="I115" s="162">
        <v>0</v>
      </c>
      <c r="J115" s="162">
        <v>0</v>
      </c>
      <c r="K115" s="161">
        <v>0</v>
      </c>
      <c r="L115" s="162">
        <v>1</v>
      </c>
      <c r="M115" s="161">
        <f t="shared" si="4"/>
        <v>30088970.591826729</v>
      </c>
      <c r="N115" s="9">
        <f t="shared" si="5"/>
        <v>1164558.9582906291</v>
      </c>
      <c r="O115" s="171">
        <f t="shared" si="6"/>
        <v>4.0262148563132524E-2</v>
      </c>
      <c r="P115" s="171">
        <f t="shared" si="7"/>
        <v>4.0262148563132524E-2</v>
      </c>
      <c r="Q115" s="11"/>
      <c r="R115" s="147"/>
      <c r="S115"/>
    </row>
    <row r="116" spans="1:19" x14ac:dyDescent="0.2">
      <c r="A116" s="160">
        <v>45107</v>
      </c>
      <c r="B116" s="161">
        <f>Inputs!D137</f>
        <v>32337605.014613099</v>
      </c>
      <c r="C116" s="161">
        <v>28.127272727272725</v>
      </c>
      <c r="D116" s="161">
        <v>55.209090909090904</v>
      </c>
      <c r="E116" s="161">
        <v>30</v>
      </c>
      <c r="F116" s="162">
        <v>0</v>
      </c>
      <c r="G116" s="161">
        <f>Inputs!G137+Inputs!I137+Inputs!L137+Inputs!X137</f>
        <v>25386</v>
      </c>
      <c r="H116" s="162">
        <v>0</v>
      </c>
      <c r="I116" s="162">
        <v>0</v>
      </c>
      <c r="J116" s="162">
        <v>0</v>
      </c>
      <c r="K116" s="161">
        <v>0</v>
      </c>
      <c r="L116" s="162">
        <v>1</v>
      </c>
      <c r="M116" s="161">
        <f t="shared" si="4"/>
        <v>33603323.066651896</v>
      </c>
      <c r="N116" s="9">
        <f t="shared" si="5"/>
        <v>1265718.0520387962</v>
      </c>
      <c r="O116" s="171">
        <f t="shared" si="6"/>
        <v>3.9140748100140024E-2</v>
      </c>
      <c r="P116" s="171">
        <f t="shared" si="7"/>
        <v>3.9140748100140024E-2</v>
      </c>
      <c r="Q116" s="11"/>
      <c r="R116" s="147"/>
      <c r="S116"/>
    </row>
    <row r="117" spans="1:19" x14ac:dyDescent="0.2">
      <c r="A117" s="160">
        <v>45138</v>
      </c>
      <c r="B117" s="161">
        <f>Inputs!D138</f>
        <v>39594891.335779101</v>
      </c>
      <c r="C117" s="161">
        <v>2.9545454545454546</v>
      </c>
      <c r="D117" s="161">
        <v>105.68181818181816</v>
      </c>
      <c r="E117" s="161">
        <v>31</v>
      </c>
      <c r="F117" s="162">
        <v>0</v>
      </c>
      <c r="G117" s="161">
        <f>Inputs!G138+Inputs!I138+Inputs!L138+Inputs!X138</f>
        <v>25423</v>
      </c>
      <c r="H117" s="162">
        <v>0</v>
      </c>
      <c r="I117" s="162">
        <v>0</v>
      </c>
      <c r="J117" s="162">
        <v>0</v>
      </c>
      <c r="K117" s="161">
        <v>0</v>
      </c>
      <c r="L117" s="162">
        <v>1</v>
      </c>
      <c r="M117" s="161">
        <f t="shared" si="4"/>
        <v>39297523.378499791</v>
      </c>
      <c r="N117" s="9">
        <f t="shared" si="5"/>
        <v>-297367.95727930963</v>
      </c>
      <c r="O117" s="171">
        <f t="shared" si="6"/>
        <v>-7.5102607242313419E-3</v>
      </c>
      <c r="P117" s="171">
        <f t="shared" si="7"/>
        <v>7.5102607242313419E-3</v>
      </c>
      <c r="Q117" s="11"/>
      <c r="R117" s="147"/>
      <c r="S117"/>
    </row>
    <row r="118" spans="1:19" x14ac:dyDescent="0.2">
      <c r="A118" s="160">
        <v>45169</v>
      </c>
      <c r="B118" s="161">
        <f>Inputs!D139</f>
        <v>35523357.586275995</v>
      </c>
      <c r="C118" s="161">
        <v>7.0272727272727282</v>
      </c>
      <c r="D118" s="161">
        <v>87.863636363636374</v>
      </c>
      <c r="E118" s="161">
        <v>31</v>
      </c>
      <c r="F118" s="162">
        <v>0</v>
      </c>
      <c r="G118" s="161">
        <f>Inputs!G139+Inputs!I139+Inputs!L139+Inputs!X139</f>
        <v>25474</v>
      </c>
      <c r="H118" s="162">
        <v>0</v>
      </c>
      <c r="I118" s="162">
        <v>0</v>
      </c>
      <c r="J118" s="162">
        <v>0</v>
      </c>
      <c r="K118" s="161">
        <v>0</v>
      </c>
      <c r="L118" s="162">
        <v>1</v>
      </c>
      <c r="M118" s="161">
        <f>$S$18+$S$19*C118+$S$20*D118+$S$21*E118+$S$22*F118+$S$23*G118</f>
        <v>37725017.910049044</v>
      </c>
      <c r="N118" s="9">
        <f t="shared" si="5"/>
        <v>2201660.3237730488</v>
      </c>
      <c r="O118" s="171">
        <f t="shared" si="6"/>
        <v>6.1977821731120167E-2</v>
      </c>
      <c r="P118" s="171">
        <f t="shared" si="7"/>
        <v>6.1977821731120167E-2</v>
      </c>
      <c r="Q118" s="11"/>
      <c r="R118" s="147"/>
      <c r="S118"/>
    </row>
    <row r="119" spans="1:19" x14ac:dyDescent="0.2">
      <c r="A119" s="160">
        <v>45199</v>
      </c>
      <c r="B119" s="161">
        <f>Inputs!D140</f>
        <v>31570923.270029802</v>
      </c>
      <c r="C119" s="161">
        <v>51.009090909090908</v>
      </c>
      <c r="D119" s="161">
        <v>34.68181818181818</v>
      </c>
      <c r="E119" s="161">
        <v>30</v>
      </c>
      <c r="F119" s="162">
        <v>0</v>
      </c>
      <c r="G119" s="161">
        <f>Inputs!G140+Inputs!I140+Inputs!L140+Inputs!X140</f>
        <v>25548</v>
      </c>
      <c r="H119" s="162">
        <v>0</v>
      </c>
      <c r="I119" s="162">
        <v>0</v>
      </c>
      <c r="J119" s="162">
        <v>0</v>
      </c>
      <c r="K119" s="161">
        <v>0</v>
      </c>
      <c r="L119" s="162">
        <v>1</v>
      </c>
      <c r="M119" s="161">
        <f t="shared" si="4"/>
        <v>32037225.077668693</v>
      </c>
      <c r="N119" s="9">
        <f t="shared" si="5"/>
        <v>466301.80763889104</v>
      </c>
      <c r="O119" s="171">
        <f t="shared" si="6"/>
        <v>1.4769976907249658E-2</v>
      </c>
      <c r="P119" s="171">
        <f t="shared" si="7"/>
        <v>1.4769976907249658E-2</v>
      </c>
      <c r="Q119" s="11"/>
      <c r="R119" s="147"/>
      <c r="S119"/>
    </row>
    <row r="120" spans="1:19" x14ac:dyDescent="0.2">
      <c r="A120" s="160">
        <v>45230</v>
      </c>
      <c r="B120" s="161">
        <f>Inputs!D141</f>
        <v>29609700.8526466</v>
      </c>
      <c r="C120" s="161">
        <v>212.45</v>
      </c>
      <c r="D120" s="161">
        <v>5.3</v>
      </c>
      <c r="E120" s="161">
        <v>31</v>
      </c>
      <c r="F120" s="162">
        <v>1</v>
      </c>
      <c r="G120" s="161">
        <f>Inputs!G141+Inputs!I141+Inputs!L141+Inputs!X141</f>
        <v>25670</v>
      </c>
      <c r="H120" s="162">
        <v>0</v>
      </c>
      <c r="I120" s="162">
        <v>0</v>
      </c>
      <c r="J120" s="162">
        <v>0</v>
      </c>
      <c r="K120" s="161">
        <v>0</v>
      </c>
      <c r="L120" s="162">
        <v>1</v>
      </c>
      <c r="M120" s="161">
        <f>$S$18+$S$19*C120+$S$20*D120+$S$21*E120+$S$22*F120+$S$23*G120</f>
        <v>29956247.572147284</v>
      </c>
      <c r="N120" s="9">
        <f t="shared" si="5"/>
        <v>346546.71950068325</v>
      </c>
      <c r="O120" s="171">
        <f t="shared" si="6"/>
        <v>1.1703823730786118E-2</v>
      </c>
      <c r="P120" s="171">
        <f t="shared" si="7"/>
        <v>1.1703823730786118E-2</v>
      </c>
      <c r="Q120" s="11"/>
      <c r="R120" s="147"/>
      <c r="S120"/>
    </row>
    <row r="121" spans="1:19" x14ac:dyDescent="0.2">
      <c r="A121" s="160">
        <v>45260</v>
      </c>
      <c r="B121" s="161">
        <f>Inputs!D142</f>
        <v>30895716.9335532</v>
      </c>
      <c r="C121" s="161">
        <v>408.5</v>
      </c>
      <c r="D121" s="161">
        <v>0.22999999999999998</v>
      </c>
      <c r="E121" s="161">
        <v>30</v>
      </c>
      <c r="F121" s="162">
        <v>1</v>
      </c>
      <c r="G121" s="161">
        <f>Inputs!G142+Inputs!I142+Inputs!L142+Inputs!X142</f>
        <v>25701</v>
      </c>
      <c r="H121" s="162">
        <v>0</v>
      </c>
      <c r="I121" s="162">
        <v>0</v>
      </c>
      <c r="J121" s="162">
        <v>0</v>
      </c>
      <c r="K121" s="161">
        <v>0</v>
      </c>
      <c r="L121" s="162">
        <v>1</v>
      </c>
      <c r="M121" s="161">
        <f t="shared" si="4"/>
        <v>30257623.382704303</v>
      </c>
      <c r="N121" s="9">
        <f t="shared" si="5"/>
        <v>-638093.55084889755</v>
      </c>
      <c r="O121" s="171">
        <f t="shared" si="6"/>
        <v>-2.0653139469824656E-2</v>
      </c>
      <c r="P121" s="171">
        <f t="shared" si="7"/>
        <v>2.0653139469824656E-2</v>
      </c>
      <c r="Q121" s="11"/>
      <c r="R121" s="147"/>
      <c r="S121"/>
    </row>
    <row r="122" spans="1:19" x14ac:dyDescent="0.2">
      <c r="A122" s="160">
        <v>45291</v>
      </c>
      <c r="B122" s="161">
        <f>Inputs!D143</f>
        <v>32819279.789655898</v>
      </c>
      <c r="C122" s="161">
        <v>533.85000000000014</v>
      </c>
      <c r="D122" s="161">
        <v>0</v>
      </c>
      <c r="E122" s="161">
        <v>31</v>
      </c>
      <c r="F122" s="162">
        <v>1</v>
      </c>
      <c r="G122" s="161">
        <f>Inputs!G143+Inputs!I143+Inputs!L143+Inputs!X143</f>
        <v>25753</v>
      </c>
      <c r="H122" s="162">
        <v>0</v>
      </c>
      <c r="I122" s="162">
        <v>0</v>
      </c>
      <c r="J122" s="162">
        <v>0</v>
      </c>
      <c r="K122" s="161">
        <v>0</v>
      </c>
      <c r="L122" s="162">
        <v>1</v>
      </c>
      <c r="M122" s="161">
        <f t="shared" si="4"/>
        <v>32846255.185284935</v>
      </c>
      <c r="N122" s="9">
        <f t="shared" si="5"/>
        <v>26975.395629037172</v>
      </c>
      <c r="O122" s="171">
        <f t="shared" si="6"/>
        <v>8.2193746486598329E-4</v>
      </c>
      <c r="P122" s="171">
        <f t="shared" si="7"/>
        <v>8.2193746486598329E-4</v>
      </c>
      <c r="Q122" s="11"/>
      <c r="R122" s="147"/>
      <c r="S122"/>
    </row>
    <row r="123" spans="1:19" x14ac:dyDescent="0.2">
      <c r="A123" s="160">
        <v>45322</v>
      </c>
      <c r="B123" s="175">
        <f>Inputs!D144</f>
        <v>35923142.759999998</v>
      </c>
      <c r="C123" s="175">
        <v>672.12727272727273</v>
      </c>
      <c r="D123" s="175">
        <v>0</v>
      </c>
      <c r="E123" s="161">
        <v>31</v>
      </c>
      <c r="F123" s="162">
        <v>0</v>
      </c>
      <c r="G123" s="175">
        <f>Inputs!G144+Inputs!I144+Inputs!L144+Inputs!X144</f>
        <v>25781</v>
      </c>
      <c r="H123" s="165"/>
      <c r="I123" s="165"/>
      <c r="J123" s="165"/>
      <c r="K123" s="164"/>
      <c r="L123" s="165"/>
      <c r="M123" s="161">
        <f>$S$18+$S$19*C123+$S$20*D123+$S$21*E123+$S$22*F123+$S$23*G123</f>
        <v>36690270.738175437</v>
      </c>
      <c r="N123" s="9">
        <f t="shared" si="5"/>
        <v>767127.97817543894</v>
      </c>
      <c r="O123" s="171">
        <f t="shared" si="6"/>
        <v>2.1354701154644717E-2</v>
      </c>
      <c r="P123" s="171">
        <f t="shared" si="7"/>
        <v>2.1354701154644717E-2</v>
      </c>
      <c r="Q123" s="148"/>
      <c r="R123" s="147"/>
      <c r="S123"/>
    </row>
    <row r="124" spans="1:19" x14ac:dyDescent="0.2">
      <c r="A124" s="160">
        <v>45351</v>
      </c>
      <c r="B124" s="175">
        <f>Inputs!D145</f>
        <v>31731446.009999998</v>
      </c>
      <c r="C124" s="175">
        <v>607.14545454545453</v>
      </c>
      <c r="D124" s="175">
        <v>0</v>
      </c>
      <c r="E124" s="161">
        <v>29</v>
      </c>
      <c r="F124" s="162">
        <v>0</v>
      </c>
      <c r="G124" s="175">
        <f>Inputs!G145+Inputs!I145+Inputs!L145+Inputs!X145</f>
        <v>25793</v>
      </c>
      <c r="H124" s="165"/>
      <c r="I124" s="165"/>
      <c r="J124" s="165"/>
      <c r="K124" s="164"/>
      <c r="L124" s="165"/>
      <c r="M124" s="161">
        <f t="shared" si="4"/>
        <v>33460399.241863579</v>
      </c>
      <c r="N124" s="9">
        <f t="shared" si="5"/>
        <v>1728953.2318635806</v>
      </c>
      <c r="O124" s="171">
        <f t="shared" si="6"/>
        <v>5.4487060921166661E-2</v>
      </c>
      <c r="P124" s="171">
        <f t="shared" si="7"/>
        <v>5.4487060921166661E-2</v>
      </c>
      <c r="R124" s="147"/>
      <c r="S124"/>
    </row>
    <row r="125" spans="1:19" x14ac:dyDescent="0.2">
      <c r="A125" s="160">
        <v>45382</v>
      </c>
      <c r="B125" s="175">
        <f>Inputs!D146</f>
        <v>31839641.859999999</v>
      </c>
      <c r="C125" s="175">
        <v>529.88181818181829</v>
      </c>
      <c r="D125" s="175">
        <v>0</v>
      </c>
      <c r="E125" s="161">
        <v>31</v>
      </c>
      <c r="F125" s="162">
        <v>1</v>
      </c>
      <c r="G125" s="175">
        <f>Inputs!G146+Inputs!I146+Inputs!L146+Inputs!X146</f>
        <v>25791</v>
      </c>
      <c r="H125" s="165"/>
      <c r="I125" s="165"/>
      <c r="J125" s="165"/>
      <c r="K125" s="164"/>
      <c r="L125" s="165"/>
      <c r="M125" s="161">
        <f t="shared" si="4"/>
        <v>32826032.767256316</v>
      </c>
      <c r="N125" s="9">
        <f t="shared" si="5"/>
        <v>986390.90725631639</v>
      </c>
      <c r="O125" s="171">
        <f t="shared" si="6"/>
        <v>3.0979962387564255E-2</v>
      </c>
      <c r="P125" s="171">
        <f t="shared" si="7"/>
        <v>3.0979962387564255E-2</v>
      </c>
      <c r="R125" s="147"/>
      <c r="S125" s="40"/>
    </row>
    <row r="126" spans="1:19" x14ac:dyDescent="0.2">
      <c r="A126" s="160">
        <v>45412</v>
      </c>
      <c r="B126" s="175">
        <f>Inputs!D147</f>
        <v>28562458.940000001</v>
      </c>
      <c r="C126" s="175">
        <v>327.50000000000006</v>
      </c>
      <c r="D126" s="175">
        <v>4.5454545454545456E-2</v>
      </c>
      <c r="E126" s="161">
        <v>30</v>
      </c>
      <c r="F126" s="162">
        <v>1</v>
      </c>
      <c r="G126" s="175">
        <f>Inputs!G147+Inputs!I147+Inputs!L147+Inputs!X147</f>
        <v>25822</v>
      </c>
      <c r="H126" s="165"/>
      <c r="I126" s="165"/>
      <c r="J126" s="165"/>
      <c r="K126" s="164"/>
      <c r="L126" s="165"/>
      <c r="M126" s="161">
        <f t="shared" si="4"/>
        <v>29467268.747941073</v>
      </c>
      <c r="N126" s="9">
        <f t="shared" si="5"/>
        <v>904809.80794107169</v>
      </c>
      <c r="O126" s="171">
        <f t="shared" si="6"/>
        <v>3.1678288267889293E-2</v>
      </c>
      <c r="P126" s="171">
        <f t="shared" si="7"/>
        <v>3.1678288267889293E-2</v>
      </c>
      <c r="R126" s="147"/>
      <c r="S126"/>
    </row>
    <row r="127" spans="1:19" x14ac:dyDescent="0.2">
      <c r="A127" s="160">
        <v>45443</v>
      </c>
      <c r="B127" s="175">
        <f>Inputs!D148</f>
        <v>30423026.610000003</v>
      </c>
      <c r="C127" s="175">
        <v>141.14545454545456</v>
      </c>
      <c r="D127" s="175">
        <v>16.963636363636365</v>
      </c>
      <c r="E127" s="161">
        <v>31</v>
      </c>
      <c r="F127" s="162">
        <v>1</v>
      </c>
      <c r="G127" s="175">
        <f>Inputs!G148+Inputs!I148+Inputs!L148+Inputs!X148</f>
        <v>25841</v>
      </c>
      <c r="H127" s="165"/>
      <c r="I127" s="165"/>
      <c r="J127" s="165"/>
      <c r="K127" s="164"/>
      <c r="L127" s="165"/>
      <c r="M127" s="161">
        <f t="shared" si="4"/>
        <v>30386369.464486204</v>
      </c>
      <c r="N127" s="9">
        <f t="shared" si="5"/>
        <v>-36657.145513799042</v>
      </c>
      <c r="O127" s="171">
        <f t="shared" si="6"/>
        <v>-1.2049144874280817E-3</v>
      </c>
      <c r="P127" s="171">
        <f t="shared" si="7"/>
        <v>1.2049144874280817E-3</v>
      </c>
      <c r="R127" s="147"/>
      <c r="S127"/>
    </row>
    <row r="128" spans="1:19" x14ac:dyDescent="0.2">
      <c r="A128" s="160">
        <v>45473</v>
      </c>
      <c r="B128" s="175">
        <f>Inputs!D149</f>
        <v>36158920.950000003</v>
      </c>
      <c r="C128" s="175">
        <v>28.127272727272725</v>
      </c>
      <c r="D128" s="175">
        <v>55.209090909090904</v>
      </c>
      <c r="E128" s="161">
        <v>30</v>
      </c>
      <c r="F128" s="162">
        <v>0</v>
      </c>
      <c r="G128" s="175">
        <f>Inputs!G149+Inputs!I149+Inputs!L149+Inputs!X149</f>
        <v>25867</v>
      </c>
      <c r="H128" s="165"/>
      <c r="I128" s="165"/>
      <c r="J128" s="165"/>
      <c r="K128" s="164"/>
      <c r="L128" s="165"/>
      <c r="M128" s="161">
        <f>$S$18+$S$19*C128+$S$20*D128+$S$21*E128+$S$22*F128+$S$23*G128</f>
        <v>33868228.358780056</v>
      </c>
      <c r="N128" s="9">
        <f t="shared" si="5"/>
        <v>-2290692.5912199467</v>
      </c>
      <c r="O128" s="171">
        <f t="shared" si="6"/>
        <v>-6.3350689982908534E-2</v>
      </c>
      <c r="P128" s="171">
        <f t="shared" si="7"/>
        <v>6.3350689982908534E-2</v>
      </c>
      <c r="R128" s="147"/>
      <c r="S128"/>
    </row>
    <row r="129" spans="1:19" x14ac:dyDescent="0.2">
      <c r="A129" s="160">
        <v>45504</v>
      </c>
      <c r="B129" s="175">
        <f>Inputs!D150</f>
        <v>42460733.059999995</v>
      </c>
      <c r="C129" s="175">
        <v>2.9545454545454546</v>
      </c>
      <c r="D129" s="175">
        <v>105.68181818181816</v>
      </c>
      <c r="E129" s="161">
        <v>31</v>
      </c>
      <c r="F129" s="162">
        <v>0</v>
      </c>
      <c r="G129" s="175">
        <f>Inputs!G150+Inputs!I150+Inputs!L150+Inputs!X150</f>
        <v>25915</v>
      </c>
      <c r="H129" s="165"/>
      <c r="I129" s="165"/>
      <c r="J129" s="165"/>
      <c r="K129" s="164"/>
      <c r="L129" s="165"/>
      <c r="M129" s="161">
        <f t="shared" si="4"/>
        <v>39568486.795811765</v>
      </c>
      <c r="N129" s="9">
        <f t="shared" si="5"/>
        <v>-2892246.26418823</v>
      </c>
      <c r="O129" s="171">
        <f t="shared" si="6"/>
        <v>-6.8115787358199467E-2</v>
      </c>
      <c r="P129" s="171">
        <f t="shared" si="7"/>
        <v>6.8115787358199467E-2</v>
      </c>
      <c r="Q129"/>
      <c r="R129" s="147"/>
      <c r="S129"/>
    </row>
    <row r="130" spans="1:19" x14ac:dyDescent="0.2">
      <c r="A130" s="160">
        <v>45535</v>
      </c>
      <c r="B130" s="175">
        <f>Inputs!D151</f>
        <v>38718871.799999997</v>
      </c>
      <c r="C130" s="175">
        <v>7.0272727272727282</v>
      </c>
      <c r="D130" s="175">
        <v>87.863636363636374</v>
      </c>
      <c r="E130" s="161">
        <v>31</v>
      </c>
      <c r="F130" s="162">
        <v>0</v>
      </c>
      <c r="G130" s="175">
        <f>Inputs!G151+Inputs!I151+Inputs!L151+Inputs!X151</f>
        <v>26040</v>
      </c>
      <c r="H130" s="165"/>
      <c r="I130" s="165"/>
      <c r="J130" s="165"/>
      <c r="K130" s="164"/>
      <c r="L130" s="165"/>
      <c r="M130" s="161">
        <f t="shared" si="4"/>
        <v>38036735.987688422</v>
      </c>
      <c r="N130" s="9">
        <f t="shared" si="5"/>
        <v>-682135.81231157482</v>
      </c>
      <c r="O130" s="171">
        <f t="shared" si="6"/>
        <v>-1.7617657245673539E-2</v>
      </c>
      <c r="P130" s="171">
        <f t="shared" si="7"/>
        <v>1.7617657245673539E-2</v>
      </c>
      <c r="Q130"/>
      <c r="R130" s="147"/>
      <c r="S130"/>
    </row>
    <row r="131" spans="1:19" x14ac:dyDescent="0.2">
      <c r="A131" s="160">
        <v>45565</v>
      </c>
      <c r="B131" s="175">
        <f>Inputs!D152</f>
        <v>33712649.810000002</v>
      </c>
      <c r="C131" s="175">
        <v>51.009090909090908</v>
      </c>
      <c r="D131" s="175">
        <v>34.68181818181818</v>
      </c>
      <c r="E131" s="161">
        <v>30</v>
      </c>
      <c r="F131" s="162">
        <v>0</v>
      </c>
      <c r="G131" s="175">
        <f>Inputs!G152+Inputs!I152+Inputs!L152+Inputs!X152</f>
        <v>26099</v>
      </c>
      <c r="H131" s="165"/>
      <c r="I131" s="165"/>
      <c r="J131" s="165"/>
      <c r="K131" s="164"/>
      <c r="L131" s="165"/>
      <c r="M131" s="161">
        <f t="shared" si="4"/>
        <v>32340682.075511977</v>
      </c>
      <c r="N131" s="9">
        <f t="shared" si="5"/>
        <v>-1371967.7344880253</v>
      </c>
      <c r="O131" s="171">
        <f t="shared" si="6"/>
        <v>-4.0695932898192594E-2</v>
      </c>
      <c r="P131" s="171">
        <f t="shared" si="7"/>
        <v>4.0695932898192594E-2</v>
      </c>
      <c r="Q131"/>
      <c r="R131" s="147"/>
      <c r="S131"/>
    </row>
    <row r="132" spans="1:19" x14ac:dyDescent="0.2">
      <c r="A132" s="160">
        <v>45596</v>
      </c>
      <c r="B132" s="161"/>
      <c r="C132" s="177">
        <v>212.45</v>
      </c>
      <c r="D132" s="177">
        <v>5.3</v>
      </c>
      <c r="E132" s="161">
        <v>31</v>
      </c>
      <c r="F132" s="162">
        <v>1</v>
      </c>
      <c r="G132" s="164">
        <f>'Rate Class Customer Model'!P20</f>
        <v>26066.474295718956</v>
      </c>
      <c r="H132" s="165"/>
      <c r="I132" s="165"/>
      <c r="J132" s="165"/>
      <c r="K132" s="164"/>
      <c r="L132" s="165"/>
      <c r="M132" s="161">
        <f t="shared" ref="M132:M146" si="8">$S$18+$S$19*C132+$S$20*D132+$S$21*E132+$S$22*F132+$S$23*G132</f>
        <v>30174601.291749649</v>
      </c>
      <c r="N132" s="9"/>
      <c r="O132" s="148" t="s">
        <v>53</v>
      </c>
      <c r="P132" s="171">
        <f>AVERAGE(P3:P131)</f>
        <v>4.1684731958156911E-2</v>
      </c>
      <c r="Q132"/>
      <c r="R132" s="147"/>
      <c r="S132"/>
    </row>
    <row r="133" spans="1:19" x14ac:dyDescent="0.2">
      <c r="A133" s="160">
        <v>45626</v>
      </c>
      <c r="B133" s="161"/>
      <c r="C133" s="177">
        <v>408.5</v>
      </c>
      <c r="D133" s="177">
        <v>0.22999999999999998</v>
      </c>
      <c r="E133" s="161">
        <v>30</v>
      </c>
      <c r="F133" s="162">
        <v>1</v>
      </c>
      <c r="G133" s="164">
        <f>'Rate Class Customer Model'!P21</f>
        <v>26098.030827708426</v>
      </c>
      <c r="H133" s="165"/>
      <c r="I133" s="165"/>
      <c r="J133" s="165"/>
      <c r="K133" s="164"/>
      <c r="L133" s="165"/>
      <c r="M133" s="161">
        <f t="shared" si="8"/>
        <v>30476283.605984941</v>
      </c>
      <c r="N133" s="9"/>
      <c r="O133" s="9"/>
      <c r="P133" s="9"/>
      <c r="Q133"/>
      <c r="R133" s="147"/>
      <c r="S133"/>
    </row>
    <row r="134" spans="1:19" x14ac:dyDescent="0.2">
      <c r="A134" s="160">
        <v>45657</v>
      </c>
      <c r="B134" s="161"/>
      <c r="C134" s="177">
        <v>533.85000000000014</v>
      </c>
      <c r="D134" s="177">
        <v>0</v>
      </c>
      <c r="E134" s="161">
        <v>31</v>
      </c>
      <c r="F134" s="162">
        <v>1</v>
      </c>
      <c r="G134" s="164">
        <f>'Rate Class Customer Model'!P22</f>
        <v>26129.625562590238</v>
      </c>
      <c r="H134" s="165"/>
      <c r="I134" s="165"/>
      <c r="J134" s="165"/>
      <c r="K134" s="164"/>
      <c r="L134" s="165"/>
      <c r="M134" s="161">
        <f t="shared" si="8"/>
        <v>33053677.440338783</v>
      </c>
      <c r="N134" s="9"/>
      <c r="O134" s="9"/>
      <c r="P134" s="9"/>
      <c r="Q134"/>
      <c r="R134" s="147"/>
      <c r="S134"/>
    </row>
    <row r="135" spans="1:19" x14ac:dyDescent="0.2">
      <c r="A135" s="160">
        <v>45688</v>
      </c>
      <c r="B135" s="161"/>
      <c r="C135" s="177">
        <v>672.12727272727273</v>
      </c>
      <c r="D135" s="177">
        <v>0</v>
      </c>
      <c r="E135" s="161">
        <v>31</v>
      </c>
      <c r="F135" s="162">
        <v>0</v>
      </c>
      <c r="G135" s="164">
        <f>'Rate Class Customer Model'!Q11</f>
        <v>26159.618734759606</v>
      </c>
      <c r="H135" s="165"/>
      <c r="I135" s="165"/>
      <c r="J135" s="165"/>
      <c r="K135" s="164"/>
      <c r="L135" s="165"/>
      <c r="M135" s="161">
        <f t="shared" si="8"/>
        <v>36898790.710185185</v>
      </c>
      <c r="N135" s="9"/>
      <c r="O135" s="9"/>
      <c r="P135" s="9"/>
      <c r="Q135"/>
      <c r="R135" s="147"/>
      <c r="S135"/>
    </row>
    <row r="136" spans="1:19" x14ac:dyDescent="0.2">
      <c r="A136" s="160">
        <v>45716</v>
      </c>
      <c r="B136" s="161"/>
      <c r="C136" s="177">
        <v>607.14545454545453</v>
      </c>
      <c r="D136" s="177">
        <v>0</v>
      </c>
      <c r="E136" s="161">
        <v>28</v>
      </c>
      <c r="F136" s="162">
        <v>0</v>
      </c>
      <c r="G136" s="164">
        <f>'Rate Class Customer Model'!Q12</f>
        <v>26189.646334914734</v>
      </c>
      <c r="H136" s="165"/>
      <c r="I136" s="165"/>
      <c r="J136" s="165"/>
      <c r="K136" s="164"/>
      <c r="L136" s="165"/>
      <c r="M136" s="161">
        <f t="shared" si="8"/>
        <v>32397541.871344879</v>
      </c>
      <c r="N136" s="9"/>
      <c r="O136" s="9"/>
      <c r="P136" s="9"/>
      <c r="Q136"/>
      <c r="R136" s="147"/>
      <c r="S136"/>
    </row>
    <row r="137" spans="1:19" x14ac:dyDescent="0.2">
      <c r="A137" s="160">
        <v>45747</v>
      </c>
      <c r="B137" s="161"/>
      <c r="C137" s="177">
        <v>529.88181818181829</v>
      </c>
      <c r="D137" s="177">
        <v>0</v>
      </c>
      <c r="E137" s="161">
        <v>31</v>
      </c>
      <c r="F137" s="162">
        <v>1</v>
      </c>
      <c r="G137" s="164">
        <f>'Rate Class Customer Model'!Q13</f>
        <v>26219.708402574157</v>
      </c>
      <c r="H137" s="165"/>
      <c r="I137" s="165"/>
      <c r="J137" s="165"/>
      <c r="K137" s="164"/>
      <c r="L137" s="165"/>
      <c r="M137" s="161">
        <f t="shared" si="8"/>
        <v>33062139.055451132</v>
      </c>
      <c r="N137" s="9"/>
      <c r="O137" s="9"/>
      <c r="P137" s="9"/>
      <c r="Q137"/>
      <c r="R137" s="147"/>
      <c r="S137"/>
    </row>
    <row r="138" spans="1:19" x14ac:dyDescent="0.2">
      <c r="A138" s="160">
        <v>45777</v>
      </c>
      <c r="B138" s="161"/>
      <c r="C138" s="177">
        <v>327.50000000000006</v>
      </c>
      <c r="D138" s="177">
        <v>4.5454545454545456E-2</v>
      </c>
      <c r="E138" s="161">
        <v>30</v>
      </c>
      <c r="F138" s="162">
        <v>1</v>
      </c>
      <c r="G138" s="164">
        <f>'Rate Class Customer Model'!Q14</f>
        <v>26249.80497730177</v>
      </c>
      <c r="H138" s="165"/>
      <c r="I138" s="165"/>
      <c r="J138" s="165"/>
      <c r="K138" s="164"/>
      <c r="L138" s="165"/>
      <c r="M138" s="161">
        <f t="shared" si="8"/>
        <v>29702877.484918222</v>
      </c>
      <c r="N138" s="9"/>
      <c r="O138" s="9"/>
      <c r="P138" s="9"/>
      <c r="Q138"/>
      <c r="R138" s="147"/>
      <c r="S138"/>
    </row>
    <row r="139" spans="1:19" x14ac:dyDescent="0.2">
      <c r="A139" s="160">
        <v>45808</v>
      </c>
      <c r="B139" s="161"/>
      <c r="C139" s="177">
        <v>141.14545454545456</v>
      </c>
      <c r="D139" s="177">
        <v>16.963636363636365</v>
      </c>
      <c r="E139" s="161">
        <v>31</v>
      </c>
      <c r="F139" s="162">
        <v>1</v>
      </c>
      <c r="G139" s="164">
        <f>'Rate Class Customer Model'!Q15</f>
        <v>26279.936098706883</v>
      </c>
      <c r="H139" s="165"/>
      <c r="I139" s="165"/>
      <c r="J139" s="165"/>
      <c r="K139" s="164"/>
      <c r="L139" s="165"/>
      <c r="M139" s="161">
        <f t="shared" si="8"/>
        <v>30628108.540273197</v>
      </c>
      <c r="N139" s="9"/>
      <c r="O139" s="9"/>
      <c r="P139" s="9"/>
      <c r="Q139"/>
      <c r="R139" s="147"/>
      <c r="S139"/>
    </row>
    <row r="140" spans="1:19" x14ac:dyDescent="0.2">
      <c r="A140" s="160">
        <v>45838</v>
      </c>
      <c r="B140" s="161"/>
      <c r="C140" s="177">
        <v>28.127272727272725</v>
      </c>
      <c r="D140" s="177">
        <v>55.209090909090904</v>
      </c>
      <c r="E140" s="161">
        <v>30</v>
      </c>
      <c r="F140" s="162">
        <v>0</v>
      </c>
      <c r="G140" s="164">
        <f>'Rate Class Customer Model'!Q16</f>
        <v>26310.101806444272</v>
      </c>
      <c r="H140" s="165"/>
      <c r="I140" s="165"/>
      <c r="J140" s="165"/>
      <c r="K140" s="164"/>
      <c r="L140" s="165"/>
      <c r="M140" s="161">
        <f t="shared" si="8"/>
        <v>34112261.65083544</v>
      </c>
      <c r="N140" s="9"/>
      <c r="O140" s="9"/>
      <c r="P140" s="9"/>
      <c r="Q140"/>
      <c r="R140" s="147"/>
      <c r="S140"/>
    </row>
    <row r="141" spans="1:19" x14ac:dyDescent="0.2">
      <c r="A141" s="160">
        <v>45869</v>
      </c>
      <c r="B141" s="161"/>
      <c r="C141" s="177">
        <v>2.9545454545454546</v>
      </c>
      <c r="D141" s="177">
        <v>105.68181818181816</v>
      </c>
      <c r="E141" s="161">
        <v>31</v>
      </c>
      <c r="F141" s="162">
        <v>0</v>
      </c>
      <c r="G141" s="164">
        <f>'Rate Class Customer Model'!Q17</f>
        <v>26340.302140214233</v>
      </c>
      <c r="H141" s="165"/>
      <c r="I141" s="165"/>
      <c r="J141" s="165"/>
      <c r="K141" s="164"/>
      <c r="L141" s="165"/>
      <c r="M141" s="161">
        <f t="shared" si="8"/>
        <v>39802717.123662457</v>
      </c>
      <c r="N141" s="9"/>
      <c r="O141" s="9"/>
      <c r="P141" s="9"/>
      <c r="Q141"/>
      <c r="R141" s="147"/>
      <c r="S141"/>
    </row>
    <row r="142" spans="1:19" x14ac:dyDescent="0.2">
      <c r="A142" s="160">
        <v>45900</v>
      </c>
      <c r="B142" s="161"/>
      <c r="C142" s="177">
        <v>7.0272727272727282</v>
      </c>
      <c r="D142" s="177">
        <v>87.863636363636374</v>
      </c>
      <c r="E142" s="161">
        <v>31</v>
      </c>
      <c r="F142" s="162">
        <v>0</v>
      </c>
      <c r="G142" s="164">
        <f>'Rate Class Customer Model'!Q18</f>
        <v>26370.537139762626</v>
      </c>
      <c r="H142" s="165"/>
      <c r="I142" s="165"/>
      <c r="J142" s="165"/>
      <c r="K142" s="164"/>
      <c r="L142" s="165"/>
      <c r="M142" s="161">
        <f t="shared" si="8"/>
        <v>38218775.566831931</v>
      </c>
      <c r="N142" s="9"/>
      <c r="O142" s="9"/>
      <c r="P142" s="9"/>
      <c r="Q142"/>
      <c r="R142" s="147"/>
      <c r="S142"/>
    </row>
    <row r="143" spans="1:19" x14ac:dyDescent="0.2">
      <c r="A143" s="160">
        <v>45930</v>
      </c>
      <c r="B143" s="161"/>
      <c r="C143" s="177">
        <v>51.009090909090908</v>
      </c>
      <c r="D143" s="177">
        <v>34.68181818181818</v>
      </c>
      <c r="E143" s="161">
        <v>30</v>
      </c>
      <c r="F143" s="162">
        <v>0</v>
      </c>
      <c r="G143" s="164">
        <f>'Rate Class Customer Model'!Q19</f>
        <v>26400.806844880943</v>
      </c>
      <c r="H143" s="165"/>
      <c r="I143" s="165"/>
      <c r="J143" s="165"/>
      <c r="K143" s="164"/>
      <c r="L143" s="165"/>
      <c r="M143" s="161">
        <f t="shared" si="8"/>
        <v>32506898.770749949</v>
      </c>
      <c r="N143" s="9"/>
      <c r="O143" s="9"/>
      <c r="P143" s="9"/>
      <c r="Q143"/>
      <c r="R143" s="147"/>
      <c r="S143"/>
    </row>
    <row r="144" spans="1:19" x14ac:dyDescent="0.2">
      <c r="A144" s="160">
        <v>45961</v>
      </c>
      <c r="B144" s="161"/>
      <c r="C144" s="177">
        <v>212.45</v>
      </c>
      <c r="D144" s="177">
        <v>5.3</v>
      </c>
      <c r="E144" s="161">
        <v>31</v>
      </c>
      <c r="F144" s="162">
        <v>1</v>
      </c>
      <c r="G144" s="164">
        <f>'Rate Class Customer Model'!Q20</f>
        <v>26431.111295406343</v>
      </c>
      <c r="H144" s="165"/>
      <c r="I144" s="165"/>
      <c r="J144" s="165"/>
      <c r="K144" s="164"/>
      <c r="L144" s="165"/>
      <c r="M144" s="161">
        <f t="shared" si="8"/>
        <v>30375420.981818102</v>
      </c>
      <c r="N144" s="9"/>
      <c r="O144" s="9"/>
      <c r="P144" s="9"/>
      <c r="Q144"/>
      <c r="R144" s="147"/>
      <c r="S144"/>
    </row>
    <row r="145" spans="1:20" x14ac:dyDescent="0.2">
      <c r="A145" s="160">
        <v>45991</v>
      </c>
      <c r="B145" s="161"/>
      <c r="C145" s="177">
        <v>408.5</v>
      </c>
      <c r="D145" s="177">
        <v>0.22999999999999998</v>
      </c>
      <c r="E145" s="161">
        <v>30</v>
      </c>
      <c r="F145" s="162">
        <v>1</v>
      </c>
      <c r="G145" s="164">
        <f>'Rate Class Customer Model'!Q21</f>
        <v>26461.450531221715</v>
      </c>
      <c r="H145" s="165"/>
      <c r="I145" s="165"/>
      <c r="J145" s="165"/>
      <c r="K145" s="164"/>
      <c r="L145" s="165"/>
      <c r="M145" s="161">
        <f t="shared" si="8"/>
        <v>30676432.883998081</v>
      </c>
      <c r="N145" s="9"/>
      <c r="O145" s="9"/>
      <c r="P145" s="9"/>
      <c r="R145" s="147"/>
      <c r="S145"/>
    </row>
    <row r="146" spans="1:20" x14ac:dyDescent="0.2">
      <c r="A146" s="160">
        <v>46022</v>
      </c>
      <c r="B146" s="161"/>
      <c r="C146" s="177">
        <v>533.85000000000014</v>
      </c>
      <c r="D146" s="177">
        <v>0</v>
      </c>
      <c r="E146" s="161">
        <v>31</v>
      </c>
      <c r="F146" s="162">
        <v>1</v>
      </c>
      <c r="G146" s="164">
        <f>'Rate Class Customer Model'!Q22</f>
        <v>26491.824592255733</v>
      </c>
      <c r="H146" s="165"/>
      <c r="I146" s="165"/>
      <c r="J146" s="165"/>
      <c r="K146" s="164"/>
      <c r="L146" s="165"/>
      <c r="M146" s="161">
        <f t="shared" si="8"/>
        <v>33253154.446081143</v>
      </c>
      <c r="N146" s="9"/>
      <c r="O146" s="9"/>
      <c r="P146" s="9"/>
      <c r="R146" s="147"/>
      <c r="S146"/>
    </row>
    <row r="147" spans="1:20" x14ac:dyDescent="0.2">
      <c r="A147" s="31"/>
      <c r="E147" s="9"/>
      <c r="F147" s="51"/>
      <c r="H147" s="51"/>
      <c r="I147" s="51"/>
      <c r="J147" s="51"/>
      <c r="L147" s="51"/>
      <c r="S147"/>
    </row>
    <row r="148" spans="1:20" s="206" customFormat="1" x14ac:dyDescent="0.2">
      <c r="A148" s="202"/>
      <c r="B148" s="197"/>
      <c r="C148" s="203"/>
      <c r="D148" s="199"/>
      <c r="E148" s="204"/>
      <c r="F148" s="205"/>
      <c r="G148" s="199"/>
      <c r="H148" s="205"/>
      <c r="I148" s="205"/>
      <c r="J148" s="205"/>
      <c r="K148" s="199"/>
      <c r="L148" s="205"/>
      <c r="M148" s="199"/>
      <c r="N148" s="199"/>
      <c r="O148" s="199"/>
      <c r="P148" s="199"/>
      <c r="Q148" s="199"/>
      <c r="R148" s="199"/>
    </row>
    <row r="149" spans="1:20" x14ac:dyDescent="0.2">
      <c r="A149" s="31"/>
      <c r="C149" s="107" t="s">
        <v>89</v>
      </c>
      <c r="D149" s="105"/>
      <c r="E149" s="9"/>
      <c r="F149" s="51"/>
      <c r="H149" s="51"/>
      <c r="I149" s="51"/>
      <c r="J149" s="51"/>
      <c r="L149" s="51"/>
      <c r="S149"/>
    </row>
    <row r="150" spans="1:20" x14ac:dyDescent="0.2">
      <c r="A150" s="31"/>
      <c r="C150" s="108" t="s">
        <v>90</v>
      </c>
      <c r="D150" s="106"/>
      <c r="E150" s="9"/>
      <c r="F150" s="51"/>
      <c r="H150" s="51"/>
      <c r="I150" s="51"/>
      <c r="J150" s="51"/>
      <c r="L150" s="51"/>
      <c r="M150" s="30">
        <f>SUM(M2:M146)</f>
        <v>4639807660.1051912</v>
      </c>
      <c r="N150" s="30"/>
      <c r="O150" s="30"/>
      <c r="P150" s="30"/>
      <c r="S150"/>
    </row>
    <row r="151" spans="1:20" x14ac:dyDescent="0.2">
      <c r="A151" s="31"/>
      <c r="E151" s="9"/>
      <c r="F151" s="51"/>
      <c r="H151" s="51"/>
      <c r="I151" s="51"/>
      <c r="J151" s="51"/>
      <c r="L151" s="51"/>
      <c r="N151" s="46" t="s">
        <v>130</v>
      </c>
      <c r="O151" s="149" t="s">
        <v>129</v>
      </c>
      <c r="R151" s="39"/>
      <c r="S151" s="25"/>
    </row>
    <row r="152" spans="1:20" x14ac:dyDescent="0.2">
      <c r="A152" s="25">
        <v>2014</v>
      </c>
      <c r="B152" s="6">
        <f>SUM(B3:B14)</f>
        <v>391741970.1024</v>
      </c>
      <c r="C152" s="167"/>
      <c r="M152" s="6">
        <f>SUM(M3:M14)</f>
        <v>375569292.59232062</v>
      </c>
      <c r="N152" s="6">
        <f>'Power Purchased Model'!H152</f>
        <v>372346922.60602123</v>
      </c>
      <c r="O152" s="181">
        <f>M152/N152</f>
        <v>1.0086542140962151</v>
      </c>
      <c r="P152" s="6"/>
      <c r="Q152" s="32"/>
      <c r="R152" s="151"/>
      <c r="S152"/>
      <c r="T152" s="152"/>
    </row>
    <row r="153" spans="1:20" x14ac:dyDescent="0.2">
      <c r="A153" s="25">
        <v>2015</v>
      </c>
      <c r="B153" s="6">
        <f>SUM(B15:B26)</f>
        <v>372659576.71719992</v>
      </c>
      <c r="C153" s="167"/>
      <c r="M153" s="6">
        <f>SUM(M15:M26)</f>
        <v>376772656.54928535</v>
      </c>
      <c r="N153" s="6">
        <f>'Power Purchased Model'!H153</f>
        <v>374746686.58305705</v>
      </c>
      <c r="O153" s="181">
        <f t="shared" ref="O153:O163" si="9">M153/N153</f>
        <v>1.0054062385039375</v>
      </c>
      <c r="P153" s="6"/>
      <c r="Q153" s="32"/>
      <c r="R153" s="151"/>
      <c r="S153"/>
      <c r="T153" s="152"/>
    </row>
    <row r="154" spans="1:20" x14ac:dyDescent="0.2">
      <c r="A154" s="25">
        <v>2016</v>
      </c>
      <c r="B154" s="6">
        <f>SUM(B27:B38)</f>
        <v>380022205.18436003</v>
      </c>
      <c r="C154" s="167"/>
      <c r="M154" s="6">
        <f>SUM(M27:M38)</f>
        <v>379300834.69859886</v>
      </c>
      <c r="N154" s="6">
        <f>'Power Purchased Model'!H154</f>
        <v>388951613.52794182</v>
      </c>
      <c r="O154" s="181">
        <f t="shared" si="9"/>
        <v>0.9751877136032252</v>
      </c>
      <c r="P154" s="6"/>
      <c r="Q154" s="32"/>
      <c r="R154" s="151"/>
      <c r="S154"/>
      <c r="T154" s="152"/>
    </row>
    <row r="155" spans="1:20" x14ac:dyDescent="0.2">
      <c r="A155" s="25">
        <v>2017</v>
      </c>
      <c r="B155" s="6">
        <f>SUM(B39:B50)</f>
        <v>368596644.64483672</v>
      </c>
      <c r="C155" s="167"/>
      <c r="M155" s="6">
        <f>SUM(M39:M50)</f>
        <v>379242719.40831822</v>
      </c>
      <c r="N155" s="6">
        <f>'Power Purchased Model'!H155</f>
        <v>374031333.5970037</v>
      </c>
      <c r="O155" s="181">
        <f t="shared" si="9"/>
        <v>1.0139330193574891</v>
      </c>
      <c r="P155" s="6"/>
      <c r="Q155" s="32"/>
      <c r="R155" s="151"/>
      <c r="S155"/>
      <c r="T155" s="152"/>
    </row>
    <row r="156" spans="1:20" x14ac:dyDescent="0.2">
      <c r="A156" s="25">
        <v>2018</v>
      </c>
      <c r="B156" s="6">
        <f>SUM(B51:B62)</f>
        <v>393889926.42846549</v>
      </c>
      <c r="C156" s="167"/>
      <c r="M156" s="6">
        <f>SUM(M51:M62)</f>
        <v>381010039.74602985</v>
      </c>
      <c r="N156" s="6">
        <f>'Power Purchased Model'!H156</f>
        <v>390810343.664011</v>
      </c>
      <c r="O156" s="181">
        <f t="shared" si="9"/>
        <v>0.97492312044226059</v>
      </c>
      <c r="P156" s="6"/>
      <c r="Q156" s="32"/>
      <c r="R156" s="151"/>
      <c r="S156"/>
      <c r="T156" s="152"/>
    </row>
    <row r="157" spans="1:20" x14ac:dyDescent="0.2">
      <c r="A157" s="25">
        <v>2019</v>
      </c>
      <c r="B157" s="6">
        <f>SUM(B63:B74)</f>
        <v>384791777.21642524</v>
      </c>
      <c r="C157" s="167"/>
      <c r="M157" s="6">
        <f>SUM(M63:M74)</f>
        <v>383249893.84807819</v>
      </c>
      <c r="N157" s="6">
        <f>'Power Purchased Model'!H157</f>
        <v>382231010.00249338</v>
      </c>
      <c r="O157" s="181">
        <f t="shared" si="9"/>
        <v>1.0026656231936235</v>
      </c>
      <c r="P157" s="6"/>
      <c r="Q157" s="32"/>
      <c r="R157" s="151"/>
      <c r="S157"/>
      <c r="T157" s="152"/>
    </row>
    <row r="158" spans="1:20" x14ac:dyDescent="0.2">
      <c r="A158" s="25">
        <v>2020</v>
      </c>
      <c r="B158" s="6">
        <f>SUM(B75:B86)</f>
        <v>380093690.36809278</v>
      </c>
      <c r="C158" s="167"/>
      <c r="M158" s="6">
        <f>SUM(M75:M86)</f>
        <v>386724791.74202436</v>
      </c>
      <c r="N158" s="6">
        <f>'Power Purchased Model'!H158</f>
        <v>388610259.78411037</v>
      </c>
      <c r="O158" s="181">
        <f t="shared" si="9"/>
        <v>0.99514817739723738</v>
      </c>
      <c r="P158" s="6"/>
      <c r="Q158" s="32"/>
      <c r="R158" s="151"/>
      <c r="S158"/>
      <c r="T158" s="152"/>
    </row>
    <row r="159" spans="1:20" x14ac:dyDescent="0.2">
      <c r="A159" s="25">
        <v>2021</v>
      </c>
      <c r="B159" s="6">
        <f>SUM(B87:B98)</f>
        <v>383895272.72321349</v>
      </c>
      <c r="C159" s="167"/>
      <c r="M159" s="6">
        <f>SUM(M87:M98)</f>
        <v>388724786.79827797</v>
      </c>
      <c r="N159" s="6">
        <f>'Power Purchased Model'!H159</f>
        <v>389949359.07669818</v>
      </c>
      <c r="O159" s="181">
        <f t="shared" si="9"/>
        <v>0.99685966331289866</v>
      </c>
      <c r="P159" s="6"/>
      <c r="Q159" s="32"/>
      <c r="R159" s="151"/>
      <c r="S159"/>
      <c r="T159" s="152"/>
    </row>
    <row r="160" spans="1:20" x14ac:dyDescent="0.2">
      <c r="A160" s="25">
        <v>2022</v>
      </c>
      <c r="B160" s="6">
        <f>SUM(B99:B110)</f>
        <v>392612235.87385601</v>
      </c>
      <c r="C160" s="167"/>
      <c r="M160" s="6">
        <f>SUM(M99:M110)</f>
        <v>391724660.24156713</v>
      </c>
      <c r="N160" s="6">
        <f>'Power Purchased Model'!H160</f>
        <v>392856586.95164824</v>
      </c>
      <c r="O160" s="181">
        <f t="shared" si="9"/>
        <v>0.99711872793361001</v>
      </c>
      <c r="P160" s="6"/>
      <c r="Q160" s="32"/>
      <c r="R160" s="151"/>
      <c r="S160"/>
      <c r="T160" s="152"/>
    </row>
    <row r="161" spans="1:21" x14ac:dyDescent="0.2">
      <c r="A161" s="25">
        <v>2023</v>
      </c>
      <c r="B161" s="6">
        <f>SUM(B111:B122)</f>
        <v>386633787.62211913</v>
      </c>
      <c r="C161" s="167"/>
      <c r="M161" s="6">
        <f>SUM(M111:M122)</f>
        <v>395503828.87895477</v>
      </c>
      <c r="N161" s="6">
        <f>'Power Purchased Model'!H161</f>
        <v>385847534.33927774</v>
      </c>
      <c r="O161" s="181">
        <f t="shared" si="9"/>
        <v>1.0250261921621773</v>
      </c>
      <c r="P161" s="6"/>
      <c r="Q161" s="32"/>
      <c r="R161" s="151"/>
      <c r="S161"/>
      <c r="T161" s="152"/>
    </row>
    <row r="162" spans="1:21" x14ac:dyDescent="0.2">
      <c r="A162" s="25">
        <v>2024</v>
      </c>
      <c r="B162" s="6">
        <f>SUM(B123:B131,M132:M134)</f>
        <v>403235454.13807338</v>
      </c>
      <c r="M162" s="14">
        <f>SUM(M123:M134)</f>
        <v>400349036.51558822</v>
      </c>
      <c r="N162" s="6">
        <f>'Power Purchased Model'!H162</f>
        <v>397790890.88678068</v>
      </c>
      <c r="O162" s="181">
        <f t="shared" si="9"/>
        <v>1.0064308803630591</v>
      </c>
      <c r="P162" s="6"/>
      <c r="Q162" s="32"/>
      <c r="R162" s="151"/>
      <c r="S162"/>
      <c r="T162" s="152"/>
    </row>
    <row r="163" spans="1:21" x14ac:dyDescent="0.2">
      <c r="A163" s="25">
        <v>2025</v>
      </c>
      <c r="M163" s="14">
        <f>SUM(M135:M146)</f>
        <v>401635119.08614975</v>
      </c>
      <c r="N163" s="6">
        <f>'Power Purchased Model'!H163</f>
        <v>401635119.08614975</v>
      </c>
      <c r="O163" s="181">
        <f t="shared" si="9"/>
        <v>1</v>
      </c>
      <c r="P163" s="6"/>
      <c r="Q163" s="32"/>
      <c r="R163" s="151"/>
      <c r="S163"/>
      <c r="T163" s="152"/>
      <c r="U163" s="34"/>
    </row>
    <row r="164" spans="1:21" x14ac:dyDescent="0.2">
      <c r="M164" s="6"/>
      <c r="N164" s="6"/>
      <c r="O164" s="6"/>
      <c r="P164" s="6"/>
      <c r="S164"/>
      <c r="T164" s="152"/>
      <c r="U164" s="34"/>
    </row>
    <row r="165" spans="1:21" x14ac:dyDescent="0.2">
      <c r="A165" s="39" t="s">
        <v>7</v>
      </c>
      <c r="B165" s="6">
        <f>SUM(B152:B162)</f>
        <v>4238172541.0190425</v>
      </c>
      <c r="M165" s="6">
        <f>SUM(M152:M162)</f>
        <v>4238172541.0190434</v>
      </c>
      <c r="N165" s="6">
        <f>M165-B165</f>
        <v>0</v>
      </c>
      <c r="O165" s="6"/>
      <c r="P165" s="6"/>
      <c r="S165" s="5"/>
      <c r="T165" s="6"/>
      <c r="U165" s="34"/>
    </row>
    <row r="166" spans="1:21" x14ac:dyDescent="0.2">
      <c r="R166" s="6"/>
      <c r="S166" s="5"/>
      <c r="T166" s="6"/>
      <c r="U166" s="34"/>
    </row>
    <row r="167" spans="1:21" x14ac:dyDescent="0.2">
      <c r="M167" s="6">
        <f>SUM(M152:M163)</f>
        <v>4639807660.1051931</v>
      </c>
      <c r="N167" s="6"/>
      <c r="O167" s="6"/>
      <c r="P167" s="6"/>
      <c r="S167" s="5"/>
      <c r="T167" s="6"/>
      <c r="U167" s="34"/>
    </row>
    <row r="168" spans="1:21" x14ac:dyDescent="0.2">
      <c r="M168" s="192"/>
      <c r="N168" s="192"/>
      <c r="O168" s="192"/>
      <c r="P168" s="192"/>
      <c r="Q168"/>
      <c r="R168"/>
      <c r="S168" s="5"/>
      <c r="T168" s="6"/>
      <c r="U168" s="34"/>
    </row>
    <row r="169" spans="1:21" x14ac:dyDescent="0.2">
      <c r="S169" s="6"/>
      <c r="T169" s="6"/>
      <c r="U169" s="34"/>
    </row>
    <row r="170" spans="1:21" x14ac:dyDescent="0.2">
      <c r="S170" s="6"/>
      <c r="T170" s="6"/>
      <c r="U170" s="34"/>
    </row>
    <row r="171" spans="1:21" x14ac:dyDescent="0.2">
      <c r="A171"/>
      <c r="B171"/>
      <c r="C171"/>
      <c r="D171"/>
      <c r="E171"/>
      <c r="G171"/>
      <c r="K171"/>
      <c r="M171"/>
      <c r="N171"/>
      <c r="O171"/>
      <c r="P171"/>
    </row>
    <row r="172" spans="1:21" x14ac:dyDescent="0.2">
      <c r="A172"/>
      <c r="B172"/>
      <c r="C172"/>
      <c r="D172"/>
      <c r="E172"/>
      <c r="G172"/>
      <c r="K172"/>
      <c r="M172"/>
      <c r="N172"/>
      <c r="O172"/>
      <c r="P172"/>
    </row>
    <row r="173" spans="1:21" x14ac:dyDescent="0.2">
      <c r="A173"/>
      <c r="B173"/>
      <c r="C173"/>
      <c r="D173"/>
      <c r="E173"/>
      <c r="G173"/>
      <c r="K173"/>
      <c r="M173"/>
      <c r="N173"/>
      <c r="O173"/>
      <c r="P173"/>
    </row>
    <row r="174" spans="1:21" x14ac:dyDescent="0.2">
      <c r="A174"/>
      <c r="C174" s="153"/>
      <c r="D174" s="153"/>
      <c r="F174" s="153"/>
      <c r="Q174"/>
      <c r="R174"/>
      <c r="S174"/>
    </row>
  </sheetData>
  <mergeCells count="1">
    <mergeCell ref="M168:P168"/>
  </mergeCells>
  <printOptions gridLines="1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2:V64"/>
  <sheetViews>
    <sheetView workbookViewId="0">
      <selection activeCell="C13" sqref="C13"/>
    </sheetView>
  </sheetViews>
  <sheetFormatPr defaultRowHeight="12.75" x14ac:dyDescent="0.2"/>
  <cols>
    <col min="1" max="1" width="21.5703125" customWidth="1"/>
    <col min="2" max="5" width="18" style="1" customWidth="1"/>
    <col min="6" max="6" width="15.5703125" style="1" customWidth="1"/>
    <col min="7" max="7" width="15.5703125" style="6" customWidth="1"/>
    <col min="8" max="8" width="15" style="6" customWidth="1"/>
    <col min="9" max="9" width="14.140625" style="6" bestFit="1" customWidth="1"/>
    <col min="10" max="10" width="15.42578125" style="6" customWidth="1"/>
    <col min="11" max="11" width="11.42578125" style="6" customWidth="1"/>
    <col min="12" max="12" width="12.42578125" style="6" customWidth="1"/>
    <col min="13" max="13" width="16.85546875" style="6" bestFit="1" customWidth="1"/>
    <col min="14" max="14" width="16.85546875" style="6" customWidth="1"/>
    <col min="15" max="16" width="16.85546875" customWidth="1"/>
    <col min="17" max="17" width="14.42578125" customWidth="1"/>
    <col min="18" max="18" width="12.5703125" bestFit="1" customWidth="1"/>
    <col min="19" max="19" width="11.5703125" bestFit="1" customWidth="1"/>
    <col min="20" max="20" width="14" customWidth="1"/>
    <col min="21" max="21" width="10.140625" bestFit="1" customWidth="1"/>
    <col min="22" max="22" width="12.5703125" style="6" bestFit="1" customWidth="1"/>
  </cols>
  <sheetData>
    <row r="2" spans="1:22" s="143" customFormat="1" ht="25.5" x14ac:dyDescent="0.2">
      <c r="B2" s="144" t="s">
        <v>4</v>
      </c>
      <c r="C2" s="144" t="s">
        <v>5</v>
      </c>
      <c r="D2" s="144" t="s">
        <v>30</v>
      </c>
      <c r="E2" s="144" t="s">
        <v>6</v>
      </c>
      <c r="F2" s="144" t="s">
        <v>0</v>
      </c>
      <c r="G2" s="8" t="s">
        <v>1</v>
      </c>
      <c r="H2" s="145" t="str">
        <f>Inputs!B4</f>
        <v>Residential</v>
      </c>
      <c r="I2" s="145" t="str">
        <f>Inputs!C4</f>
        <v>General Service &lt; 50 kW</v>
      </c>
      <c r="J2" s="145" t="str">
        <f>Inputs!D4</f>
        <v>General Service &gt; 50 to 4999 kW</v>
      </c>
      <c r="K2" s="145" t="str">
        <f>Inputs!E4</f>
        <v xml:space="preserve">Sentinel </v>
      </c>
      <c r="L2" s="145" t="str">
        <f>Inputs!F4</f>
        <v xml:space="preserve">Street Lighting </v>
      </c>
      <c r="M2" s="145" t="str">
        <f>Inputs!G4</f>
        <v>USL</v>
      </c>
      <c r="N2" s="145" t="str">
        <f>Inputs!H4</f>
        <v>Large User</v>
      </c>
      <c r="V2" s="20"/>
    </row>
    <row r="3" spans="1:22" x14ac:dyDescent="0.2">
      <c r="A3">
        <v>2014</v>
      </c>
      <c r="B3" s="52">
        <f>+'Power Purchased Model'!B152</f>
        <v>391741970.1024</v>
      </c>
      <c r="C3" s="52">
        <f>+'Power Purchased Model'!H152</f>
        <v>372346922.60602123</v>
      </c>
      <c r="D3" s="22">
        <f>C3-B3</f>
        <v>-19395047.496378779</v>
      </c>
      <c r="E3" s="5">
        <f>D3/B3</f>
        <v>-4.9509751256187791E-2</v>
      </c>
      <c r="F3" s="16">
        <f>1 +(B3-G3)/G3</f>
        <v>1.0285028897805961</v>
      </c>
      <c r="G3" s="6">
        <f>SUM(H3:N3)</f>
        <v>380885629</v>
      </c>
      <c r="H3" s="36">
        <f>SUMIF(Inputs!A$24:A$143,'Rate Class Energy Model'!A3,Inputs!F$24:F$143)</f>
        <v>158185053</v>
      </c>
      <c r="I3" s="36">
        <f>SUMIF(Inputs!A$24:A$143,'Rate Class Energy Model'!A3,Inputs!H$24:H$143)</f>
        <v>53903009</v>
      </c>
      <c r="J3" s="36">
        <f>SUMIF(Inputs!A$24:A$143,'Rate Class Energy Model'!A3,Inputs!J$24:J$143)</f>
        <v>144192534</v>
      </c>
      <c r="K3" s="36">
        <f>SUMIF(Inputs!A$24:A$143,'Rate Class Energy Model'!A3,Inputs!M$24:M$143)</f>
        <v>767199</v>
      </c>
      <c r="L3" s="36">
        <f>SUMIF(Inputs!A$24:A$143,'Rate Class Energy Model'!A3,Inputs!P$24:P$143)</f>
        <v>2503378</v>
      </c>
      <c r="M3" s="36">
        <f>SUMIF(Inputs!A$24:A$143,'Rate Class Energy Model'!A3,Inputs!S$24:S$143)</f>
        <v>966945</v>
      </c>
      <c r="N3" s="36">
        <f>SUMIF(Inputs!A$24:A$143,'Rate Class Energy Model'!A3,Inputs!V$24:V$143)</f>
        <v>20367511</v>
      </c>
    </row>
    <row r="4" spans="1:22" x14ac:dyDescent="0.2">
      <c r="A4">
        <v>2015</v>
      </c>
      <c r="B4" s="52">
        <f>+'Power Purchased Model'!B153</f>
        <v>372659576.71719992</v>
      </c>
      <c r="C4" s="52">
        <f>+'Power Purchased Model'!H153</f>
        <v>374746686.58305705</v>
      </c>
      <c r="D4" s="22">
        <f t="shared" ref="D4:D11" si="0">C4-B4</f>
        <v>2087109.8658571243</v>
      </c>
      <c r="E4" s="5">
        <f t="shared" ref="E4:E12" si="1">D4/B4</f>
        <v>5.6005802513991714E-3</v>
      </c>
      <c r="F4" s="16">
        <f>1 +(B4-G4)/G4</f>
        <v>1.0457125006869281</v>
      </c>
      <c r="G4" s="6">
        <f t="shared" ref="G4:G10" si="2">SUM(H4:N4)</f>
        <v>356369056</v>
      </c>
      <c r="H4" s="36">
        <f>SUMIF(Inputs!A$24:A$143,'Rate Class Energy Model'!A4,Inputs!F$24:F$143)</f>
        <v>157973719</v>
      </c>
      <c r="I4" s="36">
        <f>SUMIF(Inputs!A$24:A$143,'Rate Class Energy Model'!A4,Inputs!H$24:H$143)</f>
        <v>54312604</v>
      </c>
      <c r="J4" s="36">
        <f>SUMIF(Inputs!A$24:A$143,'Rate Class Energy Model'!A4,Inputs!J$24:J$143)</f>
        <v>139796962</v>
      </c>
      <c r="K4" s="36">
        <f>SUMIF(Inputs!A$24:A$143,'Rate Class Energy Model'!A4,Inputs!M$24:M$143)</f>
        <v>753964</v>
      </c>
      <c r="L4" s="36">
        <f>SUMIF(Inputs!A$24:A$143,'Rate Class Energy Model'!A4,Inputs!P$24:P$143)</f>
        <v>2284687</v>
      </c>
      <c r="M4" s="36">
        <f>SUMIF(Inputs!A$24:A$143,'Rate Class Energy Model'!A4,Inputs!S$24:S$143)</f>
        <v>970041</v>
      </c>
      <c r="N4" s="36">
        <f>SUMIF(Inputs!A$24:A$143,'Rate Class Energy Model'!A4,Inputs!V$24:V$143)</f>
        <v>277079</v>
      </c>
    </row>
    <row r="5" spans="1:22" x14ac:dyDescent="0.2">
      <c r="A5">
        <v>2016</v>
      </c>
      <c r="B5" s="52">
        <f>+'Power Purchased Model'!B154</f>
        <v>380022205.18436003</v>
      </c>
      <c r="C5" s="52">
        <f>+'Power Purchased Model'!H154</f>
        <v>388951613.52794182</v>
      </c>
      <c r="D5" s="22">
        <f t="shared" si="0"/>
        <v>8929408.3435817957</v>
      </c>
      <c r="E5" s="5">
        <f t="shared" si="1"/>
        <v>2.3497069965292883E-2</v>
      </c>
      <c r="F5" s="16">
        <f>1 +(B5-G5)/G5</f>
        <v>1.0457738179386926</v>
      </c>
      <c r="G5" s="6">
        <f t="shared" si="2"/>
        <v>363388525</v>
      </c>
      <c r="H5" s="36">
        <f>SUMIF(Inputs!A$24:A$143,'Rate Class Energy Model'!A5,Inputs!F$24:F$143)</f>
        <v>163109690</v>
      </c>
      <c r="I5" s="36">
        <f>SUMIF(Inputs!A$24:A$143,'Rate Class Energy Model'!A5,Inputs!H$24:H$143)</f>
        <v>53545593</v>
      </c>
      <c r="J5" s="36">
        <f>SUMIF(Inputs!A$24:A$143,'Rate Class Energy Model'!A5,Inputs!J$24:J$143)</f>
        <v>143431671</v>
      </c>
      <c r="K5" s="36">
        <f>SUMIF(Inputs!A$24:A$143,'Rate Class Energy Model'!A5,Inputs!M$24:M$143)</f>
        <v>749437</v>
      </c>
      <c r="L5" s="36">
        <f>SUMIF(Inputs!A$24:A$143,'Rate Class Energy Model'!A5,Inputs!P$24:P$143)</f>
        <v>1575426</v>
      </c>
      <c r="M5" s="36">
        <f>SUMIF(Inputs!A$24:A$143,'Rate Class Energy Model'!A5,Inputs!S$24:S$143)</f>
        <v>976708</v>
      </c>
      <c r="N5" s="36">
        <f>SUMIF(Inputs!A$24:A$143,'Rate Class Energy Model'!A5,Inputs!V$24:V$143)</f>
        <v>0</v>
      </c>
    </row>
    <row r="6" spans="1:22" x14ac:dyDescent="0.2">
      <c r="A6">
        <v>2017</v>
      </c>
      <c r="B6" s="52">
        <f>+'Power Purchased Model'!B155</f>
        <v>368596644.64483672</v>
      </c>
      <c r="C6" s="52">
        <f>+'Power Purchased Model'!H155</f>
        <v>374031333.5970037</v>
      </c>
      <c r="D6" s="22">
        <f t="shared" si="0"/>
        <v>5434688.9521669745</v>
      </c>
      <c r="E6" s="5">
        <f t="shared" si="1"/>
        <v>1.4744271363087416E-2</v>
      </c>
      <c r="F6" s="16">
        <f t="shared" ref="F6:F10" si="3">1 +(B6-G6)/G6</f>
        <v>1.0420671072471042</v>
      </c>
      <c r="G6" s="6">
        <f>SUM(H6:N6)</f>
        <v>353716802</v>
      </c>
      <c r="H6" s="36">
        <f>SUMIF(Inputs!A$24:A$143,'Rate Class Energy Model'!A6,Inputs!F$24:F$143)</f>
        <v>153825741</v>
      </c>
      <c r="I6" s="36">
        <f>SUMIF(Inputs!A$24:A$143,'Rate Class Energy Model'!A6,Inputs!H$24:H$143)</f>
        <v>52319962</v>
      </c>
      <c r="J6" s="36">
        <f>SUMIF(Inputs!A$24:A$143,'Rate Class Energy Model'!A6,Inputs!J$24:J$143)</f>
        <v>144490127</v>
      </c>
      <c r="K6" s="36">
        <f>SUMIF(Inputs!A$24:A$143,'Rate Class Energy Model'!A6,Inputs!M$24:M$143)</f>
        <v>729133</v>
      </c>
      <c r="L6" s="36">
        <f>SUMIF(Inputs!A$24:A$143,'Rate Class Energy Model'!A6,Inputs!P$24:P$143)</f>
        <v>1393112</v>
      </c>
      <c r="M6" s="36">
        <f>SUMIF(Inputs!A$24:A$143,'Rate Class Energy Model'!A6,Inputs!S$24:S$143)</f>
        <v>958727</v>
      </c>
      <c r="N6" s="36">
        <f>SUMIF(Inputs!A$24:A$143,'Rate Class Energy Model'!A6,Inputs!V$24:V$143)</f>
        <v>0</v>
      </c>
    </row>
    <row r="7" spans="1:22" x14ac:dyDescent="0.2">
      <c r="A7">
        <v>2018</v>
      </c>
      <c r="B7" s="52">
        <f>+'Power Purchased Model'!B156</f>
        <v>393889926.42846549</v>
      </c>
      <c r="C7" s="52">
        <f>+'Power Purchased Model'!H156</f>
        <v>390810343.664011</v>
      </c>
      <c r="D7" s="22">
        <f t="shared" si="0"/>
        <v>-3079582.764454484</v>
      </c>
      <c r="E7" s="5">
        <f t="shared" si="1"/>
        <v>-7.8183841673182992E-3</v>
      </c>
      <c r="F7" s="16">
        <f t="shared" si="3"/>
        <v>1.0390383828816636</v>
      </c>
      <c r="G7" s="6">
        <f t="shared" si="2"/>
        <v>379090833.32999998</v>
      </c>
      <c r="H7" s="36">
        <f>SUMIF(Inputs!A$24:A$143,'Rate Class Energy Model'!A7,Inputs!F$24:F$143)</f>
        <v>170461439</v>
      </c>
      <c r="I7" s="36">
        <f>SUMIF(Inputs!A$24:A$143,'Rate Class Energy Model'!A7,Inputs!H$24:H$143)</f>
        <v>52983336.789999999</v>
      </c>
      <c r="J7" s="36">
        <f>SUMIF(Inputs!A$24:A$143,'Rate Class Energy Model'!A7,Inputs!J$24:J$143)</f>
        <v>152610120.72999999</v>
      </c>
      <c r="K7" s="36">
        <f>SUMIF(Inputs!A$24:A$143,'Rate Class Energy Model'!A7,Inputs!M$24:M$143)</f>
        <v>675874</v>
      </c>
      <c r="L7" s="36">
        <f>SUMIF(Inputs!A$24:A$143,'Rate Class Energy Model'!A7,Inputs!P$24:P$143)</f>
        <v>1403955.81</v>
      </c>
      <c r="M7" s="36">
        <f>SUMIF(Inputs!A$24:A$143,'Rate Class Energy Model'!A7,Inputs!S$24:S$143)</f>
        <v>956107</v>
      </c>
      <c r="N7" s="36">
        <f>SUMIF(Inputs!A$24:A$143,'Rate Class Energy Model'!A7,Inputs!V$24:V$143)</f>
        <v>0</v>
      </c>
    </row>
    <row r="8" spans="1:22" x14ac:dyDescent="0.2">
      <c r="A8">
        <v>2019</v>
      </c>
      <c r="B8" s="52">
        <f>+'Power Purchased Model'!B157</f>
        <v>384791777.21642524</v>
      </c>
      <c r="C8" s="52">
        <f>+'Power Purchased Model'!H157</f>
        <v>382231010.00249338</v>
      </c>
      <c r="D8" s="22">
        <f t="shared" si="0"/>
        <v>-2560767.2139318585</v>
      </c>
      <c r="E8" s="5">
        <f t="shared" si="1"/>
        <v>-6.6549426613437242E-3</v>
      </c>
      <c r="F8" s="16">
        <f t="shared" si="3"/>
        <v>1.0382710375661437</v>
      </c>
      <c r="G8" s="6">
        <f t="shared" si="2"/>
        <v>370608216.25</v>
      </c>
      <c r="H8" s="36">
        <f>SUMIF(Inputs!A$24:A$143,'Rate Class Energy Model'!A8,Inputs!F$24:F$143)</f>
        <v>165806296.44</v>
      </c>
      <c r="I8" s="36">
        <f>SUMIF(Inputs!A$24:A$143,'Rate Class Energy Model'!A8,Inputs!H$24:H$143)</f>
        <v>50506434.530000001</v>
      </c>
      <c r="J8" s="36">
        <f>SUMIF(Inputs!A$24:A$143,'Rate Class Energy Model'!A8,Inputs!J$24:J$143)</f>
        <v>151352403.78</v>
      </c>
      <c r="K8" s="36">
        <f>SUMIF(Inputs!A$24:A$143,'Rate Class Energy Model'!A8,Inputs!M$24:M$143)</f>
        <v>583837.25</v>
      </c>
      <c r="L8" s="36">
        <f>SUMIF(Inputs!A$24:A$143,'Rate Class Energy Model'!A8,Inputs!P$24:P$143)</f>
        <v>1406314.25</v>
      </c>
      <c r="M8" s="36">
        <f>SUMIF(Inputs!A$24:A$143,'Rate Class Energy Model'!A8,Inputs!S$24:S$143)</f>
        <v>952930</v>
      </c>
      <c r="N8" s="36">
        <f>SUMIF(Inputs!A$24:A$143,'Rate Class Energy Model'!A8,Inputs!V$24:V$143)</f>
        <v>0</v>
      </c>
    </row>
    <row r="9" spans="1:22" x14ac:dyDescent="0.2">
      <c r="A9">
        <v>2020</v>
      </c>
      <c r="B9" s="52">
        <f>+'Power Purchased Model'!B158</f>
        <v>380093690.36809278</v>
      </c>
      <c r="C9" s="52">
        <f>+'Power Purchased Model'!H158</f>
        <v>388610259.78411037</v>
      </c>
      <c r="D9" s="22">
        <f t="shared" si="0"/>
        <v>8516569.416017592</v>
      </c>
      <c r="E9" s="5">
        <f t="shared" si="1"/>
        <v>2.2406500375657171E-2</v>
      </c>
      <c r="F9" s="16">
        <f t="shared" si="3"/>
        <v>1.0423889478015345</v>
      </c>
      <c r="G9" s="6">
        <f t="shared" si="2"/>
        <v>364637107.06999999</v>
      </c>
      <c r="H9" s="36">
        <f>SUMIF(Inputs!A$24:A$143,'Rate Class Energy Model'!A9,Inputs!F$24:F$143)</f>
        <v>179914470.27000001</v>
      </c>
      <c r="I9" s="36">
        <f>SUMIF(Inputs!A$24:A$143,'Rate Class Energy Model'!A9,Inputs!H$24:H$143)</f>
        <v>48537507.109999992</v>
      </c>
      <c r="J9" s="36">
        <f>SUMIF(Inputs!A$24:A$143,'Rate Class Energy Model'!A9,Inputs!J$24:J$143)</f>
        <v>133284408.77</v>
      </c>
      <c r="K9" s="36">
        <f>SUMIF(Inputs!A$24:A$143,'Rate Class Energy Model'!A9,Inputs!M$24:M$143)</f>
        <v>535934.71999999997</v>
      </c>
      <c r="L9" s="36">
        <f>SUMIF(Inputs!A$24:A$143,'Rate Class Energy Model'!A9,Inputs!P$24:P$143)</f>
        <v>1423807.2000000002</v>
      </c>
      <c r="M9" s="36">
        <f>SUMIF(Inputs!A$24:A$143,'Rate Class Energy Model'!A9,Inputs!S$24:S$143)</f>
        <v>940979</v>
      </c>
      <c r="N9" s="36">
        <f>SUMIF(Inputs!A$24:A$143,'Rate Class Energy Model'!A9,Inputs!V$24:V$143)</f>
        <v>0</v>
      </c>
    </row>
    <row r="10" spans="1:22" x14ac:dyDescent="0.2">
      <c r="A10">
        <v>2021</v>
      </c>
      <c r="B10" s="52">
        <f>+'Power Purchased Model'!B159</f>
        <v>383895272.72321349</v>
      </c>
      <c r="C10" s="52">
        <f>+'Power Purchased Model'!H159</f>
        <v>389949359.07669818</v>
      </c>
      <c r="D10" s="22">
        <f t="shared" si="0"/>
        <v>6054086.3534846902</v>
      </c>
      <c r="E10" s="5">
        <f t="shared" si="1"/>
        <v>1.5770150829259248E-2</v>
      </c>
      <c r="F10" s="16">
        <f t="shared" si="3"/>
        <v>1.0418268930704253</v>
      </c>
      <c r="G10" s="6">
        <f t="shared" si="2"/>
        <v>368482782.76999998</v>
      </c>
      <c r="H10" s="36">
        <f>SUMIF(Inputs!A$24:A$143,'Rate Class Energy Model'!A10,Inputs!F$24:F$143)</f>
        <v>182892381.72999999</v>
      </c>
      <c r="I10" s="36">
        <f>SUMIF(Inputs!A$24:A$143,'Rate Class Energy Model'!A10,Inputs!H$24:H$143)</f>
        <v>54230049.899999999</v>
      </c>
      <c r="J10" s="36">
        <f>SUMIF(Inputs!A$24:A$143,'Rate Class Energy Model'!A10,Inputs!J$24:J$143)</f>
        <v>128548463.13</v>
      </c>
      <c r="K10" s="36">
        <f>SUMIF(Inputs!A$24:A$143,'Rate Class Energy Model'!A10,Inputs!M$24:M$143)</f>
        <v>481895.06</v>
      </c>
      <c r="L10" s="36">
        <f>SUMIF(Inputs!A$24:A$143,'Rate Class Energy Model'!A10,Inputs!P$24:P$143)</f>
        <v>1410627.9499999997</v>
      </c>
      <c r="M10" s="36">
        <f>SUMIF(Inputs!A$24:A$143,'Rate Class Energy Model'!A10,Inputs!S$24:S$143)</f>
        <v>919365</v>
      </c>
      <c r="N10" s="36">
        <f>SUMIF(Inputs!A$24:A$143,'Rate Class Energy Model'!A10,Inputs!V$24:V$143)</f>
        <v>0</v>
      </c>
    </row>
    <row r="11" spans="1:22" x14ac:dyDescent="0.2">
      <c r="A11">
        <v>2022</v>
      </c>
      <c r="B11" s="52">
        <f>+'Power Purchased Model'!B160</f>
        <v>392612235.87385601</v>
      </c>
      <c r="C11" s="52">
        <f>+'Power Purchased Model'!H160</f>
        <v>392856586.95164824</v>
      </c>
      <c r="D11" s="22">
        <f t="shared" si="0"/>
        <v>244351.07779222727</v>
      </c>
      <c r="E11" s="5">
        <f t="shared" si="1"/>
        <v>6.2237254844684929E-4</v>
      </c>
      <c r="F11" s="16">
        <f>1 +(B11-G11)/G11</f>
        <v>1.0410509308665783</v>
      </c>
      <c r="G11" s="6">
        <f>SUM(H11:N11)</f>
        <v>377130670.77999997</v>
      </c>
      <c r="H11" s="36">
        <f>SUMIF(Inputs!A$24:A$143,'Rate Class Energy Model'!A11,Inputs!F$24:F$143)</f>
        <v>182644896.51999998</v>
      </c>
      <c r="I11" s="36">
        <f>SUMIF(Inputs!A$24:A$143,'Rate Class Energy Model'!A11,Inputs!H$24:H$143)</f>
        <v>55719441.800000004</v>
      </c>
      <c r="J11" s="36">
        <f>SUMIF(Inputs!A$24:A$143,'Rate Class Energy Model'!A11,Inputs!J$24:J$143)</f>
        <v>136029471.30000001</v>
      </c>
      <c r="K11" s="36">
        <f>SUMIF(Inputs!A$24:A$143,'Rate Class Energy Model'!A11,Inputs!M$24:M$143)</f>
        <v>422907.26</v>
      </c>
      <c r="L11" s="36">
        <f>SUMIF(Inputs!A$24:A$143,'Rate Class Energy Model'!A11,Inputs!P$24:P$143)</f>
        <v>1418459.9</v>
      </c>
      <c r="M11" s="36">
        <f>SUMIF(Inputs!A$24:A$143,'Rate Class Energy Model'!A11,Inputs!S$24:S$143)</f>
        <v>895494</v>
      </c>
      <c r="N11" s="36">
        <f>SUMIF(Inputs!A$24:A$143,'Rate Class Energy Model'!A11,Inputs!V$24:V$143)</f>
        <v>0</v>
      </c>
    </row>
    <row r="12" spans="1:22" x14ac:dyDescent="0.2">
      <c r="A12">
        <v>2023</v>
      </c>
      <c r="B12" s="52">
        <f>+'Power Purchased Model'!B161</f>
        <v>386633787.62211913</v>
      </c>
      <c r="C12" s="52">
        <f>+'Power Purchased Model'!H161</f>
        <v>385847534.33927774</v>
      </c>
      <c r="D12" s="22">
        <f>C12-B12</f>
        <v>-786253.28284138441</v>
      </c>
      <c r="E12" s="5">
        <f t="shared" si="1"/>
        <v>-2.0335865824790199E-3</v>
      </c>
      <c r="F12" s="16">
        <f>1 +(B12-G12)/G12</f>
        <v>1.0426232075593322</v>
      </c>
      <c r="G12" s="6">
        <f t="shared" ref="G12" si="4">SUM(H12:N12)</f>
        <v>370827912.53724998</v>
      </c>
      <c r="H12" s="36">
        <f>SUMIF(Inputs!A$24:A$143,'Rate Class Energy Model'!A12,Inputs!F$24:F$143)</f>
        <v>177391636.47999999</v>
      </c>
      <c r="I12" s="36">
        <f>SUMIF(Inputs!A$24:A$143,'Rate Class Energy Model'!A12,Inputs!H$24:H$143)</f>
        <v>54279424.499999993</v>
      </c>
      <c r="J12" s="36">
        <f>SUMIF(Inputs!A$24:A$143,'Rate Class Energy Model'!A12,Inputs!J$24:J$143)</f>
        <v>136432089.50725001</v>
      </c>
      <c r="K12" s="36">
        <f>SUMIF(Inputs!A$24:A$143,'Rate Class Energy Model'!A12,Inputs!M$24:M$143)</f>
        <v>419670.93999999994</v>
      </c>
      <c r="L12" s="36">
        <f>SUMIF(Inputs!A$24:A$143,'Rate Class Energy Model'!A12,Inputs!P$24:P$143)</f>
        <v>1453176.11</v>
      </c>
      <c r="M12" s="36">
        <f>SUMIF(Inputs!A$24:A$143,'Rate Class Energy Model'!A12,Inputs!S$24:S$143)</f>
        <v>851915</v>
      </c>
      <c r="N12" s="36">
        <f>SUMIF(Inputs!A$24:A$143,'Rate Class Energy Model'!A12,Inputs!V$24:V$143)</f>
        <v>0</v>
      </c>
    </row>
    <row r="13" spans="1:22" x14ac:dyDescent="0.2">
      <c r="A13" s="42">
        <v>2024</v>
      </c>
      <c r="B13" s="6"/>
      <c r="C13" s="133">
        <f>+'Power Purchased Model'!H162</f>
        <v>397790890.88678068</v>
      </c>
      <c r="D13" s="167"/>
      <c r="G13" s="14">
        <f>C13/$F$17</f>
        <v>382224576.55017841</v>
      </c>
      <c r="H13" s="33"/>
      <c r="I13" s="33"/>
      <c r="J13" s="33"/>
      <c r="K13" s="33"/>
      <c r="L13" s="33"/>
      <c r="M13" s="33"/>
      <c r="N13" s="33"/>
    </row>
    <row r="14" spans="1:22" x14ac:dyDescent="0.2">
      <c r="A14" s="42">
        <v>2025</v>
      </c>
      <c r="B14" s="6"/>
      <c r="C14" s="14">
        <f>+'Power Purchased Model'!H163</f>
        <v>401635119.08614975</v>
      </c>
      <c r="D14" s="167"/>
      <c r="G14" s="14">
        <f>C14/$F$17</f>
        <v>385918372.78666466</v>
      </c>
      <c r="H14" s="33"/>
      <c r="I14" s="33"/>
      <c r="J14" s="33"/>
      <c r="K14" s="33"/>
      <c r="L14" s="33"/>
      <c r="M14" s="33"/>
      <c r="N14" s="33"/>
    </row>
    <row r="15" spans="1:22" x14ac:dyDescent="0.2">
      <c r="A15" s="174"/>
      <c r="B15" s="6"/>
      <c r="C15" s="197"/>
      <c r="D15" s="198"/>
      <c r="E15" s="199"/>
      <c r="F15" s="199"/>
      <c r="G15" s="197"/>
      <c r="H15" s="176"/>
      <c r="I15" s="176"/>
      <c r="J15" s="176"/>
      <c r="K15" s="176"/>
      <c r="L15" s="176"/>
      <c r="M15" s="176"/>
      <c r="N15" s="176"/>
    </row>
    <row r="16" spans="1:22" x14ac:dyDescent="0.2">
      <c r="H16" s="176"/>
      <c r="I16" s="176"/>
      <c r="J16" s="176"/>
      <c r="K16" s="176"/>
      <c r="L16" s="176"/>
      <c r="M16" s="176"/>
      <c r="N16" s="176"/>
    </row>
    <row r="17" spans="1:17" x14ac:dyDescent="0.2">
      <c r="A17" s="13" t="s">
        <v>9</v>
      </c>
      <c r="C17" s="33"/>
      <c r="D17" s="35"/>
      <c r="E17" s="46" t="s">
        <v>61</v>
      </c>
      <c r="F17" s="16">
        <f>AVERAGE(F3:F12)</f>
        <v>1.0407255715399</v>
      </c>
      <c r="G17" s="130"/>
      <c r="H17" s="33"/>
      <c r="I17" s="33"/>
      <c r="J17" s="33"/>
      <c r="K17" s="33"/>
      <c r="L17" s="33"/>
      <c r="M17" s="33"/>
      <c r="N17" s="33"/>
    </row>
    <row r="18" spans="1:17" x14ac:dyDescent="0.2">
      <c r="C18" s="33"/>
      <c r="D18" s="35"/>
      <c r="E18" s="46"/>
      <c r="F18" s="16"/>
      <c r="G18" s="130"/>
      <c r="H18" s="33"/>
      <c r="I18" s="33"/>
      <c r="J18" s="33"/>
      <c r="K18" s="33"/>
      <c r="L18" s="33"/>
      <c r="M18" s="33"/>
      <c r="N18" s="33"/>
    </row>
    <row r="19" spans="1:17" x14ac:dyDescent="0.2">
      <c r="C19" s="130"/>
      <c r="D19" s="169"/>
      <c r="G19" s="130"/>
      <c r="H19" s="33"/>
      <c r="I19" s="33"/>
      <c r="J19" s="33"/>
      <c r="K19" s="33"/>
      <c r="L19" s="33"/>
      <c r="M19" s="33"/>
      <c r="N19" s="33"/>
    </row>
    <row r="20" spans="1:17" x14ac:dyDescent="0.2">
      <c r="A20" s="15" t="s">
        <v>11</v>
      </c>
      <c r="B20" s="10"/>
      <c r="C20" s="130"/>
      <c r="D20" s="169"/>
      <c r="G20" s="130"/>
      <c r="H20" s="33"/>
      <c r="I20" s="33"/>
      <c r="J20" s="33"/>
      <c r="K20" s="33"/>
      <c r="L20" s="33"/>
      <c r="M20" s="33"/>
      <c r="N20" s="33"/>
    </row>
    <row r="22" spans="1:17" x14ac:dyDescent="0.2">
      <c r="A22">
        <v>2023</v>
      </c>
      <c r="H22" s="6">
        <f>H12/'Rate Class Customer Model'!B20</f>
        <v>7577.4929794535174</v>
      </c>
      <c r="I22" s="6">
        <f>I12/'Rate Class Customer Model'!C20</f>
        <v>29414.428016618494</v>
      </c>
      <c r="J22" s="6">
        <f>J12/'Rate Class Customer Model'!D20</f>
        <v>960789.36272711272</v>
      </c>
      <c r="K22" s="6">
        <f>K12/'Rate Class Customer Model'!E20</f>
        <v>1228.0056766642281</v>
      </c>
      <c r="L22" s="6">
        <f>L12/'Rate Class Customer Model'!F20</f>
        <v>198.09059672160944</v>
      </c>
      <c r="M22" s="6">
        <f>M12/'Rate Class Customer Model'!G20</f>
        <v>4256.0283097418824</v>
      </c>
      <c r="N22" s="6">
        <f>IFERROR(N11/'Rate Class Customer Model'!H20,0)</f>
        <v>0</v>
      </c>
    </row>
    <row r="23" spans="1:17" x14ac:dyDescent="0.2">
      <c r="A23">
        <v>2024</v>
      </c>
      <c r="H23" s="14">
        <f>H22</f>
        <v>7577.4929794535174</v>
      </c>
      <c r="I23" s="14">
        <f t="shared" ref="I23:N23" si="5">I22</f>
        <v>29414.428016618494</v>
      </c>
      <c r="J23" s="14">
        <f t="shared" si="5"/>
        <v>960789.36272711272</v>
      </c>
      <c r="K23" s="14">
        <f t="shared" si="5"/>
        <v>1228.0056766642281</v>
      </c>
      <c r="L23" s="14">
        <f t="shared" si="5"/>
        <v>198.09059672160944</v>
      </c>
      <c r="M23" s="14">
        <f t="shared" si="5"/>
        <v>4256.0283097418824</v>
      </c>
      <c r="N23" s="14">
        <f t="shared" si="5"/>
        <v>0</v>
      </c>
    </row>
    <row r="24" spans="1:17" x14ac:dyDescent="0.2">
      <c r="A24">
        <v>2025</v>
      </c>
      <c r="H24" s="14">
        <f t="shared" ref="H24:N24" si="6">H22</f>
        <v>7577.4929794535174</v>
      </c>
      <c r="I24" s="14">
        <f t="shared" si="6"/>
        <v>29414.428016618494</v>
      </c>
      <c r="J24" s="14">
        <f t="shared" si="6"/>
        <v>960789.36272711272</v>
      </c>
      <c r="K24" s="14">
        <f>K22</f>
        <v>1228.0056766642281</v>
      </c>
      <c r="L24" s="14">
        <f t="shared" si="6"/>
        <v>198.09059672160944</v>
      </c>
      <c r="M24" s="14">
        <f t="shared" si="6"/>
        <v>4256.0283097418824</v>
      </c>
      <c r="N24" s="14">
        <f t="shared" si="6"/>
        <v>0</v>
      </c>
    </row>
    <row r="25" spans="1:17" x14ac:dyDescent="0.2">
      <c r="H25"/>
      <c r="I25"/>
      <c r="J25"/>
      <c r="K25"/>
      <c r="L25"/>
      <c r="M25"/>
      <c r="N25"/>
    </row>
    <row r="26" spans="1:17" x14ac:dyDescent="0.2">
      <c r="D26" s="6"/>
      <c r="G26" s="130"/>
      <c r="H26" s="130"/>
      <c r="I26" s="130"/>
      <c r="J26" s="130"/>
      <c r="K26" s="130"/>
      <c r="L26" s="130"/>
      <c r="M26" s="130"/>
      <c r="N26" s="130"/>
    </row>
    <row r="27" spans="1:17" x14ac:dyDescent="0.2">
      <c r="A27" s="13" t="s">
        <v>33</v>
      </c>
      <c r="G27" s="130"/>
      <c r="H27" s="130"/>
      <c r="I27" s="130"/>
      <c r="J27" s="130"/>
      <c r="K27" s="130"/>
      <c r="L27" s="130"/>
      <c r="M27" s="130"/>
      <c r="N27" s="130"/>
    </row>
    <row r="28" spans="1:17" x14ac:dyDescent="0.2">
      <c r="A28" s="40">
        <f>A23</f>
        <v>2024</v>
      </c>
      <c r="F28" s="167"/>
      <c r="G28" s="6">
        <f>SUM(H28:N28)</f>
        <v>382041429.13514006</v>
      </c>
      <c r="H28" s="6">
        <f>H23*'Rate Class Customer Model'!B21</f>
        <v>181443358.88996235</v>
      </c>
      <c r="I28" s="6">
        <f>I23*'Rate Class Customer Model'!C21</f>
        <v>54786275.152413145</v>
      </c>
      <c r="J28" s="6">
        <f>J23*'Rate Class Customer Model'!D21</f>
        <v>143109984.06779039</v>
      </c>
      <c r="K28" s="6">
        <f>K23*'Rate Class Customer Model'!E21</f>
        <v>418272.50403755106</v>
      </c>
      <c r="L28" s="6">
        <f>L23*'Rate Class Customer Model'!F21</f>
        <v>1448292.9651497584</v>
      </c>
      <c r="M28" s="6">
        <f>M23*'Rate Class Customer Model'!G21</f>
        <v>835245.55578684446</v>
      </c>
      <c r="N28" s="6">
        <f>N23*'Rate Class Customer Model'!H20</f>
        <v>0</v>
      </c>
    </row>
    <row r="29" spans="1:17" x14ac:dyDescent="0.2">
      <c r="A29" s="40">
        <f>A24</f>
        <v>2025</v>
      </c>
      <c r="F29" s="167"/>
      <c r="G29" s="6">
        <f>SUM(H29:N29)</f>
        <v>382685539.33171993</v>
      </c>
      <c r="H29" s="6">
        <f>H24*'Rate Class Customer Model'!B22</f>
        <v>184167337.29461291</v>
      </c>
      <c r="I29" s="6">
        <f>I24*'Rate Class Customer Model'!C22</f>
        <v>55135261.351684183</v>
      </c>
      <c r="J29" s="6">
        <f>J24*'Rate Class Customer Model'!D22</f>
        <v>140711175.59462628</v>
      </c>
      <c r="K29" s="6">
        <f>K24*'Rate Class Customer Model'!E22</f>
        <v>399283.83665585291</v>
      </c>
      <c r="L29" s="6">
        <f>L24*'Rate Class Customer Model'!F22</f>
        <v>1460926.3878175328</v>
      </c>
      <c r="M29" s="6">
        <f>M24*'Rate Class Customer Model'!G22</f>
        <v>811554.8663231422</v>
      </c>
      <c r="N29" s="6">
        <f>N24*'Rate Class Customer Model'!H21</f>
        <v>0</v>
      </c>
    </row>
    <row r="31" spans="1:17" x14ac:dyDescent="0.2">
      <c r="A31" s="13" t="s">
        <v>32</v>
      </c>
      <c r="P31" s="6"/>
    </row>
    <row r="32" spans="1:17" x14ac:dyDescent="0.2">
      <c r="A32" s="40">
        <f>A28</f>
        <v>2024</v>
      </c>
      <c r="G32" s="14">
        <f>G13</f>
        <v>382224576.55017841</v>
      </c>
      <c r="H32" s="6">
        <f>H28+H40</f>
        <v>181538889.44312426</v>
      </c>
      <c r="I32" s="6">
        <f t="shared" ref="H32:N33" si="7">I28+I40</f>
        <v>54815120.314909093</v>
      </c>
      <c r="J32" s="6">
        <f>J28+J40</f>
        <v>143168755.76717088</v>
      </c>
      <c r="K32" s="6">
        <f t="shared" si="7"/>
        <v>418272.50403755106</v>
      </c>
      <c r="L32" s="6">
        <f t="shared" si="7"/>
        <v>1448292.9651497584</v>
      </c>
      <c r="M32" s="6">
        <f t="shared" si="7"/>
        <v>835245.55578684446</v>
      </c>
      <c r="N32" s="6">
        <f t="shared" si="7"/>
        <v>0</v>
      </c>
      <c r="O32" s="6">
        <f>SUM(H32:N32)</f>
        <v>382224576.55017841</v>
      </c>
      <c r="P32" s="6">
        <f>O32-G32</f>
        <v>0</v>
      </c>
      <c r="Q32" s="6"/>
    </row>
    <row r="33" spans="1:22" x14ac:dyDescent="0.2">
      <c r="A33" s="40">
        <f>A29</f>
        <v>2025</v>
      </c>
      <c r="G33" s="14">
        <f>G14</f>
        <v>385918372.78666466</v>
      </c>
      <c r="H33" s="6">
        <f t="shared" si="7"/>
        <v>185873020.6490908</v>
      </c>
      <c r="I33" s="6">
        <f t="shared" si="7"/>
        <v>55645901.831770591</v>
      </c>
      <c r="J33" s="6">
        <f t="shared" si="7"/>
        <v>141727685.21500671</v>
      </c>
      <c r="K33" s="6">
        <f t="shared" si="7"/>
        <v>399283.83665585291</v>
      </c>
      <c r="L33" s="6">
        <f t="shared" si="7"/>
        <v>1460926.3878175328</v>
      </c>
      <c r="M33" s="6">
        <f t="shared" si="7"/>
        <v>811554.8663231422</v>
      </c>
      <c r="N33" s="6">
        <f t="shared" si="7"/>
        <v>0</v>
      </c>
      <c r="O33" s="6">
        <f t="shared" ref="O33" si="8">SUM(H33:N33)</f>
        <v>385918372.78666466</v>
      </c>
      <c r="P33" s="6"/>
      <c r="Q33" s="6"/>
    </row>
    <row r="34" spans="1:22" x14ac:dyDescent="0.2">
      <c r="P34" s="6"/>
    </row>
    <row r="35" spans="1:22" x14ac:dyDescent="0.2">
      <c r="A35" t="s">
        <v>34</v>
      </c>
      <c r="H35" s="44">
        <f>(100%+J35)/2</f>
        <v>0.81967514412601028</v>
      </c>
      <c r="I35" s="45">
        <f>H35</f>
        <v>0.81967514412601028</v>
      </c>
      <c r="J35" s="53">
        <v>0.63935028825202056</v>
      </c>
      <c r="K35" s="45">
        <v>0</v>
      </c>
      <c r="L35" s="45">
        <v>0</v>
      </c>
      <c r="M35" s="45">
        <v>0</v>
      </c>
      <c r="N35" s="45">
        <v>0</v>
      </c>
    </row>
    <row r="36" spans="1:22" x14ac:dyDescent="0.2">
      <c r="A36" s="40">
        <f>+A32</f>
        <v>2024</v>
      </c>
      <c r="G36" s="6">
        <f>G32-G28</f>
        <v>183147.41503834724</v>
      </c>
      <c r="H36" s="6">
        <f t="shared" ref="H36:J37" si="9">H28*H$35</f>
        <v>148724611.34883729</v>
      </c>
      <c r="I36" s="6">
        <f t="shared" si="9"/>
        <v>44906947.981681503</v>
      </c>
      <c r="J36" s="6">
        <f t="shared" si="9"/>
        <v>91497409.565483853</v>
      </c>
      <c r="K36" s="6">
        <f t="shared" ref="K36:N37" si="10">K28*K$35</f>
        <v>0</v>
      </c>
      <c r="L36" s="6">
        <f t="shared" si="10"/>
        <v>0</v>
      </c>
      <c r="M36" s="6">
        <f t="shared" si="10"/>
        <v>0</v>
      </c>
      <c r="N36" s="6">
        <f t="shared" si="10"/>
        <v>0</v>
      </c>
      <c r="O36" s="6">
        <f>SUM(H36:N36)</f>
        <v>285128968.89600265</v>
      </c>
    </row>
    <row r="37" spans="1:22" x14ac:dyDescent="0.2">
      <c r="A37" s="40">
        <f>+A33</f>
        <v>2025</v>
      </c>
      <c r="G37" s="6">
        <f>G33-G29</f>
        <v>3232833.4549447298</v>
      </c>
      <c r="H37" s="6">
        <f t="shared" si="9"/>
        <v>150957388.7402654</v>
      </c>
      <c r="I37" s="6">
        <f t="shared" si="9"/>
        <v>45193003.294866979</v>
      </c>
      <c r="J37" s="6">
        <f t="shared" si="9"/>
        <v>89963730.676704988</v>
      </c>
      <c r="K37" s="6">
        <f t="shared" si="10"/>
        <v>0</v>
      </c>
      <c r="L37" s="6">
        <f t="shared" si="10"/>
        <v>0</v>
      </c>
      <c r="M37" s="6">
        <f t="shared" si="10"/>
        <v>0</v>
      </c>
      <c r="N37" s="6">
        <f t="shared" si="10"/>
        <v>0</v>
      </c>
      <c r="O37" s="6">
        <f>SUM(H37:N37)</f>
        <v>286114122.71183735</v>
      </c>
    </row>
    <row r="38" spans="1:22" ht="12" customHeight="1" x14ac:dyDescent="0.2"/>
    <row r="39" spans="1:22" x14ac:dyDescent="0.2">
      <c r="A39" t="s">
        <v>35</v>
      </c>
    </row>
    <row r="40" spans="1:22" x14ac:dyDescent="0.2">
      <c r="A40" s="40">
        <f>+A36</f>
        <v>2024</v>
      </c>
      <c r="G40" s="6">
        <f>SUM(H40:N40)</f>
        <v>183147.41503834724</v>
      </c>
      <c r="H40" s="6">
        <f>H36/$O36*$G36</f>
        <v>95530.553161917822</v>
      </c>
      <c r="I40" s="6">
        <f t="shared" ref="I40:N40" si="11">I36/$O36*$G36</f>
        <v>28845.162495945173</v>
      </c>
      <c r="J40" s="6">
        <f t="shared" si="11"/>
        <v>58771.699380484257</v>
      </c>
      <c r="K40" s="6">
        <f t="shared" si="11"/>
        <v>0</v>
      </c>
      <c r="L40" s="6">
        <f t="shared" si="11"/>
        <v>0</v>
      </c>
      <c r="M40" s="6">
        <f t="shared" si="11"/>
        <v>0</v>
      </c>
      <c r="N40" s="6">
        <f t="shared" si="11"/>
        <v>0</v>
      </c>
    </row>
    <row r="41" spans="1:22" x14ac:dyDescent="0.2">
      <c r="A41" s="40">
        <f>+A37</f>
        <v>2025</v>
      </c>
      <c r="G41" s="6">
        <f t="shared" ref="G41" si="12">SUM(H41:N41)</f>
        <v>3232833.4549447298</v>
      </c>
      <c r="H41" s="6">
        <f>H37/$O37*$G37</f>
        <v>1705683.3544778952</v>
      </c>
      <c r="I41" s="6">
        <f>I37/$O37*$G37</f>
        <v>510640.48008640553</v>
      </c>
      <c r="J41" s="6">
        <f>J37/$O37*$G37</f>
        <v>1016509.6203804293</v>
      </c>
      <c r="K41" s="6">
        <f t="shared" ref="K41:N41" si="13">K37/$O37*$G37</f>
        <v>0</v>
      </c>
      <c r="L41" s="6">
        <f t="shared" si="13"/>
        <v>0</v>
      </c>
      <c r="M41" s="6">
        <f t="shared" si="13"/>
        <v>0</v>
      </c>
      <c r="N41" s="6">
        <f t="shared" si="13"/>
        <v>0</v>
      </c>
    </row>
    <row r="42" spans="1:22" x14ac:dyDescent="0.2">
      <c r="A42" s="40"/>
      <c r="G42" s="18"/>
    </row>
    <row r="43" spans="1:22" x14ac:dyDescent="0.2">
      <c r="A43" s="13"/>
    </row>
    <row r="44" spans="1:22" x14ac:dyDescent="0.2">
      <c r="A44" s="13"/>
    </row>
    <row r="45" spans="1:22" x14ac:dyDescent="0.2">
      <c r="A45" s="13"/>
    </row>
    <row r="47" spans="1:22" x14ac:dyDescent="0.2">
      <c r="B47"/>
      <c r="C47"/>
      <c r="D47"/>
      <c r="E47"/>
      <c r="F47"/>
      <c r="G47"/>
      <c r="H47"/>
      <c r="I47"/>
      <c r="J47"/>
      <c r="K47"/>
      <c r="L47"/>
      <c r="M47"/>
      <c r="N47"/>
      <c r="V47"/>
    </row>
    <row r="48" spans="1:22" x14ac:dyDescent="0.2">
      <c r="B48"/>
      <c r="C48"/>
      <c r="D48"/>
      <c r="E48"/>
      <c r="F48"/>
      <c r="G48"/>
      <c r="H48"/>
      <c r="I48"/>
      <c r="J48"/>
      <c r="K48"/>
      <c r="L48"/>
      <c r="M48"/>
      <c r="N48"/>
      <c r="V48"/>
    </row>
    <row r="49" customFormat="1" x14ac:dyDescent="0.2"/>
    <row r="50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</sheetData>
  <phoneticPr fontId="0" type="noConversion"/>
  <pageMargins left="0.38" right="0.75" top="0.73" bottom="0.74" header="0.5" footer="0.5"/>
  <pageSetup scale="49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Q90"/>
  <sheetViews>
    <sheetView workbookViewId="0">
      <selection activeCell="B66" sqref="B66"/>
    </sheetView>
  </sheetViews>
  <sheetFormatPr defaultRowHeight="12.75" x14ac:dyDescent="0.2"/>
  <cols>
    <col min="1" max="1" width="20.28515625" customWidth="1"/>
    <col min="2" max="2" width="15" style="6" customWidth="1"/>
    <col min="3" max="3" width="14.140625" style="6" bestFit="1" customWidth="1"/>
    <col min="4" max="4" width="17.85546875" style="6" bestFit="1" customWidth="1"/>
    <col min="5" max="5" width="12.5703125" style="6" customWidth="1"/>
    <col min="6" max="8" width="11.42578125" style="6" customWidth="1"/>
    <col min="9" max="9" width="11.5703125" customWidth="1"/>
    <col min="10" max="10" width="12.5703125" bestFit="1" customWidth="1"/>
    <col min="11" max="11" width="12.5703125" customWidth="1"/>
    <col min="12" max="12" width="12.5703125" bestFit="1" customWidth="1"/>
    <col min="13" max="13" width="11.5703125" bestFit="1" customWidth="1"/>
    <col min="14" max="14" width="14.140625" customWidth="1"/>
    <col min="15" max="15" width="11.5703125" customWidth="1"/>
    <col min="16" max="16" width="10.5703125" bestFit="1" customWidth="1"/>
    <col min="17" max="17" width="9.140625" customWidth="1"/>
  </cols>
  <sheetData>
    <row r="1" spans="1:17" x14ac:dyDescent="0.2">
      <c r="B1" s="193" t="s">
        <v>54</v>
      </c>
      <c r="C1" s="194"/>
      <c r="D1" s="194"/>
      <c r="E1" s="194"/>
      <c r="F1" s="194"/>
      <c r="G1" s="194"/>
      <c r="Q1" s="34"/>
    </row>
    <row r="2" spans="1:17" ht="25.5" x14ac:dyDescent="0.2">
      <c r="B2" s="8" t="str">
        <f>Inputs!B4</f>
        <v>Residential</v>
      </c>
      <c r="C2" s="8" t="str">
        <f>Inputs!C4</f>
        <v>General Service &lt; 50 kW</v>
      </c>
      <c r="D2" s="8" t="str">
        <f>Inputs!D4</f>
        <v>General Service &gt; 50 to 4999 kW</v>
      </c>
      <c r="E2" s="8" t="str">
        <f>Inputs!E4</f>
        <v xml:space="preserve">Sentinel </v>
      </c>
      <c r="F2" s="8" t="str">
        <f>Inputs!F4</f>
        <v xml:space="preserve">Street Lighting </v>
      </c>
      <c r="G2" s="8" t="str">
        <f>Inputs!G4</f>
        <v>USL</v>
      </c>
      <c r="H2" s="8" t="str">
        <f>Inputs!H4</f>
        <v>Large User</v>
      </c>
      <c r="I2" s="1" t="s">
        <v>7</v>
      </c>
      <c r="K2" s="103" t="s">
        <v>105</v>
      </c>
      <c r="P2" s="110">
        <v>2024</v>
      </c>
      <c r="Q2" s="110">
        <v>2025</v>
      </c>
    </row>
    <row r="3" spans="1:17" hidden="1" x14ac:dyDescent="0.2">
      <c r="A3" s="4"/>
      <c r="B3" s="24"/>
      <c r="C3" s="24"/>
      <c r="D3" s="24"/>
      <c r="E3" s="24"/>
      <c r="F3" s="24"/>
      <c r="G3" s="24"/>
      <c r="H3" s="24"/>
    </row>
    <row r="4" spans="1:17" hidden="1" x14ac:dyDescent="0.2">
      <c r="A4" s="4">
        <v>2000</v>
      </c>
      <c r="B4" s="23"/>
      <c r="C4" s="23"/>
      <c r="D4" s="23"/>
      <c r="E4" s="23"/>
      <c r="F4" s="23"/>
      <c r="G4" s="23"/>
      <c r="H4" s="23"/>
    </row>
    <row r="5" spans="1:17" hidden="1" x14ac:dyDescent="0.2">
      <c r="A5" s="4">
        <v>2001</v>
      </c>
      <c r="B5" s="24" t="e">
        <f>(#REF!+#REF!)/2</f>
        <v>#REF!</v>
      </c>
      <c r="C5" s="24" t="e">
        <f>(#REF!+#REF!)/2</f>
        <v>#REF!</v>
      </c>
      <c r="D5" s="24" t="e">
        <f>(#REF!+#REF!)/2</f>
        <v>#REF!</v>
      </c>
      <c r="E5" s="24" t="e">
        <f>(#REF!+#REF!)/2</f>
        <v>#REF!</v>
      </c>
      <c r="F5" s="24" t="e">
        <f>(#REF!+#REF!)/2</f>
        <v>#REF!</v>
      </c>
      <c r="G5" s="24"/>
      <c r="H5" s="24"/>
    </row>
    <row r="6" spans="1:17" hidden="1" x14ac:dyDescent="0.2">
      <c r="A6" s="4">
        <v>2002</v>
      </c>
      <c r="B6" s="24" t="e">
        <f>(#REF!+#REF!)/2</f>
        <v>#REF!</v>
      </c>
      <c r="C6" s="24" t="e">
        <f>(#REF!+#REF!)/2</f>
        <v>#REF!</v>
      </c>
      <c r="D6" s="24" t="e">
        <f>(#REF!+#REF!)/2</f>
        <v>#REF!</v>
      </c>
      <c r="E6" s="24" t="e">
        <f>(#REF!+#REF!)/2</f>
        <v>#REF!</v>
      </c>
      <c r="F6" s="24">
        <v>0</v>
      </c>
      <c r="G6" s="24"/>
      <c r="H6" s="24"/>
    </row>
    <row r="7" spans="1:17" hidden="1" x14ac:dyDescent="0.2">
      <c r="A7" s="4">
        <v>2003</v>
      </c>
      <c r="B7" s="24" t="e">
        <f>(#REF!+#REF!)/2</f>
        <v>#REF!</v>
      </c>
      <c r="C7" s="24" t="e">
        <f>(#REF!+#REF!)/2</f>
        <v>#REF!</v>
      </c>
      <c r="D7" s="24" t="e">
        <f>(#REF!+#REF!)/2</f>
        <v>#REF!</v>
      </c>
      <c r="E7" s="24" t="e">
        <f>(#REF!+#REF!)/2</f>
        <v>#REF!</v>
      </c>
      <c r="F7" s="24" t="e">
        <f>(#REF!+#REF!)/2</f>
        <v>#REF!</v>
      </c>
      <c r="G7" s="24"/>
      <c r="H7" s="24"/>
    </row>
    <row r="8" spans="1:17" hidden="1" x14ac:dyDescent="0.2">
      <c r="A8" s="4">
        <v>2004</v>
      </c>
      <c r="B8" s="24" t="e">
        <f>(#REF!+#REF!)/2</f>
        <v>#REF!</v>
      </c>
      <c r="C8" s="24" t="e">
        <f>(#REF!+#REF!)/2</f>
        <v>#REF!</v>
      </c>
      <c r="D8" s="24" t="e">
        <f>(#REF!+#REF!)/2</f>
        <v>#REF!</v>
      </c>
      <c r="E8" s="24" t="e">
        <f>(#REF!+#REF!)/2</f>
        <v>#REF!</v>
      </c>
      <c r="F8" s="24" t="e">
        <f>(#REF!+#REF!)/2</f>
        <v>#REF!</v>
      </c>
      <c r="G8" s="24"/>
      <c r="H8" s="24"/>
    </row>
    <row r="9" spans="1:17" hidden="1" x14ac:dyDescent="0.2">
      <c r="A9" s="4">
        <v>2005</v>
      </c>
      <c r="B9" s="24" t="e">
        <f>(#REF!+#REF!)/2</f>
        <v>#REF!</v>
      </c>
      <c r="C9" s="24" t="e">
        <f>(#REF!+#REF!)/2</f>
        <v>#REF!</v>
      </c>
      <c r="D9" s="24" t="e">
        <f>(#REF!+#REF!)/2</f>
        <v>#REF!</v>
      </c>
      <c r="E9" s="24" t="e">
        <f>(#REF!+#REF!)/2</f>
        <v>#REF!</v>
      </c>
      <c r="F9" s="24" t="e">
        <f>(#REF!+#REF!)/2</f>
        <v>#REF!</v>
      </c>
      <c r="G9" s="24"/>
      <c r="H9" s="24"/>
    </row>
    <row r="10" spans="1:17" hidden="1" x14ac:dyDescent="0.2">
      <c r="A10" s="4">
        <v>2006</v>
      </c>
      <c r="B10" s="24" t="e">
        <f>(#REF!+#REF!)/2</f>
        <v>#REF!</v>
      </c>
      <c r="C10" s="24" t="e">
        <f>(#REF!+#REF!)/2</f>
        <v>#REF!</v>
      </c>
      <c r="D10" s="24" t="e">
        <f>(#REF!+#REF!)/2</f>
        <v>#REF!</v>
      </c>
      <c r="E10" s="24">
        <v>1</v>
      </c>
      <c r="F10" s="24" t="e">
        <f>(#REF!+#REF!)/2</f>
        <v>#REF!</v>
      </c>
      <c r="G10" s="24"/>
      <c r="H10" s="24"/>
    </row>
    <row r="11" spans="1:17" x14ac:dyDescent="0.2">
      <c r="A11" s="4">
        <v>2014</v>
      </c>
      <c r="B11" s="37">
        <f>Inputs!B5</f>
        <v>20472.166666666668</v>
      </c>
      <c r="C11" s="37">
        <f>Inputs!C5</f>
        <v>1742.8333333333333</v>
      </c>
      <c r="D11" s="37">
        <f>Inputs!D5</f>
        <v>165.33333333333334</v>
      </c>
      <c r="E11" s="37">
        <f>Inputs!E5</f>
        <v>519.16666666666663</v>
      </c>
      <c r="F11" s="37">
        <f>Inputs!F5</f>
        <v>6784.333333333333</v>
      </c>
      <c r="G11" s="37">
        <f>Inputs!G5</f>
        <v>259.33333333333331</v>
      </c>
      <c r="H11" s="37">
        <f>Inputs!H5</f>
        <v>1</v>
      </c>
      <c r="I11" s="43">
        <f>SUM(B11:H11)</f>
        <v>29944.166666666664</v>
      </c>
      <c r="K11" s="6">
        <f>B11+C11+D11+H11</f>
        <v>22381.333333333332</v>
      </c>
      <c r="L11" s="6"/>
      <c r="O11" s="111" t="s">
        <v>92</v>
      </c>
      <c r="P11" s="109">
        <f>(Inputs!$G$143+Inputs!I143+Inputs!L143)+(Inputs!$G$143+Inputs!I143+Inputs!L143)*N21</f>
        <v>25784.177034496697</v>
      </c>
      <c r="Q11" s="109">
        <f>P22+(P22*$N$22)</f>
        <v>26159.618734759606</v>
      </c>
    </row>
    <row r="12" spans="1:17" x14ac:dyDescent="0.2">
      <c r="A12" s="4">
        <v>2015</v>
      </c>
      <c r="B12" s="37">
        <f>Inputs!B6</f>
        <v>20635.5</v>
      </c>
      <c r="C12" s="37">
        <f>Inputs!C6</f>
        <v>1769.0833333333333</v>
      </c>
      <c r="D12" s="37">
        <f>Inputs!D6</f>
        <v>158.83333333333334</v>
      </c>
      <c r="E12" s="37">
        <f>Inputs!E6</f>
        <v>515.08333333333337</v>
      </c>
      <c r="F12" s="37">
        <f>Inputs!F6</f>
        <v>6792.583333333333</v>
      </c>
      <c r="G12" s="37">
        <f>Inputs!G6</f>
        <v>256.66666666666669</v>
      </c>
      <c r="H12" s="37">
        <f>Inputs!H6</f>
        <v>0</v>
      </c>
      <c r="I12" s="43">
        <f>SUM(B12:H12)</f>
        <v>30127.749999999996</v>
      </c>
      <c r="K12" s="6">
        <f t="shared" ref="K12:K20" si="0">B12+C12+D12+H12</f>
        <v>22563.416666666664</v>
      </c>
      <c r="L12" s="6"/>
      <c r="O12" s="111" t="s">
        <v>93</v>
      </c>
      <c r="P12" s="109">
        <f>P11+(P11*$N$21)</f>
        <v>25815.391812459398</v>
      </c>
      <c r="Q12" s="109">
        <f>Q11+(Q11*$N$22)</f>
        <v>26189.646334914734</v>
      </c>
    </row>
    <row r="13" spans="1:17" x14ac:dyDescent="0.2">
      <c r="A13" s="4">
        <v>2016</v>
      </c>
      <c r="B13" s="37">
        <f>Inputs!B7</f>
        <v>20822.5</v>
      </c>
      <c r="C13" s="37">
        <f>Inputs!C7</f>
        <v>1770.5833333333333</v>
      </c>
      <c r="D13" s="37">
        <f>Inputs!D7</f>
        <v>159</v>
      </c>
      <c r="E13" s="37">
        <f>Inputs!E7</f>
        <v>508.75</v>
      </c>
      <c r="F13" s="37">
        <f>Inputs!F7</f>
        <v>6825</v>
      </c>
      <c r="G13" s="37">
        <f>Inputs!G7</f>
        <v>261.33333333333331</v>
      </c>
      <c r="H13" s="37">
        <f>Inputs!H7</f>
        <v>0</v>
      </c>
      <c r="I13" s="43">
        <f t="shared" ref="I13:I20" si="1">SUM(B13:H13)</f>
        <v>30347.166666666664</v>
      </c>
      <c r="K13" s="6">
        <f t="shared" si="0"/>
        <v>22752.083333333332</v>
      </c>
      <c r="L13" s="6"/>
      <c r="O13" s="111" t="s">
        <v>94</v>
      </c>
      <c r="P13" s="109">
        <f t="shared" ref="P13:P21" si="2">P12+(P12*$N$21)</f>
        <v>25846.644379581008</v>
      </c>
      <c r="Q13" s="109">
        <f t="shared" ref="Q13:Q22" si="3">Q12+(Q12*$N$22)</f>
        <v>26219.708402574157</v>
      </c>
    </row>
    <row r="14" spans="1:17" x14ac:dyDescent="0.2">
      <c r="A14" s="4">
        <v>2017</v>
      </c>
      <c r="B14" s="37">
        <f>Inputs!B8</f>
        <v>20986.583333333332</v>
      </c>
      <c r="C14" s="37">
        <f>Inputs!C8</f>
        <v>1791.4166666666667</v>
      </c>
      <c r="D14" s="37">
        <f>Inputs!D8</f>
        <v>159.16666666666666</v>
      </c>
      <c r="E14" s="37">
        <f>Inputs!E8</f>
        <v>500.08333333333331</v>
      </c>
      <c r="F14" s="37">
        <f>Inputs!F8</f>
        <v>6865.333333333333</v>
      </c>
      <c r="G14" s="37">
        <f>Inputs!G8</f>
        <v>261.91666666666669</v>
      </c>
      <c r="H14" s="37">
        <f>Inputs!H8</f>
        <v>0</v>
      </c>
      <c r="I14" s="43">
        <f t="shared" si="1"/>
        <v>30564.5</v>
      </c>
      <c r="K14" s="6">
        <f t="shared" si="0"/>
        <v>22937.166666666668</v>
      </c>
      <c r="L14" s="6"/>
      <c r="O14" s="111" t="s">
        <v>95</v>
      </c>
      <c r="P14" s="109">
        <f t="shared" si="2"/>
        <v>25877.934781609743</v>
      </c>
      <c r="Q14" s="109">
        <f t="shared" si="3"/>
        <v>26249.80497730177</v>
      </c>
    </row>
    <row r="15" spans="1:17" x14ac:dyDescent="0.2">
      <c r="A15" s="4">
        <v>2018</v>
      </c>
      <c r="B15" s="37">
        <f>Inputs!B9</f>
        <v>21242.333333333332</v>
      </c>
      <c r="C15" s="37">
        <f>Inputs!C9</f>
        <v>1798.25</v>
      </c>
      <c r="D15" s="37">
        <f>Inputs!D9</f>
        <v>164</v>
      </c>
      <c r="E15" s="37">
        <f>Inputs!E9</f>
        <v>486.5</v>
      </c>
      <c r="F15" s="37">
        <f>Inputs!F9</f>
        <v>6956.25</v>
      </c>
      <c r="G15" s="37">
        <f>Inputs!G9</f>
        <v>262.83333333333331</v>
      </c>
      <c r="H15" s="37">
        <f>Inputs!H9</f>
        <v>0</v>
      </c>
      <c r="I15" s="43">
        <f t="shared" si="1"/>
        <v>30910.166666666664</v>
      </c>
      <c r="K15" s="6">
        <f t="shared" si="0"/>
        <v>23204.583333333332</v>
      </c>
      <c r="L15" s="6"/>
      <c r="O15" s="111" t="s">
        <v>47</v>
      </c>
      <c r="P15" s="109">
        <f t="shared" si="2"/>
        <v>25909.263064349212</v>
      </c>
      <c r="Q15" s="109">
        <f t="shared" si="3"/>
        <v>26279.936098706883</v>
      </c>
    </row>
    <row r="16" spans="1:17" x14ac:dyDescent="0.2">
      <c r="A16" s="4">
        <v>2019</v>
      </c>
      <c r="B16" s="37">
        <f>Inputs!B10</f>
        <v>21580</v>
      </c>
      <c r="C16" s="37">
        <f>Inputs!C10</f>
        <v>1797.3333333333333</v>
      </c>
      <c r="D16" s="37">
        <f>Inputs!D10</f>
        <v>166.16666666666666</v>
      </c>
      <c r="E16" s="37">
        <f>Inputs!E10</f>
        <v>453.58333333333331</v>
      </c>
      <c r="F16" s="37">
        <f>Inputs!F10</f>
        <v>7006.75</v>
      </c>
      <c r="G16" s="37">
        <f>Inputs!G10</f>
        <v>261.83333333333331</v>
      </c>
      <c r="H16" s="37">
        <f>Inputs!H10</f>
        <v>0</v>
      </c>
      <c r="I16" s="43">
        <f t="shared" si="1"/>
        <v>31265.666666666664</v>
      </c>
      <c r="K16" s="6">
        <f t="shared" si="0"/>
        <v>23543.5</v>
      </c>
      <c r="L16" s="6"/>
      <c r="O16" s="111" t="s">
        <v>96</v>
      </c>
      <c r="P16" s="109">
        <f t="shared" si="2"/>
        <v>25940.629273658466</v>
      </c>
      <c r="Q16" s="109">
        <f t="shared" si="3"/>
        <v>26310.101806444272</v>
      </c>
    </row>
    <row r="17" spans="1:17" x14ac:dyDescent="0.2">
      <c r="A17" s="4">
        <v>2020</v>
      </c>
      <c r="B17" s="37">
        <f>Inputs!B11</f>
        <v>21926.833333333332</v>
      </c>
      <c r="C17" s="37">
        <f>Inputs!C11</f>
        <v>1787.5</v>
      </c>
      <c r="D17" s="37">
        <f>Inputs!D11</f>
        <v>161.08333333333334</v>
      </c>
      <c r="E17" s="37">
        <f>Inputs!E11</f>
        <v>405.75</v>
      </c>
      <c r="F17" s="37">
        <f>Inputs!F11</f>
        <v>7066.75</v>
      </c>
      <c r="G17" s="37">
        <f>Inputs!G11</f>
        <v>258.25</v>
      </c>
      <c r="H17" s="37">
        <f>Inputs!H11</f>
        <v>0</v>
      </c>
      <c r="I17" s="43">
        <f t="shared" si="1"/>
        <v>31606.166666666664</v>
      </c>
      <c r="K17" s="6">
        <f t="shared" si="0"/>
        <v>23875.416666666664</v>
      </c>
      <c r="L17" s="6"/>
      <c r="O17" s="111" t="s">
        <v>97</v>
      </c>
      <c r="P17" s="109">
        <f t="shared" si="2"/>
        <v>25972.033455452078</v>
      </c>
      <c r="Q17" s="109">
        <f t="shared" si="3"/>
        <v>26340.302140214233</v>
      </c>
    </row>
    <row r="18" spans="1:17" x14ac:dyDescent="0.2">
      <c r="A18" s="4">
        <v>2021</v>
      </c>
      <c r="B18" s="37">
        <f>Inputs!B12</f>
        <v>22395.666666666668</v>
      </c>
      <c r="C18" s="37">
        <f>Inputs!C12</f>
        <v>1836.5</v>
      </c>
      <c r="D18" s="37">
        <f>Inputs!D12</f>
        <v>139.75</v>
      </c>
      <c r="E18" s="37">
        <f>Inputs!E12</f>
        <v>377.66666666666669</v>
      </c>
      <c r="F18" s="37">
        <f>Inputs!F12</f>
        <v>7115.166666666667</v>
      </c>
      <c r="G18" s="37">
        <f>Inputs!G12</f>
        <v>255.83333333333334</v>
      </c>
      <c r="H18" s="37">
        <f>Inputs!H12</f>
        <v>0</v>
      </c>
      <c r="I18" s="43">
        <f t="shared" si="1"/>
        <v>32120.583333333336</v>
      </c>
      <c r="K18" s="6">
        <f t="shared" si="0"/>
        <v>24371.916666666668</v>
      </c>
      <c r="L18" s="6"/>
      <c r="M18" s="195" t="s">
        <v>108</v>
      </c>
      <c r="N18" s="195"/>
      <c r="O18" s="111" t="s">
        <v>98</v>
      </c>
      <c r="P18" s="109">
        <f t="shared" si="2"/>
        <v>26003.475655700204</v>
      </c>
      <c r="Q18" s="109">
        <f>Q17+(Q17*$N$22)</f>
        <v>26370.537139762626</v>
      </c>
    </row>
    <row r="19" spans="1:17" x14ac:dyDescent="0.2">
      <c r="A19" s="4">
        <v>2022</v>
      </c>
      <c r="B19" s="37">
        <f>Inputs!B13</f>
        <v>22849</v>
      </c>
      <c r="C19" s="37">
        <f>Inputs!C13</f>
        <v>1838.0833333333333</v>
      </c>
      <c r="D19" s="37">
        <f>Inputs!D13</f>
        <v>138.75</v>
      </c>
      <c r="E19" s="37">
        <f>Inputs!E13</f>
        <v>344.91666666666669</v>
      </c>
      <c r="F19" s="37">
        <f>Inputs!F13</f>
        <v>7186.166666666667</v>
      </c>
      <c r="G19" s="37">
        <f>Inputs!G13</f>
        <v>252.08333333333334</v>
      </c>
      <c r="H19" s="37">
        <f>Inputs!H13</f>
        <v>0</v>
      </c>
      <c r="I19" s="43">
        <f t="shared" si="1"/>
        <v>32609</v>
      </c>
      <c r="J19" s="34"/>
      <c r="K19" s="6">
        <f t="shared" si="0"/>
        <v>24825.833333333332</v>
      </c>
      <c r="L19" s="6"/>
      <c r="M19" s="2" t="s">
        <v>109</v>
      </c>
      <c r="N19" s="2" t="s">
        <v>110</v>
      </c>
      <c r="O19" s="111" t="s">
        <v>99</v>
      </c>
      <c r="P19" s="109">
        <f t="shared" si="2"/>
        <v>26034.955920428652</v>
      </c>
      <c r="Q19" s="109">
        <f t="shared" si="3"/>
        <v>26400.806844880943</v>
      </c>
    </row>
    <row r="20" spans="1:17" x14ac:dyDescent="0.2">
      <c r="A20" s="4">
        <v>2023</v>
      </c>
      <c r="B20" s="37">
        <f>Inputs!B14</f>
        <v>23410.333333333332</v>
      </c>
      <c r="C20" s="37">
        <f>Inputs!C14</f>
        <v>1845.3333333333333</v>
      </c>
      <c r="D20" s="37">
        <f>Inputs!D14</f>
        <v>142</v>
      </c>
      <c r="E20" s="37">
        <f>Inputs!E14</f>
        <v>341.75</v>
      </c>
      <c r="F20" s="37">
        <f>Inputs!F14</f>
        <v>7335.916666666667</v>
      </c>
      <c r="G20" s="37">
        <f>Inputs!G14</f>
        <v>200.16666666666666</v>
      </c>
      <c r="H20" s="37">
        <f>Inputs!H14</f>
        <v>0</v>
      </c>
      <c r="I20" s="43">
        <f t="shared" si="1"/>
        <v>33275.499999999993</v>
      </c>
      <c r="J20" s="34"/>
      <c r="K20" s="6">
        <f t="shared" si="0"/>
        <v>25397.666666666664</v>
      </c>
      <c r="L20" s="6"/>
      <c r="M20" s="112"/>
      <c r="N20" s="112"/>
      <c r="O20" s="111" t="s">
        <v>100</v>
      </c>
      <c r="P20" s="109">
        <f t="shared" si="2"/>
        <v>26066.474295718956</v>
      </c>
      <c r="Q20" s="109">
        <f t="shared" si="3"/>
        <v>26431.111295406343</v>
      </c>
    </row>
    <row r="21" spans="1:17" x14ac:dyDescent="0.2">
      <c r="A21" s="4">
        <v>2024</v>
      </c>
      <c r="B21" s="182">
        <f>B79</f>
        <v>23945.038204845408</v>
      </c>
      <c r="C21" s="182">
        <f t="shared" ref="C21:G21" si="4">C79</f>
        <v>1862.564695171367</v>
      </c>
      <c r="D21" s="182">
        <f t="shared" si="4"/>
        <v>148.95042516039706</v>
      </c>
      <c r="E21" s="182">
        <f t="shared" si="4"/>
        <v>340.61121376389104</v>
      </c>
      <c r="F21" s="182">
        <f t="shared" si="4"/>
        <v>7311.2655982613132</v>
      </c>
      <c r="G21" s="182">
        <f t="shared" si="4"/>
        <v>196.25</v>
      </c>
      <c r="H21" s="48">
        <v>0</v>
      </c>
      <c r="I21" s="43">
        <f>SUM(B21:H21)</f>
        <v>33804.680137202376</v>
      </c>
      <c r="J21" s="34"/>
      <c r="K21" s="6">
        <f>B21+C21+D21+H21</f>
        <v>25956.553325177174</v>
      </c>
      <c r="L21" s="6"/>
      <c r="M21" s="112">
        <v>1.4527410940875061E-2</v>
      </c>
      <c r="N21" s="112">
        <f>M21/12</f>
        <v>1.2106175784062552E-3</v>
      </c>
      <c r="O21" s="111" t="s">
        <v>101</v>
      </c>
      <c r="P21" s="109">
        <f t="shared" si="2"/>
        <v>26098.030827708426</v>
      </c>
      <c r="Q21" s="109">
        <f>Q20+(Q20*$N$22)</f>
        <v>26461.450531221715</v>
      </c>
    </row>
    <row r="22" spans="1:17" x14ac:dyDescent="0.2">
      <c r="A22" s="4">
        <v>2025</v>
      </c>
      <c r="B22" s="48">
        <f>B21*B39</f>
        <v>24304.521006352014</v>
      </c>
      <c r="C22" s="48">
        <f t="shared" ref="C22:F22" si="5">C21*C39</f>
        <v>1874.4291515896209</v>
      </c>
      <c r="D22" s="48">
        <f t="shared" si="5"/>
        <v>146.45371925770544</v>
      </c>
      <c r="E22" s="48">
        <f t="shared" si="5"/>
        <v>325.1482010575661</v>
      </c>
      <c r="F22" s="48">
        <f t="shared" si="5"/>
        <v>7375.0415819619884</v>
      </c>
      <c r="G22" s="48">
        <f>G21*G39</f>
        <v>190.68361562951188</v>
      </c>
      <c r="H22" s="48">
        <v>0</v>
      </c>
      <c r="I22" s="43">
        <f>SUM(B22:H22)</f>
        <v>34216.277275848406</v>
      </c>
      <c r="J22" s="34"/>
      <c r="K22" s="6">
        <f>B22+C22+D22+H22</f>
        <v>26325.40387719934</v>
      </c>
      <c r="L22" s="6"/>
      <c r="M22" s="112">
        <v>1.3774329263550949E-2</v>
      </c>
      <c r="N22" s="112">
        <f>M22/12</f>
        <v>1.147860771962579E-3</v>
      </c>
      <c r="O22" s="113" t="s">
        <v>102</v>
      </c>
      <c r="P22" s="114">
        <f>P21+(P21*$N$21)</f>
        <v>26129.625562590238</v>
      </c>
      <c r="Q22" s="114">
        <f t="shared" si="3"/>
        <v>26491.824592255733</v>
      </c>
    </row>
    <row r="23" spans="1:17" x14ac:dyDescent="0.2">
      <c r="A23" s="13"/>
      <c r="J23" s="34"/>
      <c r="O23" s="111" t="s">
        <v>9</v>
      </c>
      <c r="P23" s="109">
        <f>AVERAGE(P11:P22)</f>
        <v>25956.553005312759</v>
      </c>
      <c r="Q23" s="109">
        <f>AVERAGE(Q11:Q22)</f>
        <v>26325.404074870254</v>
      </c>
    </row>
    <row r="24" spans="1:17" x14ac:dyDescent="0.2">
      <c r="A24" s="13" t="s">
        <v>31</v>
      </c>
      <c r="B24" s="5"/>
      <c r="C24" s="5"/>
      <c r="D24" s="5"/>
      <c r="E24" s="5"/>
      <c r="F24" s="16"/>
      <c r="G24" s="16"/>
      <c r="H24" s="16"/>
      <c r="P24" s="34">
        <f>P23-K21</f>
        <v>-3.1986441535991617E-4</v>
      </c>
      <c r="Q24" s="34">
        <f>Q23-K22</f>
        <v>1.9767091362155043E-4</v>
      </c>
    </row>
    <row r="25" spans="1:17" x14ac:dyDescent="0.2">
      <c r="A25" s="4"/>
      <c r="B25" s="16"/>
      <c r="C25" s="16"/>
      <c r="D25" s="16"/>
      <c r="E25" s="16"/>
      <c r="F25" s="16"/>
      <c r="G25" s="16"/>
      <c r="H25" s="16"/>
      <c r="P25" s="34"/>
      <c r="Q25" s="34"/>
    </row>
    <row r="26" spans="1:17" x14ac:dyDescent="0.2">
      <c r="A26" s="4">
        <f>+A12</f>
        <v>2015</v>
      </c>
      <c r="B26" s="16">
        <f>B12/B11</f>
        <v>1.0079783120171288</v>
      </c>
      <c r="C26" s="16">
        <f t="shared" ref="C26:G26" si="6">C12/C11</f>
        <v>1.0150616811705078</v>
      </c>
      <c r="D26" s="16">
        <f t="shared" si="6"/>
        <v>0.96068548387096775</v>
      </c>
      <c r="E26" s="16">
        <f t="shared" si="6"/>
        <v>0.99213483146067427</v>
      </c>
      <c r="F26" s="16">
        <f t="shared" si="6"/>
        <v>1.0012160369478702</v>
      </c>
      <c r="G26" s="16">
        <f t="shared" si="6"/>
        <v>0.98971722365038572</v>
      </c>
      <c r="H26" s="16">
        <f t="shared" ref="H26" si="7">H12/H11</f>
        <v>0</v>
      </c>
      <c r="K26" s="16">
        <f>K12/K11</f>
        <v>1.0081354998212795</v>
      </c>
      <c r="M26" s="34"/>
      <c r="N26" s="34"/>
      <c r="O26" s="34"/>
      <c r="Q26" s="132"/>
    </row>
    <row r="27" spans="1:17" x14ac:dyDescent="0.2">
      <c r="A27" s="4">
        <f t="shared" ref="A27:A33" si="8">+A13</f>
        <v>2016</v>
      </c>
      <c r="B27" s="16">
        <f t="shared" ref="B27:G34" si="9">B13/B12</f>
        <v>1.0090620532577355</v>
      </c>
      <c r="C27" s="16">
        <f t="shared" si="9"/>
        <v>1.0008478967450185</v>
      </c>
      <c r="D27" s="16">
        <f t="shared" si="9"/>
        <v>1.0010493179433368</v>
      </c>
      <c r="E27" s="16">
        <f t="shared" si="9"/>
        <v>0.98770425497492309</v>
      </c>
      <c r="F27" s="16">
        <f t="shared" si="9"/>
        <v>1.0047723620124891</v>
      </c>
      <c r="G27" s="16">
        <f t="shared" si="9"/>
        <v>1.0181818181818181</v>
      </c>
      <c r="H27" s="16">
        <v>0</v>
      </c>
      <c r="K27" s="16">
        <f t="shared" ref="K27:K32" si="10">K13/K12</f>
        <v>1.0083616178105415</v>
      </c>
      <c r="M27" s="34"/>
      <c r="N27" s="34"/>
      <c r="O27" s="34"/>
    </row>
    <row r="28" spans="1:17" x14ac:dyDescent="0.2">
      <c r="A28" s="4">
        <f t="shared" si="8"/>
        <v>2017</v>
      </c>
      <c r="B28" s="16">
        <f t="shared" si="9"/>
        <v>1.0078800976507782</v>
      </c>
      <c r="C28" s="16">
        <f t="shared" si="9"/>
        <v>1.01176636701652</v>
      </c>
      <c r="D28" s="16">
        <f t="shared" si="9"/>
        <v>1.0010482180293501</v>
      </c>
      <c r="E28" s="16">
        <f t="shared" si="9"/>
        <v>0.98296478296478296</v>
      </c>
      <c r="F28" s="16">
        <f t="shared" si="9"/>
        <v>1.0059096459096459</v>
      </c>
      <c r="G28" s="16">
        <f t="shared" si="9"/>
        <v>1.002232142857143</v>
      </c>
      <c r="H28" s="16">
        <v>0</v>
      </c>
      <c r="K28" s="16">
        <f t="shared" si="10"/>
        <v>1.0081347861917407</v>
      </c>
    </row>
    <row r="29" spans="1:17" x14ac:dyDescent="0.2">
      <c r="A29" s="4">
        <f t="shared" si="8"/>
        <v>2018</v>
      </c>
      <c r="B29" s="16">
        <f t="shared" si="9"/>
        <v>1.0121863571567549</v>
      </c>
      <c r="C29" s="16">
        <f t="shared" si="9"/>
        <v>1.0038144857421964</v>
      </c>
      <c r="D29" s="16">
        <f t="shared" si="9"/>
        <v>1.0303664921465969</v>
      </c>
      <c r="E29" s="16">
        <f t="shared" si="9"/>
        <v>0.97283786035660724</v>
      </c>
      <c r="F29" s="16">
        <f t="shared" si="9"/>
        <v>1.0132428626917849</v>
      </c>
      <c r="G29" s="16">
        <f t="shared" si="9"/>
        <v>1.0034998409163218</v>
      </c>
      <c r="H29" s="16">
        <v>0</v>
      </c>
      <c r="K29" s="16">
        <f t="shared" si="10"/>
        <v>1.0116586617062553</v>
      </c>
      <c r="O29" s="150"/>
      <c r="P29" s="150"/>
    </row>
    <row r="30" spans="1:17" x14ac:dyDescent="0.2">
      <c r="A30" s="4">
        <f t="shared" si="8"/>
        <v>2019</v>
      </c>
      <c r="B30" s="16">
        <f t="shared" si="9"/>
        <v>1.0158959310810176</v>
      </c>
      <c r="C30" s="16">
        <f t="shared" si="9"/>
        <v>0.99949024514574347</v>
      </c>
      <c r="D30" s="16">
        <f t="shared" si="9"/>
        <v>1.0132113821138211</v>
      </c>
      <c r="E30" s="16">
        <f t="shared" si="9"/>
        <v>0.9323398424117848</v>
      </c>
      <c r="F30" s="16">
        <f t="shared" si="9"/>
        <v>1.0072596585804132</v>
      </c>
      <c r="G30" s="16">
        <f t="shared" si="9"/>
        <v>0.99619530754597341</v>
      </c>
      <c r="H30" s="16">
        <v>0</v>
      </c>
      <c r="K30" s="16">
        <f t="shared" si="10"/>
        <v>1.0146055915677579</v>
      </c>
      <c r="O30" s="150"/>
      <c r="P30" s="150"/>
    </row>
    <row r="31" spans="1:17" x14ac:dyDescent="0.2">
      <c r="A31" s="4">
        <f t="shared" si="8"/>
        <v>2020</v>
      </c>
      <c r="B31" s="16">
        <f t="shared" si="9"/>
        <v>1.0160719802286067</v>
      </c>
      <c r="C31" s="16">
        <f t="shared" si="9"/>
        <v>0.99452893175074186</v>
      </c>
      <c r="D31" s="16">
        <f t="shared" si="9"/>
        <v>0.96940822467402221</v>
      </c>
      <c r="E31" s="16">
        <f t="shared" si="9"/>
        <v>0.89454345030314164</v>
      </c>
      <c r="F31" s="16">
        <f t="shared" si="9"/>
        <v>1.0085631712277447</v>
      </c>
      <c r="G31" s="16">
        <f t="shared" si="9"/>
        <v>0.98631444939528967</v>
      </c>
      <c r="H31" s="16">
        <v>0</v>
      </c>
      <c r="K31" s="16">
        <f t="shared" si="10"/>
        <v>1.0140980171455674</v>
      </c>
      <c r="O31" s="150"/>
      <c r="P31" s="150"/>
      <c r="Q31" s="150"/>
    </row>
    <row r="32" spans="1:17" x14ac:dyDescent="0.2">
      <c r="A32" s="4">
        <f t="shared" si="8"/>
        <v>2021</v>
      </c>
      <c r="B32" s="16">
        <f t="shared" si="9"/>
        <v>1.0213817164661261</v>
      </c>
      <c r="C32" s="16">
        <f t="shared" si="9"/>
        <v>1.0274125874125875</v>
      </c>
      <c r="D32" s="16">
        <f t="shared" si="9"/>
        <v>0.86756337299534403</v>
      </c>
      <c r="E32" s="16">
        <f t="shared" si="9"/>
        <v>0.93078660915999178</v>
      </c>
      <c r="F32" s="16">
        <f t="shared" si="9"/>
        <v>1.0068513343003032</v>
      </c>
      <c r="G32" s="16">
        <f t="shared" si="9"/>
        <v>0.99064214262665384</v>
      </c>
      <c r="H32" s="16">
        <v>0</v>
      </c>
      <c r="K32" s="16">
        <f t="shared" si="10"/>
        <v>1.0207954485960107</v>
      </c>
      <c r="O32" s="150"/>
      <c r="P32" s="150"/>
      <c r="Q32" s="150"/>
    </row>
    <row r="33" spans="1:17" x14ac:dyDescent="0.2">
      <c r="A33" s="4">
        <f t="shared" si="8"/>
        <v>2022</v>
      </c>
      <c r="B33" s="16">
        <f t="shared" si="9"/>
        <v>1.0202420111033383</v>
      </c>
      <c r="C33" s="16">
        <f t="shared" si="9"/>
        <v>1.0008621472002903</v>
      </c>
      <c r="D33" s="16">
        <f t="shared" si="9"/>
        <v>0.99284436493738815</v>
      </c>
      <c r="E33" s="16">
        <f t="shared" si="9"/>
        <v>0.91328331862312451</v>
      </c>
      <c r="F33" s="16">
        <f t="shared" si="9"/>
        <v>1.0099786840317631</v>
      </c>
      <c r="G33" s="16">
        <f t="shared" si="9"/>
        <v>0.98534201954397393</v>
      </c>
      <c r="H33" s="16">
        <v>0</v>
      </c>
      <c r="K33" s="16">
        <f>K19/K18</f>
        <v>1.0186245781517662</v>
      </c>
      <c r="Q33" s="150"/>
    </row>
    <row r="34" spans="1:17" x14ac:dyDescent="0.2">
      <c r="A34" s="4">
        <v>2023</v>
      </c>
      <c r="B34" s="16">
        <f t="shared" si="9"/>
        <v>1.024567085357492</v>
      </c>
      <c r="C34" s="16">
        <f t="shared" si="9"/>
        <v>1.003944326064288</v>
      </c>
      <c r="D34" s="16">
        <f t="shared" si="9"/>
        <v>1.0234234234234234</v>
      </c>
      <c r="E34" s="16">
        <f t="shared" si="9"/>
        <v>0.99081903841507601</v>
      </c>
      <c r="F34" s="16">
        <f t="shared" si="9"/>
        <v>1.0208386483289653</v>
      </c>
      <c r="G34" s="16">
        <f t="shared" si="9"/>
        <v>0.79404958677685944</v>
      </c>
      <c r="H34" s="16">
        <v>0</v>
      </c>
      <c r="K34" s="16">
        <f>K20/K19</f>
        <v>1.0230338021550132</v>
      </c>
      <c r="Q34" s="150"/>
    </row>
    <row r="35" spans="1:17" x14ac:dyDescent="0.2">
      <c r="A35" s="4"/>
      <c r="B35" s="16"/>
      <c r="C35" s="16"/>
      <c r="D35" s="16"/>
      <c r="E35" s="16"/>
      <c r="F35" s="16"/>
      <c r="G35" s="16"/>
      <c r="H35" s="16"/>
      <c r="K35" s="16"/>
      <c r="O35" s="150"/>
      <c r="P35" s="150"/>
      <c r="Q35" s="150"/>
    </row>
    <row r="36" spans="1:17" x14ac:dyDescent="0.2">
      <c r="A36" s="4"/>
      <c r="B36" s="16"/>
      <c r="C36" s="16"/>
      <c r="D36" s="16"/>
      <c r="E36" s="16"/>
      <c r="F36" s="16"/>
      <c r="G36" s="16"/>
      <c r="H36" s="16"/>
      <c r="K36" s="16"/>
      <c r="O36" s="150"/>
      <c r="P36" s="150"/>
      <c r="Q36" s="150"/>
    </row>
    <row r="37" spans="1:17" x14ac:dyDescent="0.2">
      <c r="A37" s="4"/>
      <c r="B37" s="16"/>
      <c r="C37" s="16"/>
      <c r="D37" s="16"/>
      <c r="E37" s="16"/>
      <c r="F37" s="16"/>
      <c r="G37" s="16"/>
      <c r="H37" s="16"/>
      <c r="K37" s="16"/>
    </row>
    <row r="38" spans="1:17" x14ac:dyDescent="0.2">
      <c r="K38" s="6"/>
    </row>
    <row r="39" spans="1:17" x14ac:dyDescent="0.2">
      <c r="A39" t="s">
        <v>45</v>
      </c>
      <c r="B39" s="49">
        <f>B41</f>
        <v>1.0150128305677066</v>
      </c>
      <c r="C39" s="49">
        <f>C41</f>
        <v>1.0063699566780215</v>
      </c>
      <c r="D39" s="49">
        <f>D41</f>
        <v>0.98323800754510748</v>
      </c>
      <c r="E39" s="49">
        <f>E41</f>
        <v>0.95460216199151982</v>
      </c>
      <c r="F39" s="49">
        <f>+F41</f>
        <v>1.0087229745443582</v>
      </c>
      <c r="G39" s="49">
        <f>+G41</f>
        <v>0.97163625798477393</v>
      </c>
      <c r="H39" s="49">
        <v>0</v>
      </c>
      <c r="I39" s="40" t="s">
        <v>58</v>
      </c>
      <c r="K39" s="49">
        <f>K41</f>
        <v>1.0141469146416535</v>
      </c>
    </row>
    <row r="40" spans="1:17" x14ac:dyDescent="0.2">
      <c r="B40" s="17"/>
      <c r="C40" s="17"/>
      <c r="D40" s="17"/>
      <c r="E40" s="17"/>
      <c r="F40" s="17"/>
      <c r="G40" s="17"/>
      <c r="H40" s="17"/>
      <c r="K40" s="17"/>
    </row>
    <row r="41" spans="1:17" x14ac:dyDescent="0.2">
      <c r="A41" t="s">
        <v>10</v>
      </c>
      <c r="B41" s="17">
        <f>IF(B20="",0,GEOMEAN(B26:B34))</f>
        <v>1.0150128305677066</v>
      </c>
      <c r="C41" s="17">
        <f t="shared" ref="C41:G41" si="11">IF(C20="",0,GEOMEAN(C26:C34))</f>
        <v>1.0063699566780215</v>
      </c>
      <c r="D41" s="17">
        <f t="shared" si="11"/>
        <v>0.98323800754510748</v>
      </c>
      <c r="E41" s="17">
        <f t="shared" si="11"/>
        <v>0.95460216199151982</v>
      </c>
      <c r="F41" s="17">
        <f t="shared" si="11"/>
        <v>1.0087229745443582</v>
      </c>
      <c r="G41" s="17">
        <f t="shared" si="11"/>
        <v>0.97163625798477393</v>
      </c>
      <c r="H41" s="17">
        <v>0</v>
      </c>
      <c r="K41" s="17">
        <f>IF(K20="",0,GEOMEAN(K26:K34))</f>
        <v>1.0141469146416535</v>
      </c>
    </row>
    <row r="42" spans="1:17" x14ac:dyDescent="0.2">
      <c r="A42" s="4"/>
      <c r="B42" s="17"/>
      <c r="C42" s="17"/>
      <c r="D42" s="17"/>
      <c r="E42" s="17"/>
      <c r="F42" s="17"/>
      <c r="G42" s="17"/>
      <c r="H42" s="17"/>
    </row>
    <row r="43" spans="1:17" x14ac:dyDescent="0.2">
      <c r="A43" s="3">
        <v>45284</v>
      </c>
      <c r="B43" s="42">
        <f>Inputs!G143</f>
        <v>23761</v>
      </c>
      <c r="C43" s="42">
        <f>Inputs!I143</f>
        <v>1847</v>
      </c>
      <c r="D43" s="42">
        <f>Inputs!L143</f>
        <v>145</v>
      </c>
      <c r="E43" s="42">
        <f>Inputs!O143</f>
        <v>341</v>
      </c>
      <c r="F43" s="42">
        <f>Inputs!R143</f>
        <v>7272</v>
      </c>
      <c r="G43" s="42">
        <f>Inputs!U143</f>
        <v>196</v>
      </c>
      <c r="H43"/>
    </row>
    <row r="44" spans="1:17" x14ac:dyDescent="0.2">
      <c r="A44" s="3">
        <v>45315</v>
      </c>
      <c r="B44" s="42">
        <f>Inputs!G144</f>
        <v>23784</v>
      </c>
      <c r="C44" s="42">
        <f>Inputs!I144</f>
        <v>1851</v>
      </c>
      <c r="D44" s="42">
        <f>Inputs!L144</f>
        <v>146</v>
      </c>
      <c r="E44" s="42">
        <f>Inputs!O144</f>
        <v>341</v>
      </c>
      <c r="F44" s="42">
        <f>Inputs!R144</f>
        <v>7272</v>
      </c>
      <c r="G44" s="42">
        <f>Inputs!U144</f>
        <v>197</v>
      </c>
      <c r="H44"/>
    </row>
    <row r="45" spans="1:17" x14ac:dyDescent="0.2">
      <c r="A45" s="3">
        <v>45346</v>
      </c>
      <c r="B45" s="42">
        <f>Inputs!G145</f>
        <v>23795</v>
      </c>
      <c r="C45" s="42">
        <f>Inputs!I145</f>
        <v>1852</v>
      </c>
      <c r="D45" s="42">
        <f>Inputs!L145</f>
        <v>146</v>
      </c>
      <c r="E45" s="42">
        <f>Inputs!O145</f>
        <v>341</v>
      </c>
      <c r="F45" s="42">
        <f>Inputs!R145</f>
        <v>7272</v>
      </c>
      <c r="G45" s="42">
        <f>Inputs!U145</f>
        <v>197</v>
      </c>
      <c r="H45"/>
    </row>
    <row r="46" spans="1:17" x14ac:dyDescent="0.2">
      <c r="A46" s="3">
        <v>45375</v>
      </c>
      <c r="B46" s="42">
        <f>Inputs!G146</f>
        <v>23793</v>
      </c>
      <c r="C46" s="42">
        <f>Inputs!I146</f>
        <v>1850</v>
      </c>
      <c r="D46" s="42">
        <f>Inputs!L146</f>
        <v>148</v>
      </c>
      <c r="E46" s="42">
        <f>Inputs!O146</f>
        <v>341</v>
      </c>
      <c r="F46" s="42">
        <f>Inputs!R146</f>
        <v>7274</v>
      </c>
      <c r="G46" s="42">
        <f>Inputs!U146</f>
        <v>197</v>
      </c>
      <c r="H46"/>
    </row>
    <row r="47" spans="1:17" x14ac:dyDescent="0.2">
      <c r="A47" s="3">
        <v>45406</v>
      </c>
      <c r="B47" s="42">
        <f>Inputs!G147</f>
        <v>23812</v>
      </c>
      <c r="C47" s="42">
        <f>Inputs!I147</f>
        <v>1861</v>
      </c>
      <c r="D47" s="42">
        <f>Inputs!L147</f>
        <v>149</v>
      </c>
      <c r="E47" s="42">
        <f>Inputs!O147</f>
        <v>341</v>
      </c>
      <c r="F47" s="42">
        <f>Inputs!R147</f>
        <v>7274</v>
      </c>
      <c r="G47" s="42">
        <f>Inputs!U147</f>
        <v>196</v>
      </c>
      <c r="H47"/>
    </row>
    <row r="48" spans="1:17" x14ac:dyDescent="0.2">
      <c r="A48" s="3">
        <v>45436</v>
      </c>
      <c r="B48" s="42">
        <f>Inputs!G148</f>
        <v>23832</v>
      </c>
      <c r="C48" s="42">
        <f>Inputs!I148</f>
        <v>1861</v>
      </c>
      <c r="D48" s="42">
        <f>Inputs!L148</f>
        <v>148</v>
      </c>
      <c r="E48" s="42">
        <f>Inputs!O148</f>
        <v>341</v>
      </c>
      <c r="F48" s="42">
        <f>Inputs!R148</f>
        <v>7320</v>
      </c>
      <c r="G48" s="42">
        <f>Inputs!U148</f>
        <v>196</v>
      </c>
      <c r="H48"/>
    </row>
    <row r="49" spans="1:8" x14ac:dyDescent="0.2">
      <c r="A49" s="3">
        <v>45467</v>
      </c>
      <c r="B49" s="42">
        <f>Inputs!G149</f>
        <v>23864</v>
      </c>
      <c r="C49" s="42">
        <f>Inputs!I149</f>
        <v>1855</v>
      </c>
      <c r="D49" s="42">
        <f>Inputs!L149</f>
        <v>148</v>
      </c>
      <c r="E49" s="42">
        <f>Inputs!O149</f>
        <v>341</v>
      </c>
      <c r="F49" s="42">
        <f>Inputs!R149</f>
        <v>7320</v>
      </c>
      <c r="G49" s="42">
        <f>Inputs!U149</f>
        <v>196</v>
      </c>
      <c r="H49"/>
    </row>
    <row r="50" spans="1:8" x14ac:dyDescent="0.2">
      <c r="A50" s="3">
        <v>45497</v>
      </c>
      <c r="B50" s="42">
        <f>Inputs!G150</f>
        <v>23908</v>
      </c>
      <c r="C50" s="42">
        <f>Inputs!I150</f>
        <v>1859</v>
      </c>
      <c r="D50" s="42">
        <f>Inputs!L150</f>
        <v>148</v>
      </c>
      <c r="E50" s="42">
        <f>Inputs!O150</f>
        <v>341</v>
      </c>
      <c r="F50" s="42">
        <f>Inputs!R150</f>
        <v>7320</v>
      </c>
      <c r="G50" s="42">
        <f>Inputs!U150</f>
        <v>196</v>
      </c>
      <c r="H50"/>
    </row>
    <row r="51" spans="1:8" x14ac:dyDescent="0.2">
      <c r="A51" s="3">
        <v>45528</v>
      </c>
      <c r="B51" s="42">
        <f>Inputs!G151</f>
        <v>24018</v>
      </c>
      <c r="C51" s="42">
        <f>Inputs!I151</f>
        <v>1871</v>
      </c>
      <c r="D51" s="42">
        <f>Inputs!L151</f>
        <v>151</v>
      </c>
      <c r="E51" s="42">
        <f>Inputs!O151</f>
        <v>341</v>
      </c>
      <c r="F51" s="42">
        <f>Inputs!R151</f>
        <v>7329</v>
      </c>
      <c r="G51" s="42">
        <f>Inputs!U151</f>
        <v>196</v>
      </c>
      <c r="H51"/>
    </row>
    <row r="52" spans="1:8" x14ac:dyDescent="0.2">
      <c r="A52" s="3">
        <v>45559</v>
      </c>
      <c r="B52" s="42">
        <f>Inputs!G152</f>
        <v>24080</v>
      </c>
      <c r="C52" s="42">
        <f>Inputs!I152</f>
        <v>1869</v>
      </c>
      <c r="D52" s="42">
        <f>Inputs!L152</f>
        <v>150</v>
      </c>
      <c r="E52" s="42">
        <f>Inputs!O152</f>
        <v>340</v>
      </c>
      <c r="F52" s="42">
        <f>Inputs!R152</f>
        <v>7329</v>
      </c>
      <c r="G52" s="42">
        <f>Inputs!U152</f>
        <v>196</v>
      </c>
      <c r="H52"/>
    </row>
    <row r="53" spans="1:8" x14ac:dyDescent="0.2">
      <c r="A53" s="3"/>
      <c r="B53"/>
      <c r="C53"/>
      <c r="D53"/>
      <c r="E53"/>
      <c r="F53"/>
      <c r="G53"/>
      <c r="H53"/>
    </row>
    <row r="54" spans="1:8" x14ac:dyDescent="0.2">
      <c r="A54" s="3">
        <v>45315</v>
      </c>
      <c r="B54" s="173">
        <f>B44/B43</f>
        <v>1.0009679727284204</v>
      </c>
      <c r="C54" s="173">
        <f t="shared" ref="C54:G54" si="12">C44/C43</f>
        <v>1.0021656740660532</v>
      </c>
      <c r="D54" s="173">
        <f t="shared" si="12"/>
        <v>1.0068965517241379</v>
      </c>
      <c r="E54" s="173">
        <f t="shared" si="12"/>
        <v>1</v>
      </c>
      <c r="F54" s="173">
        <f t="shared" si="12"/>
        <v>1</v>
      </c>
      <c r="G54" s="173">
        <f t="shared" si="12"/>
        <v>1.0051020408163265</v>
      </c>
      <c r="H54"/>
    </row>
    <row r="55" spans="1:8" x14ac:dyDescent="0.2">
      <c r="A55" s="3">
        <v>45346</v>
      </c>
      <c r="B55" s="173">
        <f t="shared" ref="B55:G62" si="13">B45/B44</f>
        <v>1.0004624957954928</v>
      </c>
      <c r="C55" s="173">
        <f t="shared" si="13"/>
        <v>1.0005402485143167</v>
      </c>
      <c r="D55" s="173">
        <f t="shared" si="13"/>
        <v>1</v>
      </c>
      <c r="E55" s="173">
        <f t="shared" si="13"/>
        <v>1</v>
      </c>
      <c r="F55" s="173">
        <f t="shared" si="13"/>
        <v>1</v>
      </c>
      <c r="G55" s="173">
        <f t="shared" si="13"/>
        <v>1</v>
      </c>
      <c r="H55"/>
    </row>
    <row r="56" spans="1:8" x14ac:dyDescent="0.2">
      <c r="A56" s="3">
        <v>45375</v>
      </c>
      <c r="B56" s="173">
        <f t="shared" si="13"/>
        <v>0.99991594872872447</v>
      </c>
      <c r="C56" s="173">
        <f t="shared" si="13"/>
        <v>0.9989200863930886</v>
      </c>
      <c r="D56" s="173">
        <f t="shared" si="13"/>
        <v>1.0136986301369864</v>
      </c>
      <c r="E56" s="173">
        <f t="shared" si="13"/>
        <v>1</v>
      </c>
      <c r="F56" s="173">
        <f t="shared" si="13"/>
        <v>1.0002750275027503</v>
      </c>
      <c r="G56" s="173">
        <f t="shared" si="13"/>
        <v>1</v>
      </c>
      <c r="H56"/>
    </row>
    <row r="57" spans="1:8" x14ac:dyDescent="0.2">
      <c r="A57" s="3">
        <v>45406</v>
      </c>
      <c r="B57" s="173">
        <f t="shared" si="13"/>
        <v>1.0007985541966125</v>
      </c>
      <c r="C57" s="173">
        <f t="shared" si="13"/>
        <v>1.0059459459459459</v>
      </c>
      <c r="D57" s="173">
        <f t="shared" si="13"/>
        <v>1.0067567567567568</v>
      </c>
      <c r="E57" s="173">
        <f t="shared" si="13"/>
        <v>1</v>
      </c>
      <c r="F57" s="173">
        <f t="shared" si="13"/>
        <v>1</v>
      </c>
      <c r="G57" s="173">
        <f t="shared" si="13"/>
        <v>0.99492385786802029</v>
      </c>
      <c r="H57"/>
    </row>
    <row r="58" spans="1:8" x14ac:dyDescent="0.2">
      <c r="A58" s="3">
        <v>45436</v>
      </c>
      <c r="B58" s="173">
        <f t="shared" si="13"/>
        <v>1.0008399126490846</v>
      </c>
      <c r="C58" s="173">
        <f t="shared" si="13"/>
        <v>1</v>
      </c>
      <c r="D58" s="173">
        <f t="shared" si="13"/>
        <v>0.99328859060402686</v>
      </c>
      <c r="E58" s="173">
        <f t="shared" si="13"/>
        <v>1</v>
      </c>
      <c r="F58" s="173">
        <f t="shared" si="13"/>
        <v>1.0063238933186693</v>
      </c>
      <c r="G58" s="173">
        <f t="shared" si="13"/>
        <v>1</v>
      </c>
      <c r="H58"/>
    </row>
    <row r="59" spans="1:8" x14ac:dyDescent="0.2">
      <c r="A59" s="3">
        <v>45467</v>
      </c>
      <c r="B59" s="173">
        <f t="shared" si="13"/>
        <v>1.0013427324605573</v>
      </c>
      <c r="C59" s="173">
        <f t="shared" si="13"/>
        <v>0.99677592692101025</v>
      </c>
      <c r="D59" s="173">
        <f t="shared" si="13"/>
        <v>1</v>
      </c>
      <c r="E59" s="173">
        <f t="shared" si="13"/>
        <v>1</v>
      </c>
      <c r="F59" s="173">
        <f t="shared" si="13"/>
        <v>1</v>
      </c>
      <c r="G59" s="173">
        <f>G49/G48</f>
        <v>1</v>
      </c>
      <c r="H59"/>
    </row>
    <row r="60" spans="1:8" x14ac:dyDescent="0.2">
      <c r="A60" s="3">
        <v>45497</v>
      </c>
      <c r="B60" s="173">
        <f t="shared" si="13"/>
        <v>1.0018437814280925</v>
      </c>
      <c r="C60" s="173">
        <f t="shared" si="13"/>
        <v>1.0021563342318058</v>
      </c>
      <c r="D60" s="173">
        <f t="shared" si="13"/>
        <v>1</v>
      </c>
      <c r="E60" s="173">
        <f t="shared" si="13"/>
        <v>1</v>
      </c>
      <c r="F60" s="173">
        <f t="shared" si="13"/>
        <v>1</v>
      </c>
      <c r="G60" s="173">
        <f t="shared" si="13"/>
        <v>1</v>
      </c>
      <c r="H60"/>
    </row>
    <row r="61" spans="1:8" x14ac:dyDescent="0.2">
      <c r="A61" s="3">
        <v>45528</v>
      </c>
      <c r="B61" s="173">
        <f t="shared" si="13"/>
        <v>1.0046009703864816</v>
      </c>
      <c r="C61" s="173">
        <f t="shared" si="13"/>
        <v>1.0064550833781603</v>
      </c>
      <c r="D61" s="173">
        <f t="shared" si="13"/>
        <v>1.0202702702702702</v>
      </c>
      <c r="E61" s="173">
        <f t="shared" si="13"/>
        <v>1</v>
      </c>
      <c r="F61" s="173">
        <f t="shared" si="13"/>
        <v>1.0012295081967213</v>
      </c>
      <c r="G61" s="173">
        <f t="shared" si="13"/>
        <v>1</v>
      </c>
      <c r="H61"/>
    </row>
    <row r="62" spans="1:8" x14ac:dyDescent="0.2">
      <c r="A62" s="3">
        <v>45559</v>
      </c>
      <c r="B62" s="173">
        <f t="shared" si="13"/>
        <v>1.0025813972853692</v>
      </c>
      <c r="C62" s="173">
        <f t="shared" si="13"/>
        <v>0.99893105291288076</v>
      </c>
      <c r="D62" s="173">
        <f t="shared" si="13"/>
        <v>0.99337748344370858</v>
      </c>
      <c r="E62" s="173">
        <f t="shared" si="13"/>
        <v>0.99706744868035191</v>
      </c>
      <c r="F62" s="173">
        <f t="shared" si="13"/>
        <v>1</v>
      </c>
      <c r="G62" s="173">
        <f t="shared" si="13"/>
        <v>1</v>
      </c>
      <c r="H62"/>
    </row>
    <row r="63" spans="1:8" x14ac:dyDescent="0.2">
      <c r="A63" s="3"/>
      <c r="B63"/>
      <c r="C63"/>
      <c r="D63"/>
      <c r="E63"/>
      <c r="F63"/>
      <c r="G63"/>
      <c r="H63"/>
    </row>
    <row r="64" spans="1:8" x14ac:dyDescent="0.2">
      <c r="A64" s="3" t="s">
        <v>141</v>
      </c>
      <c r="B64" s="173">
        <f>GEOMEAN(B54:B62)</f>
        <v>1.0014828805249187</v>
      </c>
      <c r="C64" s="173">
        <f t="shared" ref="C64:G64" si="14">GEOMEAN(C54:C62)</f>
        <v>1.0013165133167348</v>
      </c>
      <c r="D64" s="173">
        <f t="shared" si="14"/>
        <v>1.0037739425297743</v>
      </c>
      <c r="E64" s="173">
        <f t="shared" si="14"/>
        <v>0.99967373549436456</v>
      </c>
      <c r="F64" s="173">
        <f t="shared" si="14"/>
        <v>1.000867901305067</v>
      </c>
      <c r="G64" s="173">
        <f t="shared" si="14"/>
        <v>1</v>
      </c>
      <c r="H64"/>
    </row>
    <row r="65" spans="1:8" x14ac:dyDescent="0.2">
      <c r="A65" s="3"/>
      <c r="B65"/>
      <c r="C65"/>
      <c r="D65"/>
      <c r="E65"/>
      <c r="F65"/>
      <c r="G65"/>
      <c r="H65"/>
    </row>
    <row r="66" spans="1:8" x14ac:dyDescent="0.2">
      <c r="A66" s="3">
        <v>45315</v>
      </c>
      <c r="B66" s="183">
        <f>B44</f>
        <v>23784</v>
      </c>
      <c r="C66" s="183">
        <f t="shared" ref="C66:G66" si="15">C44</f>
        <v>1851</v>
      </c>
      <c r="D66" s="183">
        <f t="shared" si="15"/>
        <v>146</v>
      </c>
      <c r="E66" s="183">
        <f t="shared" si="15"/>
        <v>341</v>
      </c>
      <c r="F66" s="183">
        <f t="shared" si="15"/>
        <v>7272</v>
      </c>
      <c r="G66" s="183">
        <f t="shared" si="15"/>
        <v>197</v>
      </c>
      <c r="H66"/>
    </row>
    <row r="67" spans="1:8" x14ac:dyDescent="0.2">
      <c r="A67" s="3">
        <v>45346</v>
      </c>
      <c r="B67" s="183">
        <f t="shared" ref="B67:G74" si="16">B45</f>
        <v>23795</v>
      </c>
      <c r="C67" s="183">
        <f t="shared" si="16"/>
        <v>1852</v>
      </c>
      <c r="D67" s="183">
        <f t="shared" si="16"/>
        <v>146</v>
      </c>
      <c r="E67" s="183">
        <f t="shared" si="16"/>
        <v>341</v>
      </c>
      <c r="F67" s="183">
        <f t="shared" si="16"/>
        <v>7272</v>
      </c>
      <c r="G67" s="183">
        <f t="shared" si="16"/>
        <v>197</v>
      </c>
      <c r="H67"/>
    </row>
    <row r="68" spans="1:8" x14ac:dyDescent="0.2">
      <c r="A68" s="3">
        <v>45375</v>
      </c>
      <c r="B68" s="183">
        <f t="shared" si="16"/>
        <v>23793</v>
      </c>
      <c r="C68" s="183">
        <f t="shared" si="16"/>
        <v>1850</v>
      </c>
      <c r="D68" s="183">
        <f t="shared" si="16"/>
        <v>148</v>
      </c>
      <c r="E68" s="183">
        <f t="shared" si="16"/>
        <v>341</v>
      </c>
      <c r="F68" s="183">
        <f t="shared" si="16"/>
        <v>7274</v>
      </c>
      <c r="G68" s="183">
        <f t="shared" si="16"/>
        <v>197</v>
      </c>
      <c r="H68"/>
    </row>
    <row r="69" spans="1:8" x14ac:dyDescent="0.2">
      <c r="A69" s="3">
        <v>45406</v>
      </c>
      <c r="B69" s="183">
        <f t="shared" si="16"/>
        <v>23812</v>
      </c>
      <c r="C69" s="183">
        <f t="shared" si="16"/>
        <v>1861</v>
      </c>
      <c r="D69" s="183">
        <f t="shared" si="16"/>
        <v>149</v>
      </c>
      <c r="E69" s="183">
        <f t="shared" si="16"/>
        <v>341</v>
      </c>
      <c r="F69" s="183">
        <f t="shared" si="16"/>
        <v>7274</v>
      </c>
      <c r="G69" s="183">
        <f t="shared" si="16"/>
        <v>196</v>
      </c>
      <c r="H69"/>
    </row>
    <row r="70" spans="1:8" x14ac:dyDescent="0.2">
      <c r="A70" s="3">
        <v>45436</v>
      </c>
      <c r="B70" s="183">
        <f t="shared" si="16"/>
        <v>23832</v>
      </c>
      <c r="C70" s="183">
        <f t="shared" si="16"/>
        <v>1861</v>
      </c>
      <c r="D70" s="183">
        <f t="shared" si="16"/>
        <v>148</v>
      </c>
      <c r="E70" s="183">
        <f t="shared" si="16"/>
        <v>341</v>
      </c>
      <c r="F70" s="183">
        <f t="shared" si="16"/>
        <v>7320</v>
      </c>
      <c r="G70" s="183">
        <f t="shared" si="16"/>
        <v>196</v>
      </c>
      <c r="H70"/>
    </row>
    <row r="71" spans="1:8" x14ac:dyDescent="0.2">
      <c r="A71" s="3">
        <v>45467</v>
      </c>
      <c r="B71" s="183">
        <f t="shared" si="16"/>
        <v>23864</v>
      </c>
      <c r="C71" s="183">
        <f t="shared" si="16"/>
        <v>1855</v>
      </c>
      <c r="D71" s="183">
        <f t="shared" si="16"/>
        <v>148</v>
      </c>
      <c r="E71" s="183">
        <f t="shared" si="16"/>
        <v>341</v>
      </c>
      <c r="F71" s="183">
        <f t="shared" si="16"/>
        <v>7320</v>
      </c>
      <c r="G71" s="183">
        <f t="shared" si="16"/>
        <v>196</v>
      </c>
      <c r="H71"/>
    </row>
    <row r="72" spans="1:8" x14ac:dyDescent="0.2">
      <c r="A72" s="3">
        <v>45497</v>
      </c>
      <c r="B72" s="183">
        <f t="shared" si="16"/>
        <v>23908</v>
      </c>
      <c r="C72" s="183">
        <f t="shared" si="16"/>
        <v>1859</v>
      </c>
      <c r="D72" s="183">
        <f t="shared" si="16"/>
        <v>148</v>
      </c>
      <c r="E72" s="183">
        <f t="shared" si="16"/>
        <v>341</v>
      </c>
      <c r="F72" s="183">
        <f t="shared" si="16"/>
        <v>7320</v>
      </c>
      <c r="G72" s="183">
        <f t="shared" si="16"/>
        <v>196</v>
      </c>
      <c r="H72"/>
    </row>
    <row r="73" spans="1:8" x14ac:dyDescent="0.2">
      <c r="A73" s="3">
        <v>45528</v>
      </c>
      <c r="B73" s="183">
        <f t="shared" si="16"/>
        <v>24018</v>
      </c>
      <c r="C73" s="183">
        <f t="shared" si="16"/>
        <v>1871</v>
      </c>
      <c r="D73" s="183">
        <f t="shared" si="16"/>
        <v>151</v>
      </c>
      <c r="E73" s="183">
        <f t="shared" si="16"/>
        <v>341</v>
      </c>
      <c r="F73" s="183">
        <f t="shared" si="16"/>
        <v>7329</v>
      </c>
      <c r="G73" s="183">
        <f t="shared" si="16"/>
        <v>196</v>
      </c>
      <c r="H73"/>
    </row>
    <row r="74" spans="1:8" x14ac:dyDescent="0.2">
      <c r="A74" s="3">
        <v>45559</v>
      </c>
      <c r="B74" s="183">
        <f t="shared" si="16"/>
        <v>24080</v>
      </c>
      <c r="C74" s="183">
        <f t="shared" si="16"/>
        <v>1869</v>
      </c>
      <c r="D74" s="183">
        <f t="shared" si="16"/>
        <v>150</v>
      </c>
      <c r="E74" s="183">
        <f t="shared" si="16"/>
        <v>340</v>
      </c>
      <c r="F74" s="183">
        <f t="shared" si="16"/>
        <v>7329</v>
      </c>
      <c r="G74" s="183">
        <f t="shared" si="16"/>
        <v>196</v>
      </c>
      <c r="H74"/>
    </row>
    <row r="75" spans="1:8" x14ac:dyDescent="0.2">
      <c r="A75" s="3">
        <v>45589</v>
      </c>
      <c r="B75" s="196">
        <f>B74*B$64</f>
        <v>24115.707763040042</v>
      </c>
      <c r="C75" s="196">
        <f t="shared" ref="C75:G77" si="17">C74*C$64</f>
        <v>1871.4605633889773</v>
      </c>
      <c r="D75" s="196">
        <f t="shared" si="17"/>
        <v>150.56609137946614</v>
      </c>
      <c r="E75" s="196">
        <f t="shared" si="17"/>
        <v>339.88907006808392</v>
      </c>
      <c r="F75" s="196">
        <f t="shared" si="17"/>
        <v>7335.3608486648354</v>
      </c>
      <c r="G75" s="196">
        <f t="shared" si="17"/>
        <v>196</v>
      </c>
      <c r="H75"/>
    </row>
    <row r="76" spans="1:8" x14ac:dyDescent="0.2">
      <c r="A76" s="3">
        <v>45620</v>
      </c>
      <c r="B76" s="196">
        <f t="shared" ref="B76:B77" si="18">B75*B$64</f>
        <v>24151.468476426486</v>
      </c>
      <c r="C76" s="196">
        <f t="shared" si="17"/>
        <v>1873.924366142423</v>
      </c>
      <c r="D76" s="196">
        <f t="shared" si="17"/>
        <v>151.13431915526499</v>
      </c>
      <c r="E76" s="196">
        <f t="shared" si="17"/>
        <v>339.77817632866726</v>
      </c>
      <c r="F76" s="196">
        <f t="shared" si="17"/>
        <v>7341.7272179185293</v>
      </c>
      <c r="G76" s="196">
        <f>G75*G$64</f>
        <v>196</v>
      </c>
      <c r="H76"/>
    </row>
    <row r="77" spans="1:8" x14ac:dyDescent="0.2">
      <c r="A77" s="3">
        <v>45650</v>
      </c>
      <c r="B77" s="196">
        <f t="shared" si="18"/>
        <v>24187.282218678367</v>
      </c>
      <c r="C77" s="196">
        <f t="shared" si="17"/>
        <v>1876.3914125250033</v>
      </c>
      <c r="D77" s="196">
        <f t="shared" si="17"/>
        <v>151.70469139003353</v>
      </c>
      <c r="E77" s="196">
        <f t="shared" si="17"/>
        <v>339.66731876994169</v>
      </c>
      <c r="F77" s="196">
        <f>F76*F$64</f>
        <v>7348.099112552407</v>
      </c>
      <c r="G77" s="196">
        <f t="shared" si="17"/>
        <v>196</v>
      </c>
      <c r="H77"/>
    </row>
    <row r="78" spans="1:8" x14ac:dyDescent="0.2">
      <c r="B78"/>
      <c r="C78"/>
      <c r="D78"/>
      <c r="E78"/>
      <c r="F78"/>
      <c r="G78"/>
      <c r="H78"/>
    </row>
    <row r="79" spans="1:8" x14ac:dyDescent="0.2">
      <c r="A79" s="40" t="s">
        <v>142</v>
      </c>
      <c r="B79" s="42">
        <f>AVERAGE(B66:B77)</f>
        <v>23945.038204845408</v>
      </c>
      <c r="C79" s="42">
        <f t="shared" ref="C79:G79" si="19">AVERAGE(C66:C77)</f>
        <v>1862.564695171367</v>
      </c>
      <c r="D79" s="42">
        <f t="shared" si="19"/>
        <v>148.95042516039706</v>
      </c>
      <c r="E79" s="42">
        <f t="shared" si="19"/>
        <v>340.61121376389104</v>
      </c>
      <c r="F79" s="42">
        <f t="shared" si="19"/>
        <v>7311.2655982613132</v>
      </c>
      <c r="G79" s="42">
        <f t="shared" si="19"/>
        <v>196.25</v>
      </c>
      <c r="H79"/>
    </row>
    <row r="80" spans="1:8" x14ac:dyDescent="0.2">
      <c r="B80"/>
      <c r="C80"/>
      <c r="D80"/>
      <c r="E80"/>
      <c r="F80"/>
      <c r="G80"/>
      <c r="H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</sheetData>
  <mergeCells count="2">
    <mergeCell ref="B1:G1"/>
    <mergeCell ref="M18:N18"/>
  </mergeCells>
  <phoneticPr fontId="0" type="noConversion"/>
  <pageMargins left="0.38" right="0.75" top="0.73" bottom="0.74" header="0.5" footer="0.5"/>
  <pageSetup scale="83" orientation="landscape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N55"/>
  <sheetViews>
    <sheetView workbookViewId="0">
      <selection activeCell="K22" sqref="K22"/>
    </sheetView>
  </sheetViews>
  <sheetFormatPr defaultRowHeight="12.75" x14ac:dyDescent="0.2"/>
  <cols>
    <col min="1" max="1" width="11" customWidth="1"/>
    <col min="2" max="2" width="14.140625" style="6" bestFit="1" customWidth="1"/>
    <col min="3" max="5" width="12.5703125" style="6" customWidth="1"/>
    <col min="6" max="6" width="13.42578125" customWidth="1"/>
    <col min="7" max="7" width="13" customWidth="1"/>
    <col min="8" max="8" width="13.42578125" customWidth="1"/>
    <col min="9" max="9" width="12.5703125" bestFit="1" customWidth="1"/>
    <col min="11" max="11" width="12.42578125" style="6" bestFit="1" customWidth="1"/>
    <col min="12" max="12" width="13.42578125" bestFit="1" customWidth="1"/>
    <col min="13" max="14" width="9.140625" style="6" customWidth="1"/>
  </cols>
  <sheetData>
    <row r="1" spans="1:11" ht="38.25" x14ac:dyDescent="0.2">
      <c r="B1" s="7" t="str">
        <f>'Rate Class Customer Model'!D2</f>
        <v>General Service &gt; 50 to 4999 kW</v>
      </c>
      <c r="C1" s="7" t="str">
        <f>'Rate Class Customer Model'!E2</f>
        <v xml:space="preserve">Sentinel </v>
      </c>
      <c r="D1" s="7" t="str">
        <f>'Rate Class Customer Model'!F2</f>
        <v xml:space="preserve">Street Lighting </v>
      </c>
      <c r="E1" s="104" t="str">
        <f>'Rate Class Energy Model'!N2</f>
        <v>Large User</v>
      </c>
      <c r="F1" s="46" t="s">
        <v>7</v>
      </c>
      <c r="K1" s="7"/>
    </row>
    <row r="2" spans="1:11" x14ac:dyDescent="0.2">
      <c r="A2" s="21">
        <f>+'Rate Class Customer Model'!A11</f>
        <v>2014</v>
      </c>
      <c r="B2" s="37">
        <f>SUMIF(Inputs!$A:$A,'Rate Class Load Model'!$A2,Inputs!$K:$K)</f>
        <v>402375</v>
      </c>
      <c r="C2" s="37">
        <f>SUMIF(Inputs!$A:$A,'Rate Class Load Model'!$A2,Inputs!$N:$N)</f>
        <v>2120</v>
      </c>
      <c r="D2" s="37">
        <f>SUMIF(Inputs!$A:$A,'Rate Class Load Model'!$A2,Inputs!$Q:$Q)</f>
        <v>6992</v>
      </c>
      <c r="E2" s="37">
        <f>SUMIF(Inputs!$A:$A,'Rate Class Load Model'!$A2,Inputs!$W:$W)</f>
        <v>59144</v>
      </c>
      <c r="F2" s="43">
        <f>SUM(B2:E2)</f>
        <v>470631</v>
      </c>
      <c r="G2" s="40" t="s">
        <v>62</v>
      </c>
    </row>
    <row r="3" spans="1:11" x14ac:dyDescent="0.2">
      <c r="A3" s="21">
        <f>+'Rate Class Customer Model'!A12</f>
        <v>2015</v>
      </c>
      <c r="B3" s="37">
        <f>SUMIF(Inputs!$A:$A,'Rate Class Load Model'!$A3,Inputs!$K:$K)</f>
        <v>402768</v>
      </c>
      <c r="C3" s="37">
        <f>SUMIF(Inputs!$A:$A,'Rate Class Load Model'!$A3,Inputs!$N:$N)</f>
        <v>2077</v>
      </c>
      <c r="D3" s="37">
        <f>SUMIF(Inputs!$A:$A,'Rate Class Load Model'!$A3,Inputs!$Q:$Q)</f>
        <v>6476</v>
      </c>
      <c r="E3" s="37">
        <f>SUMIF(Inputs!$A:$A,'Rate Class Load Model'!$A3,Inputs!$W:$W)</f>
        <v>479</v>
      </c>
      <c r="F3" s="43">
        <f t="shared" ref="F3:F12" si="0">SUM(B3:E3)</f>
        <v>411800</v>
      </c>
    </row>
    <row r="4" spans="1:11" x14ac:dyDescent="0.2">
      <c r="A4" s="21">
        <f>+'Rate Class Customer Model'!A13</f>
        <v>2016</v>
      </c>
      <c r="B4" s="37">
        <f>SUMIF(Inputs!$A:$A,'Rate Class Load Model'!$A4,Inputs!$K:$K)</f>
        <v>396528</v>
      </c>
      <c r="C4" s="37">
        <f>SUMIF(Inputs!$A:$A,'Rate Class Load Model'!$A4,Inputs!$N:$N)</f>
        <v>2061</v>
      </c>
      <c r="D4" s="37">
        <f>SUMIF(Inputs!$A:$A,'Rate Class Load Model'!$A4,Inputs!$Q:$Q)</f>
        <v>4561</v>
      </c>
      <c r="E4" s="37">
        <f>SUMIF(Inputs!$A:$A,'Rate Class Load Model'!$A4,Inputs!$W:$W)</f>
        <v>0</v>
      </c>
      <c r="F4" s="43">
        <f t="shared" si="0"/>
        <v>403150</v>
      </c>
      <c r="K4" s="38"/>
    </row>
    <row r="5" spans="1:11" x14ac:dyDescent="0.2">
      <c r="A5" s="21">
        <f>+'Rate Class Customer Model'!A14</f>
        <v>2017</v>
      </c>
      <c r="B5" s="37">
        <f>SUMIF(Inputs!$A:$A,'Rate Class Load Model'!$A5,Inputs!$K:$K)</f>
        <v>397736</v>
      </c>
      <c r="C5" s="37">
        <f>SUMIF(Inputs!$A:$A,'Rate Class Load Model'!$A5,Inputs!$N:$N)</f>
        <v>2012</v>
      </c>
      <c r="D5" s="37">
        <f>SUMIF(Inputs!$A:$A,'Rate Class Load Model'!$A5,Inputs!$Q:$Q)</f>
        <v>3890</v>
      </c>
      <c r="E5" s="37">
        <f>SUMIF(Inputs!$A:$A,'Rate Class Load Model'!$A5,Inputs!$W:$W)</f>
        <v>0</v>
      </c>
      <c r="F5" s="43">
        <f t="shared" si="0"/>
        <v>403638</v>
      </c>
      <c r="K5" s="38"/>
    </row>
    <row r="6" spans="1:11" x14ac:dyDescent="0.2">
      <c r="A6" s="21">
        <f>+'Rate Class Customer Model'!A15</f>
        <v>2018</v>
      </c>
      <c r="B6" s="37">
        <f>SUMIF(Inputs!$A:$A,'Rate Class Load Model'!$A6,Inputs!$K:$K)</f>
        <v>413412</v>
      </c>
      <c r="C6" s="37">
        <f>SUMIF(Inputs!$A:$A,'Rate Class Load Model'!$A6,Inputs!$N:$N)</f>
        <v>1898</v>
      </c>
      <c r="D6" s="37">
        <f>SUMIF(Inputs!$A:$A,'Rate Class Load Model'!$A6,Inputs!$Q:$Q)</f>
        <v>3915</v>
      </c>
      <c r="E6" s="37">
        <f>SUMIF(Inputs!$A:$A,'Rate Class Load Model'!$A6,Inputs!$W:$W)</f>
        <v>0</v>
      </c>
      <c r="F6" s="43">
        <f t="shared" si="0"/>
        <v>419225</v>
      </c>
      <c r="K6" s="38"/>
    </row>
    <row r="7" spans="1:11" x14ac:dyDescent="0.2">
      <c r="A7" s="21">
        <f>+'Rate Class Customer Model'!A16</f>
        <v>2019</v>
      </c>
      <c r="B7" s="37">
        <f>SUMIF(Inputs!$A:$A,'Rate Class Load Model'!$A7,Inputs!$K:$K)</f>
        <v>415535.11</v>
      </c>
      <c r="C7" s="37">
        <f>SUMIF(Inputs!$A:$A,'Rate Class Load Model'!$A7,Inputs!$N:$N)</f>
        <v>1605</v>
      </c>
      <c r="D7" s="37">
        <f>SUMIF(Inputs!$A:$A,'Rate Class Load Model'!$A7,Inputs!$Q:$Q)</f>
        <v>3924.2</v>
      </c>
      <c r="E7" s="37">
        <f>SUMIF(Inputs!$A:$A,'Rate Class Load Model'!$A7,Inputs!$W:$W)</f>
        <v>0</v>
      </c>
      <c r="F7" s="43">
        <f t="shared" si="0"/>
        <v>421064.31</v>
      </c>
      <c r="K7" s="38"/>
    </row>
    <row r="8" spans="1:11" x14ac:dyDescent="0.2">
      <c r="A8" s="21">
        <f>+'Rate Class Customer Model'!A17</f>
        <v>2020</v>
      </c>
      <c r="B8" s="37">
        <f>SUMIF(Inputs!$A:$A,'Rate Class Load Model'!$A8,Inputs!$K:$K)</f>
        <v>381720.89</v>
      </c>
      <c r="C8" s="37">
        <f>SUMIF(Inputs!$A:$A,'Rate Class Load Model'!$A8,Inputs!$N:$N)</f>
        <v>1473.6</v>
      </c>
      <c r="D8" s="37">
        <f>SUMIF(Inputs!$A:$A,'Rate Class Load Model'!$A8,Inputs!$Q:$Q)</f>
        <v>3960</v>
      </c>
      <c r="E8" s="37">
        <f>SUMIF(Inputs!$A:$A,'Rate Class Load Model'!$A8,Inputs!$W:$W)</f>
        <v>0</v>
      </c>
      <c r="F8" s="43">
        <f t="shared" si="0"/>
        <v>387154.49</v>
      </c>
      <c r="K8" s="38"/>
    </row>
    <row r="9" spans="1:11" x14ac:dyDescent="0.2">
      <c r="A9" s="21">
        <f>+'Rate Class Customer Model'!A18</f>
        <v>2021</v>
      </c>
      <c r="B9" s="37">
        <f>SUMIF(Inputs!$A:$A,'Rate Class Load Model'!$A9,Inputs!$K:$K)</f>
        <v>349225.27</v>
      </c>
      <c r="C9" s="37">
        <f>SUMIF(Inputs!$A:$A,'Rate Class Load Model'!$A9,Inputs!$N:$N)</f>
        <v>1327.5</v>
      </c>
      <c r="D9" s="37">
        <f>SUMIF(Inputs!$A:$A,'Rate Class Load Model'!$A9,Inputs!$Q:$Q)</f>
        <v>3933.6000000000008</v>
      </c>
      <c r="E9" s="37">
        <f>SUMIF(Inputs!$A:$A,'Rate Class Load Model'!$A9,Inputs!$W:$W)</f>
        <v>0</v>
      </c>
      <c r="F9" s="43">
        <f t="shared" si="0"/>
        <v>354486.37</v>
      </c>
    </row>
    <row r="10" spans="1:11" x14ac:dyDescent="0.2">
      <c r="A10" s="21">
        <f>+'Rate Class Customer Model'!A19</f>
        <v>2022</v>
      </c>
      <c r="B10" s="37">
        <f>SUMIF(Inputs!$A:$A,'Rate Class Load Model'!$A10,Inputs!$K:$K)</f>
        <v>357213.14999999997</v>
      </c>
      <c r="C10" s="37">
        <f>SUMIF(Inputs!$A:$A,'Rate Class Load Model'!$A10,Inputs!$N:$N)</f>
        <v>1162.21</v>
      </c>
      <c r="D10" s="37">
        <f>SUMIF(Inputs!$A:$A,'Rate Class Load Model'!$A10,Inputs!$Q:$Q)</f>
        <v>3955.4399999999991</v>
      </c>
      <c r="E10" s="37">
        <f>SUMIF(Inputs!$A:$A,'Rate Class Load Model'!$A10,Inputs!$W:$W)</f>
        <v>0</v>
      </c>
      <c r="F10" s="43">
        <f t="shared" si="0"/>
        <v>362330.8</v>
      </c>
    </row>
    <row r="11" spans="1:11" x14ac:dyDescent="0.2">
      <c r="A11" s="21">
        <f>+'Rate Class Customer Model'!A20</f>
        <v>2023</v>
      </c>
      <c r="B11" s="37">
        <f>SUMIF(Inputs!$A:$A,'Rate Class Load Model'!$A11,Inputs!$K:$K)</f>
        <v>353804.11000000004</v>
      </c>
      <c r="C11" s="37">
        <f>SUMIF(Inputs!$A:$A,'Rate Class Load Model'!$A11,Inputs!$N:$N)</f>
        <v>1153.1099999999999</v>
      </c>
      <c r="D11" s="37">
        <f>SUMIF(Inputs!$A:$A,'Rate Class Load Model'!$A11,Inputs!$Q:$Q)</f>
        <v>4056.9600000000009</v>
      </c>
      <c r="E11" s="37">
        <f>SUMIF(Inputs!$A:$A,'Rate Class Load Model'!$A11,Inputs!$W:$W)</f>
        <v>0</v>
      </c>
      <c r="F11" s="43">
        <f t="shared" si="0"/>
        <v>359014.18000000005</v>
      </c>
    </row>
    <row r="12" spans="1:11" x14ac:dyDescent="0.2">
      <c r="A12" s="21">
        <f>+'Rate Class Customer Model'!A21</f>
        <v>2024</v>
      </c>
      <c r="B12" s="134">
        <f>B$27*'Rate Class Energy Model'!J32</f>
        <v>392901.14759996335</v>
      </c>
      <c r="C12" s="134">
        <f>C$27*'Rate Class Energy Model'!K32</f>
        <v>1153.8039525851389</v>
      </c>
      <c r="D12" s="134">
        <f>D$27*'Rate Class Energy Model'!L32</f>
        <v>4061.6026629702164</v>
      </c>
      <c r="E12" s="134">
        <f>E$27*'Rate Class Energy Model'!N32</f>
        <v>0</v>
      </c>
      <c r="F12" s="43">
        <f t="shared" si="0"/>
        <v>398116.5542155187</v>
      </c>
    </row>
    <row r="13" spans="1:11" x14ac:dyDescent="0.2">
      <c r="A13" s="21">
        <f>+'Rate Class Customer Model'!A22</f>
        <v>2025</v>
      </c>
      <c r="B13" s="134">
        <f>B$27*'Rate Class Energy Model'!J33</f>
        <v>388946.38616696885</v>
      </c>
      <c r="C13" s="134">
        <f>C$27*'Rate Class Energy Model'!K33</f>
        <v>1101.4237476521346</v>
      </c>
      <c r="D13" s="134">
        <f>D$27*'Rate Class Energy Model'!L33</f>
        <v>4097.0319196086029</v>
      </c>
      <c r="E13" s="134">
        <f>E$27*'Rate Class Energy Model'!N33</f>
        <v>0</v>
      </c>
      <c r="F13" s="43">
        <f>SUM(B13:E13)</f>
        <v>394144.84183422959</v>
      </c>
    </row>
    <row r="14" spans="1:11" x14ac:dyDescent="0.2">
      <c r="A14" s="13"/>
    </row>
    <row r="15" spans="1:11" x14ac:dyDescent="0.2">
      <c r="A15" s="13" t="s">
        <v>46</v>
      </c>
      <c r="B15" s="5"/>
      <c r="C15" s="5"/>
      <c r="D15" s="5"/>
      <c r="E15" s="5"/>
    </row>
    <row r="16" spans="1:11" x14ac:dyDescent="0.2">
      <c r="A16" s="21">
        <f>+A2</f>
        <v>2014</v>
      </c>
      <c r="B16" s="140">
        <f>B2/'Rate Class Energy Model'!J3</f>
        <v>2.7905397653945107E-3</v>
      </c>
      <c r="C16" s="140">
        <f>C2/'Rate Class Energy Model'!K3</f>
        <v>2.7632987008585777E-3</v>
      </c>
      <c r="D16" s="140">
        <f>D2/'Rate Class Energy Model'!L3</f>
        <v>2.7930260631834265E-3</v>
      </c>
      <c r="E16" s="140">
        <f>E2/'Rate Class Energy Model'!N3</f>
        <v>2.9038403367009353E-3</v>
      </c>
      <c r="K16" s="19"/>
    </row>
    <row r="17" spans="1:11" x14ac:dyDescent="0.2">
      <c r="A17" s="21">
        <f t="shared" ref="A17:A24" si="1">+A3</f>
        <v>2015</v>
      </c>
      <c r="B17" s="140">
        <f>B3/'Rate Class Energy Model'!J4</f>
        <v>2.881092652070651E-3</v>
      </c>
      <c r="C17" s="140">
        <f>C3/'Rate Class Energy Model'!K4</f>
        <v>2.7547734374585523E-3</v>
      </c>
      <c r="D17" s="140">
        <f>D3/'Rate Class Energy Model'!L4</f>
        <v>2.8345239413538922E-3</v>
      </c>
      <c r="E17" s="140">
        <f>E3/'Rate Class Energy Model'!N4</f>
        <v>1.7287488405833716E-3</v>
      </c>
      <c r="K17" s="19"/>
    </row>
    <row r="18" spans="1:11" x14ac:dyDescent="0.2">
      <c r="A18" s="21">
        <f t="shared" si="1"/>
        <v>2016</v>
      </c>
      <c r="B18" s="140">
        <f>B4/'Rate Class Energy Model'!J5</f>
        <v>2.7645777061329783E-3</v>
      </c>
      <c r="C18" s="140">
        <f>C4/'Rate Class Energy Model'!K5</f>
        <v>2.7500643816625015E-3</v>
      </c>
      <c r="D18" s="140">
        <f>D4/'Rate Class Energy Model'!L5</f>
        <v>2.8950899629687464E-3</v>
      </c>
      <c r="E18" s="140"/>
      <c r="K18" s="19"/>
    </row>
    <row r="19" spans="1:11" x14ac:dyDescent="0.2">
      <c r="A19" s="21">
        <f t="shared" si="1"/>
        <v>2017</v>
      </c>
      <c r="B19" s="140">
        <f>B5/'Rate Class Energy Model'!J6</f>
        <v>2.7526863479052795E-3</v>
      </c>
      <c r="C19" s="47">
        <f>C5/'Rate Class Energy Model'!K6</f>
        <v>2.7594416930793149E-3</v>
      </c>
      <c r="D19" s="47">
        <f>D5/'Rate Class Energy Model'!L6</f>
        <v>2.7923095917629019E-3</v>
      </c>
      <c r="E19" s="47"/>
      <c r="K19" s="19"/>
    </row>
    <row r="20" spans="1:11" x14ac:dyDescent="0.2">
      <c r="A20" s="21">
        <f t="shared" si="1"/>
        <v>2018</v>
      </c>
      <c r="B20" s="140">
        <f>B6/'Rate Class Energy Model'!J7</f>
        <v>2.708942224948596E-3</v>
      </c>
      <c r="C20" s="47">
        <f>C6/'Rate Class Energy Model'!K7</f>
        <v>2.8082157325181913E-3</v>
      </c>
      <c r="D20" s="47">
        <f>D6/'Rate Class Energy Model'!L7</f>
        <v>2.7885493062634213E-3</v>
      </c>
      <c r="E20" s="47"/>
      <c r="K20" s="19"/>
    </row>
    <row r="21" spans="1:11" x14ac:dyDescent="0.2">
      <c r="A21" s="21">
        <f t="shared" si="1"/>
        <v>2019</v>
      </c>
      <c r="B21" s="140">
        <f>B7/'Rate Class Energy Model'!J8</f>
        <v>2.7454807431007552E-3</v>
      </c>
      <c r="C21" s="47">
        <f>C7/'Rate Class Energy Model'!K8</f>
        <v>2.7490537816831661E-3</v>
      </c>
      <c r="D21" s="47">
        <f>D7/'Rate Class Energy Model'!L8</f>
        <v>2.7904147312736109E-3</v>
      </c>
      <c r="E21" s="47"/>
      <c r="K21" s="19"/>
    </row>
    <row r="22" spans="1:11" x14ac:dyDescent="0.2">
      <c r="A22" s="21">
        <f t="shared" si="1"/>
        <v>2020</v>
      </c>
      <c r="B22" s="140">
        <f>B8/'Rate Class Energy Model'!J9</f>
        <v>2.8639575590473621E-3</v>
      </c>
      <c r="C22" s="47">
        <f>C8/'Rate Class Energy Model'!K9</f>
        <v>2.7495886066123874E-3</v>
      </c>
      <c r="D22" s="47">
        <f>D8/'Rate Class Energy Model'!L9</f>
        <v>2.7812754423492164E-3</v>
      </c>
      <c r="E22" s="47"/>
      <c r="K22" s="19"/>
    </row>
    <row r="23" spans="1:11" x14ac:dyDescent="0.2">
      <c r="A23" s="21">
        <f t="shared" si="1"/>
        <v>2021</v>
      </c>
      <c r="B23" s="140">
        <f>B9/'Rate Class Energy Model'!J10</f>
        <v>2.7166817984189463E-3</v>
      </c>
      <c r="C23" s="47">
        <f>C9/'Rate Class Energy Model'!K10</f>
        <v>2.7547491356313138E-3</v>
      </c>
      <c r="D23" s="47">
        <f>D9/'Rate Class Energy Model'!L10</f>
        <v>2.7885453425192672E-3</v>
      </c>
      <c r="E23" s="47"/>
      <c r="K23" s="19"/>
    </row>
    <row r="24" spans="1:11" x14ac:dyDescent="0.2">
      <c r="A24" s="21">
        <f t="shared" si="1"/>
        <v>2022</v>
      </c>
      <c r="B24" s="140">
        <f>B10/'Rate Class Energy Model'!J11</f>
        <v>2.6259982236658146E-3</v>
      </c>
      <c r="C24" s="47">
        <f>C10/'Rate Class Energy Model'!K11</f>
        <v>2.7481438838387407E-3</v>
      </c>
      <c r="D24" s="47">
        <f>D10/'Rate Class Energy Model'!L11</f>
        <v>2.7885455203915171E-3</v>
      </c>
      <c r="E24" s="47"/>
      <c r="K24" s="19"/>
    </row>
    <row r="25" spans="1:11" x14ac:dyDescent="0.2">
      <c r="A25" s="21">
        <v>2023</v>
      </c>
      <c r="B25" s="140">
        <f>B11/'Rate Class Energy Model'!J12</f>
        <v>2.5932616826278166E-3</v>
      </c>
      <c r="C25" s="47">
        <f>C11/'Rate Class Energy Model'!K12</f>
        <v>2.7476527204861982E-3</v>
      </c>
      <c r="D25" s="47">
        <f>D11/'Rate Class Energy Model'!L12</f>
        <v>2.7917882575154642E-3</v>
      </c>
      <c r="E25" s="47"/>
      <c r="K25" s="19"/>
    </row>
    <row r="27" spans="1:11" x14ac:dyDescent="0.2">
      <c r="A27" s="40" t="s">
        <v>45</v>
      </c>
      <c r="B27" s="19">
        <f>B29</f>
        <v>2.7443218703312711E-3</v>
      </c>
      <c r="C27" s="19">
        <f>C29</f>
        <v>2.7584982073828941E-3</v>
      </c>
      <c r="D27" s="19">
        <f>D29</f>
        <v>2.8044068159581463E-3</v>
      </c>
      <c r="E27" s="19">
        <f>E29</f>
        <v>2.3162945886421532E-3</v>
      </c>
    </row>
    <row r="29" spans="1:11" x14ac:dyDescent="0.2">
      <c r="A29" t="s">
        <v>9</v>
      </c>
      <c r="B29" s="19">
        <f>AVERAGE(B16:B25)</f>
        <v>2.7443218703312711E-3</v>
      </c>
      <c r="C29" s="19">
        <f>AVERAGE(C16:C25)</f>
        <v>2.7584982073828941E-3</v>
      </c>
      <c r="D29" s="19">
        <f>AVERAGE(D16:D25)</f>
        <v>2.8044068159581463E-3</v>
      </c>
      <c r="E29" s="19">
        <f>AVERAGE(E16:E25)</f>
        <v>2.3162945886421532E-3</v>
      </c>
      <c r="J29" s="19"/>
      <c r="K29" s="19"/>
    </row>
    <row r="34" spans="2:5" x14ac:dyDescent="0.2">
      <c r="B34" s="18"/>
      <c r="C34" s="18"/>
      <c r="D34" s="18"/>
      <c r="E34" s="18"/>
    </row>
    <row r="35" spans="2:5" x14ac:dyDescent="0.2">
      <c r="B35" s="18"/>
      <c r="C35" s="18"/>
      <c r="D35" s="18"/>
      <c r="E35" s="18"/>
    </row>
    <row r="54" spans="2:5" x14ac:dyDescent="0.2">
      <c r="B54" s="12"/>
      <c r="C54" s="12"/>
      <c r="D54" s="12"/>
      <c r="E54" s="12"/>
    </row>
    <row r="55" spans="2:5" x14ac:dyDescent="0.2">
      <c r="B55" s="12"/>
      <c r="C55" s="12"/>
      <c r="D55" s="12"/>
      <c r="E55" s="12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Inputs</vt:lpstr>
      <vt:lpstr>Load Forecast Summary</vt:lpstr>
      <vt:lpstr>Power Purchased Model</vt:lpstr>
      <vt:lpstr>Power Purchased Model-WN</vt:lpstr>
      <vt:lpstr>Rate Class Energy Model</vt:lpstr>
      <vt:lpstr>Rate Class Customer Model</vt:lpstr>
      <vt:lpstr>Rate Class Load Model</vt:lpstr>
      <vt:lpstr>'Load Forecast Summary'!Print_Area</vt:lpstr>
      <vt:lpstr>'Power Purchased Model'!Print_Area</vt:lpstr>
      <vt:lpstr>'Power Purchased Model-WN'!Print_Area</vt:lpstr>
      <vt:lpstr>'Rate Class Customer Model'!Print_Area</vt:lpstr>
      <vt:lpstr>'Rate Class Load Model'!Print_Area</vt:lpstr>
      <vt:lpstr>Inputs!Print_Titles</vt:lpstr>
      <vt:lpstr>'Power Purchased Model'!Print_Titles</vt:lpstr>
      <vt:lpstr>'Power Purchased Model-WN'!Print_Titles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2014-03-06T15:42:29Z</cp:lastPrinted>
  <dcterms:created xsi:type="dcterms:W3CDTF">2014-03-06T15:42:29Z</dcterms:created>
  <dcterms:modified xsi:type="dcterms:W3CDTF">2024-11-19T20:48:16Z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</Properties>
</file>